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kwaraM\Desktop\SkwaraM\Desktop\Monika\2026 ROK\SPRAWOZDANIA\SPRAWOZDANIE OPISOWE ZA 2025 ROK\"/>
    </mc:Choice>
  </mc:AlternateContent>
  <xr:revisionPtr revIDLastSave="0" documentId="13_ncr:1_{93A5AD67-6B2F-4114-A271-F3929F0B61CF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Dochody Z1" sheetId="5" r:id="rId1"/>
    <sheet name="Dochody JO Z1A" sheetId="4" r:id="rId2"/>
    <sheet name="wydatki źr.fin." sheetId="7" r:id="rId3"/>
    <sheet name="Wydatki JO Z2A" sheetId="6" r:id="rId4"/>
  </sheets>
  <definedNames>
    <definedName name="_xlnm.Print_Area" localSheetId="1">'Dochody JO Z1A'!$A$1:$J$13</definedName>
    <definedName name="_xlnm.Print_Area" localSheetId="0">'Dochody Z1'!$A$1:$F$34</definedName>
    <definedName name="_xlnm.Print_Area" localSheetId="3">'Wydatki JO Z2A'!$A$1:$M$12</definedName>
    <definedName name="_xlnm.Print_Area" localSheetId="2">'wydatki źr.fin.'!$A$1:$J$49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6" l="1"/>
  <c r="M7" i="6"/>
  <c r="M9" i="6"/>
  <c r="M8" i="6"/>
  <c r="L12" i="6"/>
  <c r="K12" i="6"/>
  <c r="E30" i="7"/>
  <c r="F30" i="7"/>
  <c r="G30" i="7"/>
  <c r="H30" i="7"/>
  <c r="I30" i="7"/>
  <c r="E8" i="7"/>
  <c r="D8" i="7"/>
  <c r="M12" i="6" l="1"/>
  <c r="E20" i="7"/>
  <c r="D20" i="7"/>
  <c r="E39" i="7"/>
  <c r="D39" i="7"/>
  <c r="E37" i="7"/>
  <c r="D37" i="7"/>
  <c r="G20" i="7"/>
  <c r="F20" i="7"/>
  <c r="E47" i="7"/>
  <c r="D47" i="7"/>
  <c r="E34" i="7"/>
  <c r="D34" i="7"/>
  <c r="E30" i="5"/>
  <c r="E21" i="5"/>
  <c r="E16" i="5"/>
  <c r="E14" i="5"/>
  <c r="E12" i="5"/>
  <c r="E8" i="5"/>
  <c r="E7" i="5" s="1"/>
  <c r="E17" i="5"/>
  <c r="D17" i="5"/>
  <c r="E28" i="7" l="1"/>
  <c r="D28" i="7"/>
  <c r="E27" i="7"/>
  <c r="D27" i="7"/>
  <c r="E14" i="7" l="1"/>
  <c r="D14" i="7"/>
  <c r="G12" i="7"/>
  <c r="F12" i="7"/>
  <c r="E12" i="7"/>
  <c r="D12" i="7"/>
  <c r="E11" i="7"/>
  <c r="D11" i="7"/>
  <c r="E10" i="7"/>
  <c r="D10" i="7"/>
  <c r="H6" i="7" l="1"/>
  <c r="H5" i="7" s="1"/>
  <c r="E6" i="7"/>
  <c r="E5" i="7" s="1"/>
  <c r="F6" i="7"/>
  <c r="F5" i="7" s="1"/>
  <c r="G6" i="7"/>
  <c r="G5" i="7" s="1"/>
  <c r="I6" i="7"/>
  <c r="I5" i="7" s="1"/>
  <c r="D6" i="7"/>
  <c r="D5" i="7" s="1"/>
  <c r="G38" i="7"/>
  <c r="F38" i="7"/>
  <c r="E38" i="7"/>
  <c r="D38" i="7"/>
  <c r="I41" i="7"/>
  <c r="H41" i="7"/>
  <c r="I18" i="7"/>
  <c r="I17" i="7" s="1"/>
  <c r="H18" i="7"/>
  <c r="H17" i="7" s="1"/>
  <c r="G17" i="7"/>
  <c r="F17" i="7"/>
  <c r="E17" i="7"/>
  <c r="D17" i="7"/>
  <c r="I16" i="7"/>
  <c r="I15" i="7" s="1"/>
  <c r="H16" i="7"/>
  <c r="H15" i="7" s="1"/>
  <c r="G15" i="7"/>
  <c r="F15" i="7"/>
  <c r="E15" i="7"/>
  <c r="D15" i="7"/>
  <c r="F32" i="5"/>
  <c r="I28" i="7"/>
  <c r="H28" i="7"/>
  <c r="H11" i="4"/>
  <c r="H45" i="7"/>
  <c r="F33" i="5"/>
  <c r="F29" i="5"/>
  <c r="E28" i="5"/>
  <c r="I11" i="4" s="1"/>
  <c r="D28" i="5"/>
  <c r="B44" i="7"/>
  <c r="B45" i="7" s="1"/>
  <c r="E46" i="7"/>
  <c r="F46" i="7"/>
  <c r="G46" i="7"/>
  <c r="E42" i="7"/>
  <c r="G42" i="7"/>
  <c r="D42" i="7"/>
  <c r="F23" i="7"/>
  <c r="F8" i="7" s="1"/>
  <c r="G23" i="7"/>
  <c r="G8" i="7" s="1"/>
  <c r="I45" i="7"/>
  <c r="J41" i="7" l="1"/>
  <c r="E23" i="7"/>
  <c r="J18" i="7"/>
  <c r="J17" i="7"/>
  <c r="J15" i="7"/>
  <c r="J16" i="7"/>
  <c r="F17" i="5"/>
  <c r="F42" i="7"/>
  <c r="F9" i="7"/>
  <c r="G9" i="7"/>
  <c r="D30" i="5"/>
  <c r="F28" i="5"/>
  <c r="E9" i="7"/>
  <c r="J45" i="7"/>
  <c r="A7" i="6"/>
  <c r="G36" i="7"/>
  <c r="G35" i="7" s="1"/>
  <c r="F36" i="7"/>
  <c r="E36" i="7"/>
  <c r="E35" i="7" s="1"/>
  <c r="D36" i="7"/>
  <c r="E24" i="5"/>
  <c r="D24" i="5"/>
  <c r="I29" i="7"/>
  <c r="H29" i="7"/>
  <c r="I27" i="7"/>
  <c r="H27" i="7"/>
  <c r="H12" i="7"/>
  <c r="H9" i="6" s="1"/>
  <c r="H11" i="7"/>
  <c r="H8" i="6" s="1"/>
  <c r="H10" i="7"/>
  <c r="J7" i="7" l="1"/>
  <c r="F35" i="7"/>
  <c r="H7" i="6"/>
  <c r="H9" i="7"/>
  <c r="J28" i="7"/>
  <c r="J29" i="7"/>
  <c r="D23" i="7"/>
  <c r="J27" i="7"/>
  <c r="H43" i="7"/>
  <c r="H6" i="6" s="1"/>
  <c r="D8" i="5" l="1"/>
  <c r="D26" i="5"/>
  <c r="D23" i="5" s="1"/>
  <c r="D21" i="5"/>
  <c r="D16" i="5"/>
  <c r="D14" i="5"/>
  <c r="D12" i="5"/>
  <c r="D7" i="5" l="1"/>
  <c r="H44" i="7"/>
  <c r="H42" i="7" s="1"/>
  <c r="H48" i="7"/>
  <c r="I48" i="7"/>
  <c r="I26" i="7"/>
  <c r="H26" i="7"/>
  <c r="I25" i="7"/>
  <c r="H25" i="7"/>
  <c r="J25" i="7" l="1"/>
  <c r="J26" i="7"/>
  <c r="F20" i="5" l="1"/>
  <c r="I47" i="7"/>
  <c r="H47" i="7"/>
  <c r="D46" i="7"/>
  <c r="J47" i="7" l="1"/>
  <c r="I40" i="7" l="1"/>
  <c r="H40" i="7"/>
  <c r="D35" i="7"/>
  <c r="I24" i="7"/>
  <c r="H24" i="7"/>
  <c r="J40" i="7" l="1"/>
  <c r="J24" i="7"/>
  <c r="I39" i="7" l="1"/>
  <c r="I38" i="7" s="1"/>
  <c r="I46" i="7"/>
  <c r="H46" i="7"/>
  <c r="I34" i="7"/>
  <c r="H34" i="7"/>
  <c r="G33" i="7"/>
  <c r="F33" i="7"/>
  <c r="E33" i="7"/>
  <c r="D33" i="7"/>
  <c r="F19" i="7"/>
  <c r="G19" i="7"/>
  <c r="I44" i="7"/>
  <c r="I43" i="7"/>
  <c r="I6" i="6" s="1"/>
  <c r="H39" i="7"/>
  <c r="H38" i="7" s="1"/>
  <c r="I37" i="7"/>
  <c r="I36" i="7" s="1"/>
  <c r="H37" i="7"/>
  <c r="H36" i="7" s="1"/>
  <c r="H35" i="7" s="1"/>
  <c r="H32" i="7"/>
  <c r="I32" i="7"/>
  <c r="H12" i="4"/>
  <c r="I9" i="4"/>
  <c r="H9" i="4"/>
  <c r="H8" i="4"/>
  <c r="I7" i="4"/>
  <c r="H7" i="4"/>
  <c r="E26" i="5"/>
  <c r="E23" i="5" s="1"/>
  <c r="F27" i="5"/>
  <c r="F16" i="5"/>
  <c r="F31" i="5"/>
  <c r="I42" i="7" l="1"/>
  <c r="I35" i="7" s="1"/>
  <c r="J38" i="7"/>
  <c r="J36" i="7"/>
  <c r="J48" i="7"/>
  <c r="H33" i="7"/>
  <c r="J34" i="7"/>
  <c r="J37" i="7"/>
  <c r="I33" i="7"/>
  <c r="J44" i="7"/>
  <c r="J43" i="7"/>
  <c r="J39" i="7"/>
  <c r="J32" i="7"/>
  <c r="F24" i="5"/>
  <c r="F26" i="5"/>
  <c r="J46" i="7" l="1"/>
  <c r="J42" i="7"/>
  <c r="J33" i="7"/>
  <c r="I12" i="4"/>
  <c r="I10" i="4"/>
  <c r="H10" i="4"/>
  <c r="H13" i="4" s="1"/>
  <c r="I8" i="4"/>
  <c r="I13" i="4" l="1"/>
  <c r="I22" i="7"/>
  <c r="H22" i="7"/>
  <c r="I20" i="7"/>
  <c r="H20" i="7"/>
  <c r="H10" i="6" s="1"/>
  <c r="I14" i="7"/>
  <c r="I11" i="6" s="1"/>
  <c r="H14" i="7"/>
  <c r="H11" i="6" s="1"/>
  <c r="I12" i="7"/>
  <c r="I9" i="6" s="1"/>
  <c r="I11" i="7"/>
  <c r="I8" i="6" s="1"/>
  <c r="I10" i="7"/>
  <c r="I10" i="6" l="1"/>
  <c r="I7" i="6"/>
  <c r="I9" i="7"/>
  <c r="I23" i="7"/>
  <c r="I8" i="7" s="1"/>
  <c r="H23" i="7"/>
  <c r="H8" i="7" s="1"/>
  <c r="G31" i="7"/>
  <c r="F31" i="7"/>
  <c r="E31" i="7"/>
  <c r="D31" i="7"/>
  <c r="D30" i="7" s="1"/>
  <c r="I31" i="7"/>
  <c r="H31" i="7"/>
  <c r="J22" i="7"/>
  <c r="G21" i="7"/>
  <c r="F21" i="7"/>
  <c r="E21" i="7"/>
  <c r="D21" i="7"/>
  <c r="I21" i="7"/>
  <c r="H21" i="7"/>
  <c r="J20" i="7"/>
  <c r="E19" i="7"/>
  <c r="D19" i="7"/>
  <c r="I19" i="7"/>
  <c r="H19" i="7"/>
  <c r="J14" i="7"/>
  <c r="G13" i="7"/>
  <c r="G49" i="7" s="1"/>
  <c r="F13" i="7"/>
  <c r="F49" i="7" s="1"/>
  <c r="E13" i="7"/>
  <c r="D13" i="7"/>
  <c r="I13" i="7"/>
  <c r="H13" i="7"/>
  <c r="J12" i="7"/>
  <c r="J11" i="7"/>
  <c r="B11" i="7"/>
  <c r="B12" i="7" s="1"/>
  <c r="J10" i="7"/>
  <c r="D9" i="7"/>
  <c r="D49" i="7" l="1"/>
  <c r="I49" i="7"/>
  <c r="H49" i="7"/>
  <c r="E49" i="7"/>
  <c r="I12" i="6"/>
  <c r="H12" i="6"/>
  <c r="J9" i="7"/>
  <c r="J13" i="7"/>
  <c r="J19" i="7"/>
  <c r="J21" i="7"/>
  <c r="J23" i="7"/>
  <c r="J31" i="7"/>
  <c r="E19" i="5"/>
  <c r="E18" i="5" s="1"/>
  <c r="E34" i="5" s="1"/>
  <c r="D19" i="5"/>
  <c r="F22" i="5"/>
  <c r="F15" i="5"/>
  <c r="F13" i="5"/>
  <c r="F11" i="5"/>
  <c r="F10" i="5"/>
  <c r="F9" i="5"/>
  <c r="B10" i="5"/>
  <c r="B11" i="5" s="1"/>
  <c r="J5" i="7" l="1"/>
  <c r="J6" i="7"/>
  <c r="F19" i="5"/>
  <c r="F14" i="5"/>
  <c r="J8" i="7"/>
  <c r="J30" i="7"/>
  <c r="F12" i="5"/>
  <c r="D18" i="5"/>
  <c r="D34" i="5" s="1"/>
  <c r="J49" i="7" l="1"/>
  <c r="J35" i="7"/>
  <c r="F18" i="5"/>
  <c r="F21" i="5"/>
  <c r="F8" i="5"/>
  <c r="F30" i="5" l="1"/>
  <c r="F7" i="5"/>
  <c r="F34" i="5" l="1"/>
  <c r="F23" i="5" l="1"/>
  <c r="G12" i="6"/>
  <c r="F12" i="6"/>
  <c r="E12" i="6"/>
  <c r="D12" i="6"/>
  <c r="J11" i="6"/>
  <c r="J10" i="6"/>
  <c r="J9" i="6"/>
  <c r="J8" i="6"/>
  <c r="J7" i="6"/>
  <c r="C12" i="6"/>
  <c r="J6" i="6"/>
  <c r="A8" i="6"/>
  <c r="A9" i="6" s="1"/>
  <c r="A10" i="6" s="1"/>
  <c r="A11" i="6" s="1"/>
  <c r="J12" i="6" l="1"/>
  <c r="G13" i="4"/>
  <c r="F13" i="4"/>
  <c r="E13" i="4"/>
  <c r="D13" i="4"/>
  <c r="J12" i="4"/>
  <c r="J11" i="4"/>
  <c r="J10" i="4"/>
  <c r="J9" i="4"/>
  <c r="J8" i="4"/>
  <c r="C13" i="4"/>
  <c r="J7" i="4"/>
  <c r="J13" i="4" l="1"/>
</calcChain>
</file>

<file path=xl/sharedStrings.xml><?xml version="1.0" encoding="utf-8"?>
<sst xmlns="http://schemas.openxmlformats.org/spreadsheetml/2006/main" count="145" uniqueCount="85">
  <si>
    <t>Lp</t>
  </si>
  <si>
    <t>saldo środków na RB</t>
  </si>
  <si>
    <t>śr. Na wyd.</t>
  </si>
  <si>
    <t>zwr. Wyd.</t>
  </si>
  <si>
    <t>wydatki</t>
  </si>
  <si>
    <t>Razem</t>
  </si>
  <si>
    <t>prow. bank.</t>
  </si>
  <si>
    <t>29.12.2015 r.</t>
  </si>
  <si>
    <t>Plan dochodów</t>
  </si>
  <si>
    <t>Wykonanie</t>
  </si>
  <si>
    <t>Ognisko Wychowawcze "Świder"</t>
  </si>
  <si>
    <t>Powiatowe Centrum Pomocy Rodzinie</t>
  </si>
  <si>
    <t>Środowiskowy Dom Samopomocy</t>
  </si>
  <si>
    <t>%</t>
  </si>
  <si>
    <t>Załącznik Nr 1</t>
  </si>
  <si>
    <t>Dział</t>
  </si>
  <si>
    <t>Pomoc społeczna</t>
  </si>
  <si>
    <t>Rodzinny Dom Dziecka w Podbieli</t>
  </si>
  <si>
    <t>Rozdział</t>
  </si>
  <si>
    <t>Jednostka</t>
  </si>
  <si>
    <t>Domy Pomocy Społecznej</t>
  </si>
  <si>
    <t>Ośrodki wsparcia</t>
  </si>
  <si>
    <t>Rodziny zastępcze</t>
  </si>
  <si>
    <t>Powiatowe Centra Pomocy Rodzinie</t>
  </si>
  <si>
    <t>Pozostałe zadania w zakresie polityki społecznej</t>
  </si>
  <si>
    <t>Razem dochody</t>
  </si>
  <si>
    <t>Pomoc dla cudzoziemców</t>
  </si>
  <si>
    <t>Pozostała działalność</t>
  </si>
  <si>
    <t xml:space="preserve">Zespoły do spraw orzekania o niepełnosprawności </t>
  </si>
  <si>
    <t>% realizacji</t>
  </si>
  <si>
    <t>Zespoły do spraw orzekania o niepełnosprawności</t>
  </si>
  <si>
    <t>Załącznik Nr 1a</t>
  </si>
  <si>
    <t>Załącznik Nr 2a</t>
  </si>
  <si>
    <t>Domy pomocy społecznej</t>
  </si>
  <si>
    <t xml:space="preserve">Dom Pomocy Społecznej "Wrzos"             w Otwocku </t>
  </si>
  <si>
    <t>Dom Pomocy Społecznej w Otwocku, ul. Konopnickiej</t>
  </si>
  <si>
    <t xml:space="preserve">Razem </t>
  </si>
  <si>
    <t>Dom Pomocy Społecznej w Otwocku           ul. Konopnickiej</t>
  </si>
  <si>
    <t xml:space="preserve">Dom Pomocy Społecznej "Wrzos"                      w Otwocku </t>
  </si>
  <si>
    <t>Dom Pomocy Społecznej w Otwocku ul. Konopnickiej</t>
  </si>
  <si>
    <t>Działalność placówek opiekuńczo-wychowawczych</t>
  </si>
  <si>
    <t>Rodzina</t>
  </si>
  <si>
    <t>Wspieranie rodziny</t>
  </si>
  <si>
    <t>PCPR "Aktywna Integracja w Powiecie Otwockim" wkład własny Powiatu Otwockiego</t>
  </si>
  <si>
    <t>DPS "WRZOS" - Grant "Wsparcie dla Mazowsza" - środki UE i BP</t>
  </si>
  <si>
    <t>PCPR "Rodzinne Drogowskazy" UE</t>
  </si>
  <si>
    <t>Załącznik Nr 2</t>
  </si>
  <si>
    <t>Dom Pomocy Społecznej "Anielin" w Karczewie</t>
  </si>
  <si>
    <t>Powiatowe Centrum Pomocy Rodzinie - działalność Domu dla Dzieci Nr 1, 2 i 3</t>
  </si>
  <si>
    <t xml:space="preserve">Powiatowe Centrum Pomocy Rodzinie w Otwocku wraz z działalnością Domów dla Dzieci Nr 1, 2 i 3 </t>
  </si>
  <si>
    <t>Powiatowe Centrum Pomocy Rodzinie w Otwocku</t>
  </si>
  <si>
    <t>Powiatowe Centrum Pomocy Rodzinie w Otwocku - działalność Domu dla Dzieci Nr 1, 2 i 3</t>
  </si>
  <si>
    <t>Środowiskowy Dom Samopomocy w Otwocku</t>
  </si>
  <si>
    <t>PCPR "W Rodzinie" UE+BP</t>
  </si>
  <si>
    <t>Zadania w zakresie przeciwdziałania przemocy domowej</t>
  </si>
  <si>
    <t>Składki na ubezpieczenie zdrowotne</t>
  </si>
  <si>
    <t>Państwowy Fundusz Rehabilitacji Osób Niepełnosprawnych</t>
  </si>
  <si>
    <t>PCPR "W Rodzinie" wkł.wł.</t>
  </si>
  <si>
    <t xml:space="preserve">Ochrona zdrowia </t>
  </si>
  <si>
    <t>do sprawozdania z wykonania budżetu na 31.12.2025 r.</t>
  </si>
  <si>
    <t>Plan i wykonanie wydatków budżetowych jednostek organizacyjnych Pomocy Społecznej Powiatu Otwockiego na 31.12.2025 roku  z uwzględnieniem źródeł finansowania wydatków, w szczegółowości rozdziałów klasyfikacji budżetowej</t>
  </si>
  <si>
    <t>Plan wydatków z dotacji celowych,   dotacji na zadania zlecone, środków Unii Europejskiej i Budżetu Państwa,  Funduszu Pomocy oraz RF "Polski Ład" na 31.12.2025 r.</t>
  </si>
  <si>
    <t>Wydatki finansowane z dotacji celowych,   dotacji na zadania zlecone, środków Unii Europejskiej i Budżetu Państwa,  Funduszu Pomocy oraz RF "Polski Ład" na 31.12.2025 r.</t>
  </si>
  <si>
    <t>Plan wydatków ze środków Powiatu Otwockiego, darowizn oraz kosztów obsługi PFRON na 31.12.2025 r.</t>
  </si>
  <si>
    <t>Wydatki finansowane z budżetu Powiatu Otwockiego, darowizn oraz kosztów obsługi PFRON na 31.12.2025 r.</t>
  </si>
  <si>
    <t>Razem plan wydatków po zmianach na 31.12.2025 r.</t>
  </si>
  <si>
    <t>Razem wykonanie wydatków na 31.12.2025 r.</t>
  </si>
  <si>
    <t>Zestawienie wydatków zrealizowanych przez jednostki organizacyjne Pomocy Społecznej Powiatu Otwockiego na 31.12.2025 roku</t>
  </si>
  <si>
    <t>Zestawienie dochodów zrealizowanych przez jednostki organizacyjne Pomocy Społecznej Powiatu Otwockiego na 31.12.2025 roku</t>
  </si>
  <si>
    <t>Plan i wykonanie dochodów budżetowych jednostek organizacyjnych Pomocy Społecznej Powiatu Otwockiego na 31.12.2025 roku - w szczegółowości rozdziałów klasyfikacji budżetowej</t>
  </si>
  <si>
    <t>Plan dochodów po zmianach na 31.12.2025 r.</t>
  </si>
  <si>
    <t>Wykonanie dochodów na 31.12.2025 r.</t>
  </si>
  <si>
    <t xml:space="preserve">Dom Pomocy Społecznej "Wrzos" w Otwocku </t>
  </si>
  <si>
    <t>Lp.</t>
  </si>
  <si>
    <t>1.</t>
  </si>
  <si>
    <t>2.</t>
  </si>
  <si>
    <t>3.</t>
  </si>
  <si>
    <t>4.</t>
  </si>
  <si>
    <t>5.</t>
  </si>
  <si>
    <t>6.</t>
  </si>
  <si>
    <t>PCPR projekt  "Rozwój dziennych form usług opiekuńczych świadczonych w społeczności lokalnej na terenie powiatu otwockiego"</t>
  </si>
  <si>
    <t>Plan wydatków niewygasających z upływem 2024 roku</t>
  </si>
  <si>
    <t>Wykonanie wydatków niewygasających z upływem 2024 roku</t>
  </si>
  <si>
    <t>Plan wydatków na 31.12.2025 r.</t>
  </si>
  <si>
    <t>Wykonanie wydatków na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</si>
</sst>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rgb="FFCCFFFF"/>
      <name val="Arial"/>
      <family val="2"/>
      <charset val="238"/>
    </font>
    <font>
      <i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rgb="FFFF0000"/>
      <name val="Arial"/>
      <family val="2"/>
      <charset val="238"/>
    </font>
    <font>
      <sz val="11"/>
      <name val="Arial"/>
      <family val="2"/>
      <charset val="238"/>
    </font>
    <font>
      <i/>
      <sz val="10"/>
      <name val="Arial"/>
      <family val="2"/>
      <charset val="238"/>
    </font>
    <font>
      <i/>
      <sz val="11"/>
      <name val="Arial"/>
      <family val="2"/>
      <charset val="238"/>
    </font>
    <font>
      <b/>
      <sz val="8"/>
      <color theme="1"/>
      <name val="Arial"/>
      <family val="2"/>
      <charset val="238"/>
    </font>
    <font>
      <i/>
      <sz val="10.5"/>
      <name val="Arial"/>
      <family val="2"/>
      <charset val="238"/>
    </font>
    <font>
      <b/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2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2" fillId="0" borderId="0" xfId="1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4" fontId="3" fillId="3" borderId="3" xfId="0" applyNumberFormat="1" applyFont="1" applyFill="1" applyBorder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4" fontId="4" fillId="2" borderId="3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/>
    </xf>
    <xf numFmtId="0" fontId="3" fillId="3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0" fontId="3" fillId="4" borderId="0" xfId="0" applyFont="1" applyFill="1" applyAlignment="1">
      <alignment vertical="center" wrapText="1"/>
    </xf>
    <xf numFmtId="4" fontId="3" fillId="4" borderId="0" xfId="0" applyNumberFormat="1" applyFont="1" applyFill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 wrapText="1"/>
    </xf>
    <xf numFmtId="0" fontId="3" fillId="3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" fontId="3" fillId="2" borderId="5" xfId="0" applyNumberFormat="1" applyFont="1" applyFill="1" applyBorder="1" applyAlignment="1">
      <alignment horizontal="center" vertical="center" wrapText="1"/>
    </xf>
    <xf numFmtId="10" fontId="4" fillId="0" borderId="0" xfId="1" applyNumberFormat="1" applyFont="1" applyAlignment="1">
      <alignment horizontal="center" vertical="center" wrapText="1"/>
    </xf>
    <xf numFmtId="10" fontId="3" fillId="2" borderId="3" xfId="1" applyNumberFormat="1" applyFont="1" applyFill="1" applyBorder="1" applyAlignment="1">
      <alignment horizontal="center" vertical="center" wrapText="1"/>
    </xf>
    <xf numFmtId="10" fontId="4" fillId="0" borderId="3" xfId="1" applyNumberFormat="1" applyFont="1" applyBorder="1" applyAlignment="1">
      <alignment horizontal="center" vertical="center" wrapText="1"/>
    </xf>
    <xf numFmtId="10" fontId="4" fillId="2" borderId="3" xfId="1" applyNumberFormat="1" applyFont="1" applyFill="1" applyBorder="1" applyAlignment="1">
      <alignment horizontal="center" vertical="center" wrapText="1"/>
    </xf>
    <xf numFmtId="10" fontId="3" fillId="3" borderId="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4" fontId="4" fillId="0" borderId="0" xfId="0" applyNumberFormat="1" applyFont="1"/>
    <xf numFmtId="0" fontId="4" fillId="0" borderId="0" xfId="0" applyFont="1"/>
    <xf numFmtId="10" fontId="4" fillId="0" borderId="0" xfId="1" applyNumberFormat="1" applyFont="1"/>
    <xf numFmtId="0" fontId="4" fillId="0" borderId="0" xfId="0" applyFont="1" applyAlignment="1">
      <alignment horizontal="lef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10" fontId="3" fillId="2" borderId="5" xfId="1" applyNumberFormat="1" applyFont="1" applyFill="1" applyBorder="1" applyAlignment="1">
      <alignment vertical="center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4" fontId="3" fillId="2" borderId="3" xfId="0" applyNumberFormat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0" fontId="6" fillId="0" borderId="0" xfId="0" applyFont="1"/>
    <xf numFmtId="10" fontId="6" fillId="0" borderId="0" xfId="1" applyNumberFormat="1" applyFont="1"/>
    <xf numFmtId="0" fontId="5" fillId="2" borderId="3" xfId="0" applyFont="1" applyFill="1" applyBorder="1" applyAlignment="1">
      <alignment horizontal="center" vertical="center" wrapText="1"/>
    </xf>
    <xf numFmtId="10" fontId="5" fillId="2" borderId="3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center" wrapText="1"/>
    </xf>
    <xf numFmtId="10" fontId="5" fillId="2" borderId="3" xfId="1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4" fontId="0" fillId="0" borderId="0" xfId="0" applyNumberFormat="1"/>
    <xf numFmtId="4" fontId="7" fillId="2" borderId="3" xfId="0" applyNumberFormat="1" applyFont="1" applyFill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/>
    </xf>
    <xf numFmtId="4" fontId="7" fillId="0" borderId="3" xfId="0" applyNumberFormat="1" applyFont="1" applyBorder="1" applyAlignment="1">
      <alignment horizontal="right" vertical="center" wrapText="1"/>
    </xf>
    <xf numFmtId="4" fontId="8" fillId="3" borderId="3" xfId="0" applyNumberFormat="1" applyFont="1" applyFill="1" applyBorder="1" applyAlignment="1">
      <alignment horizontal="right" vertical="center"/>
    </xf>
    <xf numFmtId="10" fontId="9" fillId="2" borderId="3" xfId="1" applyNumberFormat="1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/>
    </xf>
    <xf numFmtId="4" fontId="10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vertical="center"/>
    </xf>
    <xf numFmtId="0" fontId="11" fillId="0" borderId="0" xfId="0" applyFont="1"/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right" vertical="center"/>
    </xf>
    <xf numFmtId="10" fontId="13" fillId="0" borderId="3" xfId="1" applyNumberFormat="1" applyFont="1" applyBorder="1" applyAlignment="1">
      <alignment horizontal="center" vertical="center" wrapText="1"/>
    </xf>
    <xf numFmtId="0" fontId="1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10" fontId="7" fillId="0" borderId="3" xfId="1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vertical="center" wrapText="1"/>
    </xf>
    <xf numFmtId="10" fontId="7" fillId="0" borderId="3" xfId="1" applyNumberFormat="1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0" fontId="7" fillId="0" borderId="8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4" fontId="14" fillId="0" borderId="3" xfId="0" applyNumberFormat="1" applyFont="1" applyBorder="1" applyAlignment="1">
      <alignment vertical="center"/>
    </xf>
    <xf numFmtId="10" fontId="14" fillId="0" borderId="3" xfId="1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6" xfId="0" applyFont="1" applyBorder="1" applyAlignment="1">
      <alignment horizontal="center" vertical="center"/>
    </xf>
    <xf numFmtId="10" fontId="10" fillId="0" borderId="3" xfId="1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6" fillId="0" borderId="2" xfId="0" applyFont="1" applyBorder="1" applyAlignment="1">
      <alignment vertical="center" wrapText="1"/>
    </xf>
    <xf numFmtId="4" fontId="17" fillId="2" borderId="3" xfId="0" applyNumberFormat="1" applyFont="1" applyFill="1" applyBorder="1" applyAlignment="1">
      <alignment horizontal="center" vertical="center" wrapText="1"/>
    </xf>
    <xf numFmtId="4" fontId="17" fillId="2" borderId="5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vertical="center" wrapText="1"/>
    </xf>
    <xf numFmtId="4" fontId="21" fillId="0" borderId="3" xfId="0" applyNumberFormat="1" applyFont="1" applyBorder="1" applyAlignment="1">
      <alignment horizontal="right" vertical="center"/>
    </xf>
    <xf numFmtId="4" fontId="21" fillId="0" borderId="3" xfId="0" applyNumberFormat="1" applyFont="1" applyBorder="1" applyAlignment="1">
      <alignment horizontal="right" vertical="center" wrapText="1"/>
    </xf>
    <xf numFmtId="10" fontId="21" fillId="0" borderId="3" xfId="1" applyNumberFormat="1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4" fontId="21" fillId="0" borderId="3" xfId="0" applyNumberFormat="1" applyFont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colors>
    <mruColors>
      <color rgb="FFCCFFFF"/>
      <color rgb="FF00FF00"/>
      <color rgb="FFFF3399"/>
      <color rgb="FF66FFFF"/>
      <color rgb="FFFF99FF"/>
      <color rgb="FF99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workbookViewId="0">
      <pane ySplit="6" topLeftCell="A7" activePane="bottomLeft" state="frozen"/>
      <selection pane="bottomLeft" activeCell="F34" sqref="A1:F34"/>
    </sheetView>
  </sheetViews>
  <sheetFormatPr defaultColWidth="9.140625" defaultRowHeight="15" x14ac:dyDescent="0.25"/>
  <cols>
    <col min="1" max="1" width="7.5703125" style="34" customWidth="1"/>
    <col min="2" max="2" width="11.42578125" style="34" customWidth="1"/>
    <col min="3" max="3" width="37.7109375" style="34" customWidth="1"/>
    <col min="4" max="4" width="20.7109375" style="7" customWidth="1"/>
    <col min="5" max="5" width="20.7109375" style="35" customWidth="1"/>
    <col min="6" max="6" width="12.42578125" style="37" customWidth="1"/>
    <col min="7" max="8" width="9.140625" style="7"/>
    <col min="9" max="9" width="11.42578125" style="7" bestFit="1" customWidth="1"/>
    <col min="10" max="16384" width="9.140625" style="7"/>
  </cols>
  <sheetData>
    <row r="1" spans="1:6" x14ac:dyDescent="0.25">
      <c r="E1" s="1" t="s">
        <v>14</v>
      </c>
      <c r="F1" s="4"/>
    </row>
    <row r="2" spans="1:6" ht="31.5" customHeight="1" x14ac:dyDescent="0.25">
      <c r="E2" s="121" t="s">
        <v>59</v>
      </c>
      <c r="F2" s="121"/>
    </row>
    <row r="4" spans="1:6" ht="41.25" customHeight="1" x14ac:dyDescent="0.25">
      <c r="A4" s="120" t="s">
        <v>69</v>
      </c>
      <c r="B4" s="120"/>
      <c r="C4" s="120"/>
      <c r="D4" s="120"/>
      <c r="E4" s="120"/>
      <c r="F4" s="120"/>
    </row>
    <row r="5" spans="1:6" x14ac:dyDescent="0.25">
      <c r="B5" s="7"/>
      <c r="C5" s="6"/>
      <c r="D5" s="8"/>
      <c r="E5" s="8"/>
    </row>
    <row r="6" spans="1:6" s="5" customFormat="1" ht="66.75" customHeight="1" x14ac:dyDescent="0.25">
      <c r="A6" s="9" t="s">
        <v>15</v>
      </c>
      <c r="B6" s="9" t="s">
        <v>18</v>
      </c>
      <c r="C6" s="10" t="s">
        <v>19</v>
      </c>
      <c r="D6" s="11" t="s">
        <v>70</v>
      </c>
      <c r="E6" s="36" t="s">
        <v>71</v>
      </c>
      <c r="F6" s="38" t="s">
        <v>29</v>
      </c>
    </row>
    <row r="7" spans="1:6" ht="22.5" customHeight="1" x14ac:dyDescent="0.25">
      <c r="A7" s="12">
        <v>852</v>
      </c>
      <c r="B7" s="13"/>
      <c r="C7" s="14" t="s">
        <v>16</v>
      </c>
      <c r="D7" s="15">
        <f>SUM(D8,D12,D14,D16)</f>
        <v>10680915</v>
      </c>
      <c r="E7" s="15">
        <f>SUM(E8,E12,E14,E16)</f>
        <v>10843856.770000001</v>
      </c>
      <c r="F7" s="41">
        <f t="shared" ref="F7" si="0">E7/D7</f>
        <v>1.0152554130427967</v>
      </c>
    </row>
    <row r="8" spans="1:6" ht="22.5" customHeight="1" x14ac:dyDescent="0.25">
      <c r="A8" s="19"/>
      <c r="B8" s="16">
        <v>85202</v>
      </c>
      <c r="C8" s="17" t="s">
        <v>33</v>
      </c>
      <c r="D8" s="18">
        <f>SUM(D9:D11)</f>
        <v>9966033</v>
      </c>
      <c r="E8" s="18">
        <f>SUM(E9:E11)</f>
        <v>10119253.9</v>
      </c>
      <c r="F8" s="40">
        <f t="shared" ref="F8:F34" si="1">E8/D8</f>
        <v>1.0153743119253167</v>
      </c>
    </row>
    <row r="9" spans="1:6" s="90" customFormat="1" ht="34.5" customHeight="1" x14ac:dyDescent="0.25">
      <c r="A9" s="86"/>
      <c r="B9" s="86">
        <v>1</v>
      </c>
      <c r="C9" s="88" t="s">
        <v>47</v>
      </c>
      <c r="D9" s="70">
        <v>2865040</v>
      </c>
      <c r="E9" s="70">
        <v>2925646.97</v>
      </c>
      <c r="F9" s="89">
        <f t="shared" si="1"/>
        <v>1.0211539699271215</v>
      </c>
    </row>
    <row r="10" spans="1:6" s="90" customFormat="1" ht="34.5" customHeight="1" x14ac:dyDescent="0.25">
      <c r="A10" s="86"/>
      <c r="B10" s="87">
        <f>B9+1</f>
        <v>2</v>
      </c>
      <c r="C10" s="88" t="s">
        <v>39</v>
      </c>
      <c r="D10" s="70">
        <v>3104826</v>
      </c>
      <c r="E10" s="70">
        <v>3149200.16</v>
      </c>
      <c r="F10" s="89">
        <f t="shared" si="1"/>
        <v>1.0142919957511307</v>
      </c>
    </row>
    <row r="11" spans="1:6" s="90" customFormat="1" ht="34.5" customHeight="1" x14ac:dyDescent="0.25">
      <c r="A11" s="86"/>
      <c r="B11" s="86">
        <f>B10+1</f>
        <v>3</v>
      </c>
      <c r="C11" s="88" t="s">
        <v>34</v>
      </c>
      <c r="D11" s="70">
        <v>3996167</v>
      </c>
      <c r="E11" s="70">
        <v>4044406.77</v>
      </c>
      <c r="F11" s="89">
        <f t="shared" si="1"/>
        <v>1.012071510024481</v>
      </c>
    </row>
    <row r="12" spans="1:6" ht="22.5" customHeight="1" x14ac:dyDescent="0.25">
      <c r="A12" s="19"/>
      <c r="B12" s="16">
        <v>85203</v>
      </c>
      <c r="C12" s="17" t="s">
        <v>21</v>
      </c>
      <c r="D12" s="69">
        <f>D13</f>
        <v>3500</v>
      </c>
      <c r="E12" s="69">
        <f>E13</f>
        <v>4412.6000000000004</v>
      </c>
      <c r="F12" s="40">
        <f t="shared" si="1"/>
        <v>1.2607428571428572</v>
      </c>
    </row>
    <row r="13" spans="1:6" s="90" customFormat="1" ht="36" customHeight="1" x14ac:dyDescent="0.25">
      <c r="A13" s="86"/>
      <c r="B13" s="86">
        <v>1</v>
      </c>
      <c r="C13" s="88" t="s">
        <v>52</v>
      </c>
      <c r="D13" s="70">
        <v>3500</v>
      </c>
      <c r="E13" s="70">
        <v>4412.6000000000004</v>
      </c>
      <c r="F13" s="89">
        <f t="shared" si="1"/>
        <v>1.2607428571428572</v>
      </c>
    </row>
    <row r="14" spans="1:6" ht="22.5" customHeight="1" x14ac:dyDescent="0.25">
      <c r="A14" s="19"/>
      <c r="B14" s="16">
        <v>85218</v>
      </c>
      <c r="C14" s="17" t="s">
        <v>23</v>
      </c>
      <c r="D14" s="69">
        <f>D15</f>
        <v>685182</v>
      </c>
      <c r="E14" s="69">
        <f>E15</f>
        <v>693730.71</v>
      </c>
      <c r="F14" s="40">
        <f t="shared" si="1"/>
        <v>1.0124765536747899</v>
      </c>
    </row>
    <row r="15" spans="1:6" s="90" customFormat="1" ht="34.5" customHeight="1" x14ac:dyDescent="0.25">
      <c r="A15" s="86"/>
      <c r="B15" s="86">
        <v>1</v>
      </c>
      <c r="C15" s="88" t="s">
        <v>50</v>
      </c>
      <c r="D15" s="70">
        <v>685182</v>
      </c>
      <c r="E15" s="70">
        <v>693730.71</v>
      </c>
      <c r="F15" s="89">
        <f t="shared" si="1"/>
        <v>1.0124765536747899</v>
      </c>
    </row>
    <row r="16" spans="1:6" ht="22.5" customHeight="1" x14ac:dyDescent="0.25">
      <c r="A16" s="19"/>
      <c r="B16" s="16">
        <v>85295</v>
      </c>
      <c r="C16" s="17" t="s">
        <v>27</v>
      </c>
      <c r="D16" s="69">
        <f>D17</f>
        <v>26200</v>
      </c>
      <c r="E16" s="69">
        <f>E17</f>
        <v>26459.559999999998</v>
      </c>
      <c r="F16" s="40">
        <f t="shared" si="1"/>
        <v>1.0099068702290075</v>
      </c>
    </row>
    <row r="17" spans="1:6" s="90" customFormat="1" ht="34.5" customHeight="1" x14ac:dyDescent="0.25">
      <c r="A17" s="86"/>
      <c r="B17" s="86">
        <v>1</v>
      </c>
      <c r="C17" s="88" t="s">
        <v>50</v>
      </c>
      <c r="D17" s="70">
        <f>3700+2500+20000</f>
        <v>26200</v>
      </c>
      <c r="E17" s="70">
        <f>3896.79+2562.77+20000</f>
        <v>26459.559999999998</v>
      </c>
      <c r="F17" s="89">
        <f t="shared" si="1"/>
        <v>1.0099068702290075</v>
      </c>
    </row>
    <row r="18" spans="1:6" ht="34.5" customHeight="1" x14ac:dyDescent="0.25">
      <c r="A18" s="12">
        <v>853</v>
      </c>
      <c r="B18" s="21"/>
      <c r="C18" s="22" t="s">
        <v>24</v>
      </c>
      <c r="D18" s="72">
        <f>D21+D19</f>
        <v>175356</v>
      </c>
      <c r="E18" s="72">
        <f>E21+E19</f>
        <v>175355.32</v>
      </c>
      <c r="F18" s="41">
        <f>E18/D18</f>
        <v>0.99999612217431966</v>
      </c>
    </row>
    <row r="19" spans="1:6" ht="34.5" hidden="1" customHeight="1" x14ac:dyDescent="0.25">
      <c r="A19" s="19"/>
      <c r="B19" s="16">
        <v>85321</v>
      </c>
      <c r="C19" s="23" t="s">
        <v>30</v>
      </c>
      <c r="D19" s="69">
        <f>D20</f>
        <v>0</v>
      </c>
      <c r="E19" s="69">
        <f>E20</f>
        <v>0</v>
      </c>
      <c r="F19" s="73" t="e">
        <f>E19/D19</f>
        <v>#DIV/0!</v>
      </c>
    </row>
    <row r="20" spans="1:6" s="84" customFormat="1" ht="34.5" hidden="1" customHeight="1" x14ac:dyDescent="0.25">
      <c r="A20" s="80"/>
      <c r="B20" s="80">
        <v>1</v>
      </c>
      <c r="C20" s="81" t="s">
        <v>50</v>
      </c>
      <c r="D20" s="82"/>
      <c r="E20" s="82"/>
      <c r="F20" s="83" t="e">
        <f t="shared" si="1"/>
        <v>#DIV/0!</v>
      </c>
    </row>
    <row r="21" spans="1:6" ht="35.1" customHeight="1" x14ac:dyDescent="0.25">
      <c r="A21" s="19"/>
      <c r="B21" s="16">
        <v>85324</v>
      </c>
      <c r="C21" s="23" t="s">
        <v>56</v>
      </c>
      <c r="D21" s="69">
        <f>D22</f>
        <v>175356</v>
      </c>
      <c r="E21" s="69">
        <f>E22</f>
        <v>175355.32</v>
      </c>
      <c r="F21" s="40">
        <f t="shared" si="1"/>
        <v>0.99999612217431966</v>
      </c>
    </row>
    <row r="22" spans="1:6" s="90" customFormat="1" ht="34.5" customHeight="1" x14ac:dyDescent="0.25">
      <c r="A22" s="86"/>
      <c r="B22" s="86">
        <v>1</v>
      </c>
      <c r="C22" s="88" t="s">
        <v>50</v>
      </c>
      <c r="D22" s="70">
        <v>175356</v>
      </c>
      <c r="E22" s="70">
        <v>175355.32</v>
      </c>
      <c r="F22" s="89">
        <f t="shared" si="1"/>
        <v>0.99999612217431966</v>
      </c>
    </row>
    <row r="23" spans="1:6" ht="22.5" customHeight="1" x14ac:dyDescent="0.25">
      <c r="A23" s="12">
        <v>855</v>
      </c>
      <c r="B23" s="21"/>
      <c r="C23" s="22" t="s">
        <v>41</v>
      </c>
      <c r="D23" s="72">
        <f>SUM(D26,D28,D30)</f>
        <v>41025</v>
      </c>
      <c r="E23" s="72">
        <f>SUM(E26,E28,E30)</f>
        <v>54076.46</v>
      </c>
      <c r="F23" s="41">
        <f>E23/D23</f>
        <v>1.3181343083485679</v>
      </c>
    </row>
    <row r="24" spans="1:6" ht="26.25" hidden="1" customHeight="1" x14ac:dyDescent="0.25">
      <c r="A24" s="19"/>
      <c r="B24" s="16">
        <v>85504</v>
      </c>
      <c r="C24" s="23" t="s">
        <v>42</v>
      </c>
      <c r="D24" s="69">
        <f>D25</f>
        <v>0</v>
      </c>
      <c r="E24" s="69">
        <f>E25</f>
        <v>0</v>
      </c>
      <c r="F24" s="40" t="e">
        <f>E24/D24</f>
        <v>#DIV/0!</v>
      </c>
    </row>
    <row r="25" spans="1:6" s="84" customFormat="1" ht="34.5" hidden="1" customHeight="1" x14ac:dyDescent="0.25">
      <c r="A25" s="80"/>
      <c r="B25" s="80">
        <v>2</v>
      </c>
      <c r="C25" s="81" t="s">
        <v>50</v>
      </c>
      <c r="D25" s="82"/>
      <c r="E25" s="82"/>
      <c r="F25" s="83"/>
    </row>
    <row r="26" spans="1:6" ht="28.5" customHeight="1" x14ac:dyDescent="0.25">
      <c r="A26" s="19"/>
      <c r="B26" s="16">
        <v>85504</v>
      </c>
      <c r="C26" s="23" t="s">
        <v>42</v>
      </c>
      <c r="D26" s="69">
        <f>D27</f>
        <v>19129</v>
      </c>
      <c r="E26" s="69">
        <f>E27</f>
        <v>21934.93</v>
      </c>
      <c r="F26" s="40">
        <f t="shared" ref="F26" si="2">E26/D26</f>
        <v>1.1466846149824874</v>
      </c>
    </row>
    <row r="27" spans="1:6" s="90" customFormat="1" ht="36" customHeight="1" x14ac:dyDescent="0.25">
      <c r="A27" s="86"/>
      <c r="B27" s="86">
        <v>1</v>
      </c>
      <c r="C27" s="88" t="s">
        <v>50</v>
      </c>
      <c r="D27" s="70">
        <v>19129</v>
      </c>
      <c r="E27" s="70">
        <v>21934.93</v>
      </c>
      <c r="F27" s="89">
        <f>E27/D27</f>
        <v>1.1466846149824874</v>
      </c>
    </row>
    <row r="28" spans="1:6" ht="22.5" customHeight="1" x14ac:dyDescent="0.25">
      <c r="A28" s="19"/>
      <c r="B28" s="16">
        <v>85508</v>
      </c>
      <c r="C28" s="23" t="s">
        <v>22</v>
      </c>
      <c r="D28" s="69">
        <f>D29</f>
        <v>1039</v>
      </c>
      <c r="E28" s="69">
        <f>E29</f>
        <v>1039.46</v>
      </c>
      <c r="F28" s="40">
        <f t="shared" ref="F28" si="3">E28/D28</f>
        <v>1.0004427333974977</v>
      </c>
    </row>
    <row r="29" spans="1:6" s="90" customFormat="1" ht="36" customHeight="1" x14ac:dyDescent="0.25">
      <c r="A29" s="86"/>
      <c r="B29" s="86">
        <v>1</v>
      </c>
      <c r="C29" s="88" t="s">
        <v>50</v>
      </c>
      <c r="D29" s="70">
        <v>1039</v>
      </c>
      <c r="E29" s="70">
        <v>1039.46</v>
      </c>
      <c r="F29" s="89">
        <f>E29/D29</f>
        <v>1.0004427333974977</v>
      </c>
    </row>
    <row r="30" spans="1:6" ht="34.5" customHeight="1" x14ac:dyDescent="0.25">
      <c r="A30" s="19"/>
      <c r="B30" s="16">
        <v>85510</v>
      </c>
      <c r="C30" s="23" t="s">
        <v>40</v>
      </c>
      <c r="D30" s="69">
        <f>SUM(D31:D33)</f>
        <v>20857</v>
      </c>
      <c r="E30" s="69">
        <f>SUM(E31:E33)</f>
        <v>31102.07</v>
      </c>
      <c r="F30" s="40">
        <f t="shared" ref="F30" si="4">E30/D30</f>
        <v>1.4912053507215803</v>
      </c>
    </row>
    <row r="31" spans="1:6" s="90" customFormat="1" ht="22.5" customHeight="1" x14ac:dyDescent="0.25">
      <c r="A31" s="86"/>
      <c r="B31" s="91">
        <v>1</v>
      </c>
      <c r="C31" s="92" t="s">
        <v>17</v>
      </c>
      <c r="D31" s="70">
        <v>3957</v>
      </c>
      <c r="E31" s="70">
        <v>4159.96</v>
      </c>
      <c r="F31" s="89">
        <f t="shared" ref="F31:F33" si="5">E31/D31</f>
        <v>1.051291382360374</v>
      </c>
    </row>
    <row r="32" spans="1:6" s="90" customFormat="1" ht="51" customHeight="1" x14ac:dyDescent="0.25">
      <c r="A32" s="95"/>
      <c r="B32" s="87">
        <v>2</v>
      </c>
      <c r="C32" s="94" t="s">
        <v>51</v>
      </c>
      <c r="D32" s="70">
        <v>16000</v>
      </c>
      <c r="E32" s="70">
        <v>26042.11</v>
      </c>
      <c r="F32" s="89">
        <f t="shared" ref="F32" si="6">E32/D32</f>
        <v>1.6276318750000001</v>
      </c>
    </row>
    <row r="33" spans="1:6" s="90" customFormat="1" ht="38.25" customHeight="1" x14ac:dyDescent="0.25">
      <c r="A33" s="95"/>
      <c r="B33" s="87">
        <v>3</v>
      </c>
      <c r="C33" s="94" t="s">
        <v>50</v>
      </c>
      <c r="D33" s="70">
        <v>900</v>
      </c>
      <c r="E33" s="70">
        <v>900</v>
      </c>
      <c r="F33" s="89">
        <f t="shared" si="5"/>
        <v>1</v>
      </c>
    </row>
    <row r="34" spans="1:6" ht="26.25" customHeight="1" x14ac:dyDescent="0.25">
      <c r="A34" s="50"/>
      <c r="B34" s="24"/>
      <c r="C34" s="25" t="s">
        <v>25</v>
      </c>
      <c r="D34" s="26">
        <f>SUM(D7,D18,D23)</f>
        <v>10897296</v>
      </c>
      <c r="E34" s="26">
        <f>SUM(E7,E18,E23)</f>
        <v>11073288.550000003</v>
      </c>
      <c r="F34" s="38">
        <f t="shared" si="1"/>
        <v>1.0161501119176723</v>
      </c>
    </row>
    <row r="35" spans="1:6" ht="15.75" x14ac:dyDescent="0.25">
      <c r="A35" s="96"/>
      <c r="B35" s="27"/>
      <c r="C35" s="28"/>
      <c r="D35" s="29"/>
      <c r="E35" s="29"/>
    </row>
  </sheetData>
  <mergeCells count="2">
    <mergeCell ref="A4:F4"/>
    <mergeCell ref="E2:F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3"/>
  <sheetViews>
    <sheetView workbookViewId="0">
      <selection activeCell="R7" sqref="R7"/>
    </sheetView>
  </sheetViews>
  <sheetFormatPr defaultColWidth="9.140625" defaultRowHeight="15" x14ac:dyDescent="0.2"/>
  <cols>
    <col min="1" max="1" width="5.140625" style="42" customWidth="1"/>
    <col min="2" max="2" width="34.42578125" style="43" customWidth="1"/>
    <col min="3" max="3" width="11.5703125" style="44" hidden="1" customWidth="1"/>
    <col min="4" max="4" width="8.42578125" style="44" hidden="1" customWidth="1"/>
    <col min="5" max="5" width="9.140625" style="44" hidden="1" customWidth="1"/>
    <col min="6" max="6" width="12.7109375" style="44" hidden="1" customWidth="1"/>
    <col min="7" max="7" width="6.140625" style="44" hidden="1" customWidth="1"/>
    <col min="8" max="8" width="19.42578125" style="44" customWidth="1"/>
    <col min="9" max="9" width="18" style="44" customWidth="1"/>
    <col min="10" max="10" width="12.28515625" style="46" customWidth="1"/>
    <col min="11" max="16384" width="9.140625" style="45"/>
  </cols>
  <sheetData>
    <row r="1" spans="1:12" x14ac:dyDescent="0.2">
      <c r="I1" s="1" t="s">
        <v>31</v>
      </c>
      <c r="J1" s="4"/>
    </row>
    <row r="2" spans="1:12" ht="36" customHeight="1" x14ac:dyDescent="0.2">
      <c r="I2" s="121" t="s">
        <v>59</v>
      </c>
      <c r="J2" s="121"/>
    </row>
    <row r="3" spans="1:12" x14ac:dyDescent="0.2">
      <c r="K3" s="47"/>
      <c r="L3" s="47"/>
    </row>
    <row r="4" spans="1:12" ht="43.5" customHeight="1" x14ac:dyDescent="0.2">
      <c r="A4" s="120" t="s">
        <v>68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2" ht="15.75" x14ac:dyDescent="0.25">
      <c r="D5" s="122" t="s">
        <v>7</v>
      </c>
      <c r="E5" s="122"/>
      <c r="F5" s="122"/>
      <c r="G5" s="122"/>
    </row>
    <row r="6" spans="1:12" s="49" customFormat="1" ht="63" x14ac:dyDescent="0.25">
      <c r="A6" s="48" t="s">
        <v>73</v>
      </c>
      <c r="B6" s="48" t="s">
        <v>19</v>
      </c>
      <c r="C6" s="11" t="s">
        <v>1</v>
      </c>
      <c r="D6" s="11" t="s">
        <v>2</v>
      </c>
      <c r="E6" s="11" t="s">
        <v>3</v>
      </c>
      <c r="F6" s="11" t="s">
        <v>4</v>
      </c>
      <c r="G6" s="11" t="s">
        <v>6</v>
      </c>
      <c r="H6" s="11" t="s">
        <v>8</v>
      </c>
      <c r="I6" s="11" t="s">
        <v>9</v>
      </c>
      <c r="J6" s="38" t="s">
        <v>13</v>
      </c>
    </row>
    <row r="7" spans="1:12" s="90" customFormat="1" ht="39.950000000000003" customHeight="1" x14ac:dyDescent="0.25">
      <c r="A7" s="87" t="s">
        <v>74</v>
      </c>
      <c r="B7" s="88" t="s">
        <v>17</v>
      </c>
      <c r="C7" s="76">
        <v>11175.45</v>
      </c>
      <c r="D7" s="76"/>
      <c r="E7" s="76">
        <v>56.83</v>
      </c>
      <c r="F7" s="76">
        <v>4681.7700000000004</v>
      </c>
      <c r="G7" s="76">
        <v>0.4</v>
      </c>
      <c r="H7" s="76">
        <f>'Dochody Z1'!D31</f>
        <v>3957</v>
      </c>
      <c r="I7" s="76">
        <f>'Dochody Z1'!E31</f>
        <v>4159.96</v>
      </c>
      <c r="J7" s="93">
        <f t="shared" ref="J7:J12" si="0">I7/H7</f>
        <v>1.051291382360374</v>
      </c>
    </row>
    <row r="8" spans="1:12" s="90" customFormat="1" ht="39.950000000000003" customHeight="1" x14ac:dyDescent="0.25">
      <c r="A8" s="87" t="s">
        <v>75</v>
      </c>
      <c r="B8" s="88" t="s">
        <v>47</v>
      </c>
      <c r="C8" s="76">
        <v>42125.39</v>
      </c>
      <c r="D8" s="76"/>
      <c r="E8" s="76">
        <v>292.2</v>
      </c>
      <c r="F8" s="76">
        <v>6328.97</v>
      </c>
      <c r="G8" s="76">
        <v>1.28</v>
      </c>
      <c r="H8" s="76">
        <f>'Dochody Z1'!D9</f>
        <v>2865040</v>
      </c>
      <c r="I8" s="76">
        <f>'Dochody Z1'!E9</f>
        <v>2925646.97</v>
      </c>
      <c r="J8" s="93">
        <f t="shared" si="0"/>
        <v>1.0211539699271215</v>
      </c>
    </row>
    <row r="9" spans="1:12" s="90" customFormat="1" ht="39.950000000000003" customHeight="1" x14ac:dyDescent="0.25">
      <c r="A9" s="87" t="s">
        <v>76</v>
      </c>
      <c r="B9" s="88" t="s">
        <v>39</v>
      </c>
      <c r="C9" s="76">
        <v>75779.009999999995</v>
      </c>
      <c r="D9" s="76"/>
      <c r="E9" s="76"/>
      <c r="F9" s="76">
        <v>3973.3</v>
      </c>
      <c r="G9" s="76">
        <v>0.48</v>
      </c>
      <c r="H9" s="76">
        <f>'Dochody Z1'!D10</f>
        <v>3104826</v>
      </c>
      <c r="I9" s="76">
        <f>'Dochody Z1'!E10</f>
        <v>3149200.16</v>
      </c>
      <c r="J9" s="93">
        <f t="shared" si="0"/>
        <v>1.0142919957511307</v>
      </c>
    </row>
    <row r="10" spans="1:12" s="90" customFormat="1" ht="39.950000000000003" customHeight="1" x14ac:dyDescent="0.25">
      <c r="A10" s="87" t="s">
        <v>77</v>
      </c>
      <c r="B10" s="88" t="s">
        <v>72</v>
      </c>
      <c r="C10" s="76">
        <v>45668.49</v>
      </c>
      <c r="D10" s="76"/>
      <c r="E10" s="76">
        <v>107.67</v>
      </c>
      <c r="F10" s="76">
        <v>29394.6</v>
      </c>
      <c r="G10" s="76">
        <v>0.8</v>
      </c>
      <c r="H10" s="76">
        <f>'Dochody Z1'!D11</f>
        <v>3996167</v>
      </c>
      <c r="I10" s="76">
        <f>'Dochody Z1'!E11</f>
        <v>4044406.77</v>
      </c>
      <c r="J10" s="93">
        <f t="shared" si="0"/>
        <v>1.012071510024481</v>
      </c>
    </row>
    <row r="11" spans="1:12" s="90" customFormat="1" ht="69.75" customHeight="1" x14ac:dyDescent="0.25">
      <c r="A11" s="87" t="s">
        <v>78</v>
      </c>
      <c r="B11" s="94" t="s">
        <v>49</v>
      </c>
      <c r="C11" s="76">
        <v>114435.84</v>
      </c>
      <c r="D11" s="76"/>
      <c r="E11" s="76"/>
      <c r="F11" s="76">
        <v>74593.77</v>
      </c>
      <c r="G11" s="76">
        <v>2.08</v>
      </c>
      <c r="H11" s="76">
        <f>'Dochody Z1'!D15+'Dochody Z1'!D17+'Dochody Z1'!D22+'Dochody Z1'!D25+'Dochody Z1'!D27+'Dochody Z1'!D33+'Dochody Z1'!D28+'Dochody Z1'!D32</f>
        <v>923806</v>
      </c>
      <c r="I11" s="76">
        <f>'Dochody Z1'!E15+'Dochody Z1'!E17+'Dochody Z1'!E22+'Dochody Z1'!E25+'Dochody Z1'!E27+'Dochody Z1'!E33+'Dochody Z1'!E28+'Dochody Z1'!E32</f>
        <v>945462.09000000008</v>
      </c>
      <c r="J11" s="93">
        <f t="shared" si="0"/>
        <v>1.0234422486972374</v>
      </c>
    </row>
    <row r="12" spans="1:12" s="90" customFormat="1" ht="39.950000000000003" customHeight="1" x14ac:dyDescent="0.25">
      <c r="A12" s="87" t="s">
        <v>79</v>
      </c>
      <c r="B12" s="94" t="s">
        <v>52</v>
      </c>
      <c r="C12" s="76">
        <v>21977.61</v>
      </c>
      <c r="D12" s="76">
        <v>180</v>
      </c>
      <c r="E12" s="76"/>
      <c r="F12" s="76">
        <v>21007.9</v>
      </c>
      <c r="G12" s="76">
        <v>1.36</v>
      </c>
      <c r="H12" s="76">
        <f>'Dochody Z1'!D13</f>
        <v>3500</v>
      </c>
      <c r="I12" s="76">
        <f>'Dochody Z1'!E13</f>
        <v>4412.6000000000004</v>
      </c>
      <c r="J12" s="93">
        <f t="shared" si="0"/>
        <v>1.2607428571428572</v>
      </c>
    </row>
    <row r="13" spans="1:12" s="5" customFormat="1" ht="30" customHeight="1" x14ac:dyDescent="0.25">
      <c r="A13" s="50"/>
      <c r="B13" s="25" t="s">
        <v>5</v>
      </c>
      <c r="C13" s="51">
        <f t="shared" ref="C13:I13" si="1">SUM(C7:C12)</f>
        <v>311161.78999999998</v>
      </c>
      <c r="D13" s="51">
        <f t="shared" si="1"/>
        <v>180</v>
      </c>
      <c r="E13" s="51">
        <f t="shared" si="1"/>
        <v>456.7</v>
      </c>
      <c r="F13" s="51">
        <f t="shared" si="1"/>
        <v>139980.31</v>
      </c>
      <c r="G13" s="51">
        <f t="shared" si="1"/>
        <v>6.4</v>
      </c>
      <c r="H13" s="55">
        <f t="shared" si="1"/>
        <v>10897296</v>
      </c>
      <c r="I13" s="55">
        <f t="shared" si="1"/>
        <v>11073288.549999999</v>
      </c>
      <c r="J13" s="52">
        <f>I13/H13</f>
        <v>1.0161501119176719</v>
      </c>
    </row>
  </sheetData>
  <mergeCells count="3">
    <mergeCell ref="A4:J4"/>
    <mergeCell ref="D5:G5"/>
    <mergeCell ref="I2:J2"/>
  </mergeCells>
  <phoneticPr fontId="23" type="noConversion"/>
  <printOptions horizontalCentered="1"/>
  <pageMargins left="0.70866141732283472" right="0.70866141732283472" top="0.81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81"/>
  <sheetViews>
    <sheetView workbookViewId="0">
      <pane ySplit="4" topLeftCell="A41" activePane="bottomLeft" state="frozen"/>
      <selection pane="bottomLeft" activeCell="L46" sqref="L46"/>
    </sheetView>
  </sheetViews>
  <sheetFormatPr defaultRowHeight="15" x14ac:dyDescent="0.25"/>
  <cols>
    <col min="1" max="1" width="9.140625" style="85"/>
    <col min="2" max="2" width="11" customWidth="1"/>
    <col min="3" max="3" width="41.42578125" customWidth="1"/>
    <col min="4" max="4" width="17.85546875" customWidth="1"/>
    <col min="5" max="5" width="18.7109375" customWidth="1"/>
    <col min="6" max="6" width="18" style="77" customWidth="1"/>
    <col min="7" max="7" width="18.28515625" style="77" customWidth="1"/>
    <col min="8" max="8" width="17.85546875" customWidth="1"/>
    <col min="9" max="9" width="19.7109375" customWidth="1"/>
    <col min="10" max="10" width="12.7109375" customWidth="1"/>
    <col min="12" max="13" width="11.7109375" bestFit="1" customWidth="1"/>
    <col min="15" max="15" width="11.7109375" bestFit="1" customWidth="1"/>
  </cols>
  <sheetData>
    <row r="1" spans="1:10" x14ac:dyDescent="0.25">
      <c r="I1" s="1" t="s">
        <v>46</v>
      </c>
      <c r="J1" s="4"/>
    </row>
    <row r="2" spans="1:10" s="1" customFormat="1" ht="26.25" customHeight="1" x14ac:dyDescent="0.25">
      <c r="A2" s="34"/>
      <c r="B2" s="7"/>
      <c r="C2" s="6"/>
      <c r="D2" s="3"/>
      <c r="F2" s="78"/>
      <c r="G2" s="78"/>
      <c r="H2" s="30"/>
      <c r="I2" s="121" t="s">
        <v>59</v>
      </c>
      <c r="J2" s="121"/>
    </row>
    <row r="3" spans="1:10" s="1" customFormat="1" ht="60.75" customHeight="1" x14ac:dyDescent="0.25">
      <c r="A3" s="120" t="s">
        <v>60</v>
      </c>
      <c r="B3" s="120"/>
      <c r="C3" s="120"/>
      <c r="D3" s="120"/>
      <c r="E3" s="120"/>
      <c r="F3" s="120"/>
      <c r="G3" s="120"/>
      <c r="H3" s="120"/>
      <c r="I3" s="120"/>
      <c r="J3" s="120"/>
    </row>
    <row r="4" spans="1:10" s="1" customFormat="1" ht="124.5" customHeight="1" x14ac:dyDescent="0.25">
      <c r="A4" s="9" t="s">
        <v>15</v>
      </c>
      <c r="B4" s="9" t="s">
        <v>18</v>
      </c>
      <c r="C4" s="10" t="s">
        <v>19</v>
      </c>
      <c r="D4" s="105" t="s">
        <v>61</v>
      </c>
      <c r="E4" s="106" t="s">
        <v>62</v>
      </c>
      <c r="F4" s="108" t="s">
        <v>63</v>
      </c>
      <c r="G4" s="109" t="s">
        <v>64</v>
      </c>
      <c r="H4" s="11" t="s">
        <v>65</v>
      </c>
      <c r="I4" s="36" t="s">
        <v>66</v>
      </c>
      <c r="J4" s="38" t="s">
        <v>29</v>
      </c>
    </row>
    <row r="5" spans="1:10" s="1" customFormat="1" ht="29.25" hidden="1" customHeight="1" x14ac:dyDescent="0.25">
      <c r="A5" s="32">
        <v>851</v>
      </c>
      <c r="B5" s="13"/>
      <c r="C5" s="14" t="s">
        <v>58</v>
      </c>
      <c r="D5" s="15">
        <f>SUM(D6)</f>
        <v>0</v>
      </c>
      <c r="E5" s="15">
        <f t="shared" ref="E5:I6" si="0">SUM(E6)</f>
        <v>0</v>
      </c>
      <c r="F5" s="15">
        <f t="shared" si="0"/>
        <v>0</v>
      </c>
      <c r="G5" s="15">
        <f t="shared" si="0"/>
        <v>0</v>
      </c>
      <c r="H5" s="15">
        <f t="shared" si="0"/>
        <v>0</v>
      </c>
      <c r="I5" s="15">
        <f t="shared" si="0"/>
        <v>0</v>
      </c>
      <c r="J5" s="41" t="e">
        <f t="shared" ref="J5:J7" si="1">I5/H5</f>
        <v>#DIV/0!</v>
      </c>
    </row>
    <row r="6" spans="1:10" s="1" customFormat="1" ht="22.5" hidden="1" customHeight="1" x14ac:dyDescent="0.25">
      <c r="A6" s="19"/>
      <c r="B6" s="16">
        <v>85195</v>
      </c>
      <c r="C6" s="17" t="s">
        <v>27</v>
      </c>
      <c r="D6" s="18">
        <f>SUM(D7)</f>
        <v>0</v>
      </c>
      <c r="E6" s="18">
        <f t="shared" si="0"/>
        <v>0</v>
      </c>
      <c r="F6" s="18">
        <f t="shared" si="0"/>
        <v>0</v>
      </c>
      <c r="G6" s="18">
        <f t="shared" si="0"/>
        <v>0</v>
      </c>
      <c r="H6" s="18">
        <f t="shared" si="0"/>
        <v>0</v>
      </c>
      <c r="I6" s="18">
        <f t="shared" si="0"/>
        <v>0</v>
      </c>
      <c r="J6" s="40" t="e">
        <f t="shared" si="1"/>
        <v>#DIV/0!</v>
      </c>
    </row>
    <row r="7" spans="1:10" s="111" customFormat="1" ht="24.75" hidden="1" customHeight="1" x14ac:dyDescent="0.25">
      <c r="A7" s="80"/>
      <c r="B7" s="80">
        <v>1</v>
      </c>
      <c r="C7" s="81"/>
      <c r="D7" s="82"/>
      <c r="E7" s="82"/>
      <c r="F7" s="82"/>
      <c r="G7" s="82"/>
      <c r="H7" s="110"/>
      <c r="I7" s="110"/>
      <c r="J7" s="83" t="e">
        <f t="shared" si="1"/>
        <v>#DIV/0!</v>
      </c>
    </row>
    <row r="8" spans="1:10" s="1" customFormat="1" ht="35.1" customHeight="1" x14ac:dyDescent="0.25">
      <c r="A8" s="12">
        <v>852</v>
      </c>
      <c r="B8" s="13"/>
      <c r="C8" s="14" t="s">
        <v>16</v>
      </c>
      <c r="D8" s="15">
        <f>SUM(D9,D13,D15,D19,D21,D23)</f>
        <v>9461939.870000001</v>
      </c>
      <c r="E8" s="15">
        <f t="shared" ref="E8:G8" si="2">SUM(E9,E13,E15,E19,E21,E23)</f>
        <v>9107257.1999999993</v>
      </c>
      <c r="F8" s="15">
        <f t="shared" si="2"/>
        <v>23679837.18</v>
      </c>
      <c r="G8" s="15">
        <f t="shared" si="2"/>
        <v>22956586.809999999</v>
      </c>
      <c r="H8" s="15">
        <f t="shared" ref="H8" si="3">SUM(H9,H13,H15,H19,H21,H23)</f>
        <v>33141777.050000001</v>
      </c>
      <c r="I8" s="15">
        <f t="shared" ref="I8" si="4">SUM(I9,I13,I15,I19,I21,I23)</f>
        <v>32063844.009999998</v>
      </c>
      <c r="J8" s="41">
        <f t="shared" ref="J8:J49" si="5">I8/H8</f>
        <v>0.96747509832156076</v>
      </c>
    </row>
    <row r="9" spans="1:10" s="1" customFormat="1" ht="23.25" customHeight="1" x14ac:dyDescent="0.25">
      <c r="A9" s="19"/>
      <c r="B9" s="16">
        <v>85202</v>
      </c>
      <c r="C9" s="17" t="s">
        <v>20</v>
      </c>
      <c r="D9" s="18">
        <f>SUM(D10:D12)</f>
        <v>5962439</v>
      </c>
      <c r="E9" s="18">
        <f t="shared" ref="E9:I9" si="6">SUM(E10:E12)</f>
        <v>5929696.3300000001</v>
      </c>
      <c r="F9" s="18">
        <f t="shared" si="6"/>
        <v>18609545.300000001</v>
      </c>
      <c r="G9" s="18">
        <f t="shared" si="6"/>
        <v>18088696.84</v>
      </c>
      <c r="H9" s="18">
        <f t="shared" si="6"/>
        <v>24571984.300000001</v>
      </c>
      <c r="I9" s="18">
        <f t="shared" si="6"/>
        <v>24018393.170000002</v>
      </c>
      <c r="J9" s="40">
        <f t="shared" si="5"/>
        <v>0.97747063797366995</v>
      </c>
    </row>
    <row r="10" spans="1:10" s="78" customFormat="1" ht="34.5" customHeight="1" x14ac:dyDescent="0.25">
      <c r="A10" s="86"/>
      <c r="B10" s="86">
        <v>1</v>
      </c>
      <c r="C10" s="88" t="s">
        <v>47</v>
      </c>
      <c r="D10" s="70">
        <f>200536+313957</f>
        <v>514493</v>
      </c>
      <c r="E10" s="70">
        <f>200536+302068.71</f>
        <v>502604.71</v>
      </c>
      <c r="F10" s="70">
        <v>3755401.3</v>
      </c>
      <c r="G10" s="70">
        <v>3589242.11</v>
      </c>
      <c r="H10" s="71">
        <f t="shared" ref="H10:H12" si="7">D10+F10</f>
        <v>4269894.3</v>
      </c>
      <c r="I10" s="71">
        <f t="shared" ref="I10:I12" si="8">E10+G10</f>
        <v>4091846.82</v>
      </c>
      <c r="J10" s="89">
        <f t="shared" si="5"/>
        <v>0.95830166568760267</v>
      </c>
    </row>
    <row r="11" spans="1:10" s="78" customFormat="1" ht="34.5" customHeight="1" x14ac:dyDescent="0.25">
      <c r="A11" s="86"/>
      <c r="B11" s="86">
        <f>B10+1</f>
        <v>2</v>
      </c>
      <c r="C11" s="88" t="s">
        <v>37</v>
      </c>
      <c r="D11" s="70">
        <f>397632+365862</f>
        <v>763494</v>
      </c>
      <c r="E11" s="70">
        <f>397632+356002.32</f>
        <v>753634.32000000007</v>
      </c>
      <c r="F11" s="70">
        <v>3776107</v>
      </c>
      <c r="G11" s="70">
        <v>3670643.16</v>
      </c>
      <c r="H11" s="71">
        <f t="shared" si="7"/>
        <v>4539601</v>
      </c>
      <c r="I11" s="71">
        <f t="shared" si="8"/>
        <v>4424277.4800000004</v>
      </c>
      <c r="J11" s="89">
        <f t="shared" si="5"/>
        <v>0.9745961109797977</v>
      </c>
    </row>
    <row r="12" spans="1:10" s="78" customFormat="1" ht="34.5" customHeight="1" x14ac:dyDescent="0.25">
      <c r="A12" s="86"/>
      <c r="B12" s="86">
        <f>B11+1</f>
        <v>3</v>
      </c>
      <c r="C12" s="88" t="s">
        <v>38</v>
      </c>
      <c r="D12" s="70">
        <f>200536+346016+4137900</f>
        <v>4684452</v>
      </c>
      <c r="E12" s="70">
        <f>200536+335021.3+4137900</f>
        <v>4673457.3</v>
      </c>
      <c r="F12" s="70">
        <f>5253561+5824476</f>
        <v>11078037</v>
      </c>
      <c r="G12" s="70">
        <f>5087670.45+5741141.12</f>
        <v>10828811.57</v>
      </c>
      <c r="H12" s="71">
        <f t="shared" si="7"/>
        <v>15762489</v>
      </c>
      <c r="I12" s="71">
        <f t="shared" si="8"/>
        <v>15502268.870000001</v>
      </c>
      <c r="J12" s="89">
        <f t="shared" si="5"/>
        <v>0.98349117769408123</v>
      </c>
    </row>
    <row r="13" spans="1:10" s="1" customFormat="1" ht="22.5" customHeight="1" x14ac:dyDescent="0.25">
      <c r="A13" s="19"/>
      <c r="B13" s="16">
        <v>85203</v>
      </c>
      <c r="C13" s="17" t="s">
        <v>21</v>
      </c>
      <c r="D13" s="69">
        <f>D14</f>
        <v>1632326.4000000001</v>
      </c>
      <c r="E13" s="69">
        <f t="shared" ref="E13:G13" si="9">E14</f>
        <v>1627314.8599999999</v>
      </c>
      <c r="F13" s="69">
        <f t="shared" si="9"/>
        <v>1400</v>
      </c>
      <c r="G13" s="69">
        <f t="shared" si="9"/>
        <v>1400</v>
      </c>
      <c r="H13" s="69">
        <f>H14</f>
        <v>1633726.4000000001</v>
      </c>
      <c r="I13" s="18">
        <f>I14</f>
        <v>1628714.8599999999</v>
      </c>
      <c r="J13" s="40">
        <f t="shared" si="5"/>
        <v>0.9969324484197597</v>
      </c>
    </row>
    <row r="14" spans="1:10" s="78" customFormat="1" ht="22.5" customHeight="1" x14ac:dyDescent="0.25">
      <c r="A14" s="86"/>
      <c r="B14" s="86">
        <v>1</v>
      </c>
      <c r="C14" s="88" t="s">
        <v>12</v>
      </c>
      <c r="D14" s="70">
        <f>104157+10545.1+1517624.3</f>
        <v>1632326.4000000001</v>
      </c>
      <c r="E14" s="70">
        <f>99187.81+10544.4+1517582.65</f>
        <v>1627314.8599999999</v>
      </c>
      <c r="F14" s="70">
        <v>1400</v>
      </c>
      <c r="G14" s="70">
        <v>1400</v>
      </c>
      <c r="H14" s="71">
        <f t="shared" ref="H14:I14" si="10">D14+F14</f>
        <v>1633726.4000000001</v>
      </c>
      <c r="I14" s="71">
        <f t="shared" si="10"/>
        <v>1628714.8599999999</v>
      </c>
      <c r="J14" s="89">
        <f t="shared" si="5"/>
        <v>0.9969324484197597</v>
      </c>
    </row>
    <row r="15" spans="1:10" s="1" customFormat="1" ht="35.1" customHeight="1" x14ac:dyDescent="0.25">
      <c r="A15" s="19"/>
      <c r="B15" s="16">
        <v>85205</v>
      </c>
      <c r="C15" s="17" t="s">
        <v>54</v>
      </c>
      <c r="D15" s="69">
        <f>D16</f>
        <v>15000</v>
      </c>
      <c r="E15" s="69">
        <f t="shared" ref="E15:E19" si="11">E16</f>
        <v>0</v>
      </c>
      <c r="F15" s="69">
        <f>F16</f>
        <v>5000</v>
      </c>
      <c r="G15" s="69">
        <f>G16</f>
        <v>4949.2</v>
      </c>
      <c r="H15" s="69">
        <f>H16</f>
        <v>20000</v>
      </c>
      <c r="I15" s="18">
        <f>I16</f>
        <v>4949.2</v>
      </c>
      <c r="J15" s="40">
        <f t="shared" ref="J15:J16" si="12">I15/H15</f>
        <v>0.24745999999999999</v>
      </c>
    </row>
    <row r="16" spans="1:10" s="78" customFormat="1" ht="22.5" customHeight="1" x14ac:dyDescent="0.25">
      <c r="A16" s="86"/>
      <c r="B16" s="86">
        <v>1</v>
      </c>
      <c r="C16" s="88" t="s">
        <v>11</v>
      </c>
      <c r="D16" s="70">
        <v>15000</v>
      </c>
      <c r="E16" s="70">
        <v>0</v>
      </c>
      <c r="F16" s="70">
        <v>5000</v>
      </c>
      <c r="G16" s="70">
        <v>4949.2</v>
      </c>
      <c r="H16" s="71">
        <f t="shared" ref="H16" si="13">D16+F16</f>
        <v>20000</v>
      </c>
      <c r="I16" s="71">
        <f t="shared" ref="I16" si="14">E16+G16</f>
        <v>4949.2</v>
      </c>
      <c r="J16" s="89">
        <f t="shared" si="12"/>
        <v>0.24745999999999999</v>
      </c>
    </row>
    <row r="17" spans="1:13" s="1" customFormat="1" ht="22.5" hidden="1" customHeight="1" x14ac:dyDescent="0.25">
      <c r="A17" s="19"/>
      <c r="B17" s="16">
        <v>85213</v>
      </c>
      <c r="C17" s="17" t="s">
        <v>55</v>
      </c>
      <c r="D17" s="69">
        <f>D18</f>
        <v>0</v>
      </c>
      <c r="E17" s="69">
        <f t="shared" si="11"/>
        <v>0</v>
      </c>
      <c r="F17" s="69">
        <f>F18</f>
        <v>0</v>
      </c>
      <c r="G17" s="69">
        <f>G18</f>
        <v>0</v>
      </c>
      <c r="H17" s="69">
        <f>H18</f>
        <v>0</v>
      </c>
      <c r="I17" s="18">
        <f>I18</f>
        <v>0</v>
      </c>
      <c r="J17" s="40" t="e">
        <f t="shared" ref="J17:J18" si="15">I17/H17</f>
        <v>#DIV/0!</v>
      </c>
    </row>
    <row r="18" spans="1:13" s="111" customFormat="1" ht="22.5" hidden="1" customHeight="1" x14ac:dyDescent="0.25">
      <c r="A18" s="80"/>
      <c r="B18" s="80">
        <v>1</v>
      </c>
      <c r="C18" s="81" t="s">
        <v>11</v>
      </c>
      <c r="D18" s="82">
        <v>0</v>
      </c>
      <c r="E18" s="82">
        <v>0</v>
      </c>
      <c r="F18" s="82">
        <v>0</v>
      </c>
      <c r="G18" s="82">
        <v>0</v>
      </c>
      <c r="H18" s="110">
        <f t="shared" ref="H18" si="16">D18+F18</f>
        <v>0</v>
      </c>
      <c r="I18" s="110">
        <f t="shared" ref="I18" si="17">E18+G18</f>
        <v>0</v>
      </c>
      <c r="J18" s="83" t="e">
        <f t="shared" si="15"/>
        <v>#DIV/0!</v>
      </c>
    </row>
    <row r="19" spans="1:13" s="1" customFormat="1" ht="22.5" customHeight="1" x14ac:dyDescent="0.25">
      <c r="A19" s="19"/>
      <c r="B19" s="16">
        <v>85218</v>
      </c>
      <c r="C19" s="17" t="s">
        <v>23</v>
      </c>
      <c r="D19" s="69">
        <f>D20</f>
        <v>268396</v>
      </c>
      <c r="E19" s="69">
        <f t="shared" si="11"/>
        <v>252040.13</v>
      </c>
      <c r="F19" s="69">
        <f>F20</f>
        <v>4965047</v>
      </c>
      <c r="G19" s="69">
        <f>G20</f>
        <v>4779670.3000000007</v>
      </c>
      <c r="H19" s="69">
        <f>H20</f>
        <v>5233443</v>
      </c>
      <c r="I19" s="18">
        <f>I20</f>
        <v>5031710.4300000006</v>
      </c>
      <c r="J19" s="40">
        <f t="shared" si="5"/>
        <v>0.96145318292374649</v>
      </c>
    </row>
    <row r="20" spans="1:13" s="78" customFormat="1" ht="22.5" customHeight="1" x14ac:dyDescent="0.25">
      <c r="A20" s="86"/>
      <c r="B20" s="86">
        <v>1</v>
      </c>
      <c r="C20" s="88" t="s">
        <v>11</v>
      </c>
      <c r="D20" s="70">
        <f>268396</f>
        <v>268396</v>
      </c>
      <c r="E20" s="70">
        <f>252040.13</f>
        <v>252040.13</v>
      </c>
      <c r="F20" s="70">
        <f>4789691+175356</f>
        <v>4965047</v>
      </c>
      <c r="G20" s="70">
        <f>4604314.98+175355.32</f>
        <v>4779670.3000000007</v>
      </c>
      <c r="H20" s="71">
        <f t="shared" ref="H20:I20" si="18">D20+F20</f>
        <v>5233443</v>
      </c>
      <c r="I20" s="71">
        <f t="shared" si="18"/>
        <v>5031710.4300000006</v>
      </c>
      <c r="J20" s="89">
        <f t="shared" si="5"/>
        <v>0.96145318292374649</v>
      </c>
    </row>
    <row r="21" spans="1:13" s="1" customFormat="1" ht="22.5" customHeight="1" x14ac:dyDescent="0.25">
      <c r="A21" s="19"/>
      <c r="B21" s="16">
        <v>85231</v>
      </c>
      <c r="C21" s="33" t="s">
        <v>26</v>
      </c>
      <c r="D21" s="69">
        <f>D22</f>
        <v>129784</v>
      </c>
      <c r="E21" s="69">
        <f t="shared" ref="E21:G21" si="19">E22</f>
        <v>129783.56</v>
      </c>
      <c r="F21" s="69">
        <f t="shared" si="19"/>
        <v>0</v>
      </c>
      <c r="G21" s="69">
        <f t="shared" si="19"/>
        <v>0</v>
      </c>
      <c r="H21" s="69">
        <f>H22</f>
        <v>129784</v>
      </c>
      <c r="I21" s="18">
        <f>I22</f>
        <v>129783.56</v>
      </c>
      <c r="J21" s="40">
        <f t="shared" si="5"/>
        <v>0.99999660975158722</v>
      </c>
    </row>
    <row r="22" spans="1:13" s="78" customFormat="1" ht="22.5" customHeight="1" x14ac:dyDescent="0.25">
      <c r="A22" s="86"/>
      <c r="B22" s="86">
        <v>1</v>
      </c>
      <c r="C22" s="88" t="s">
        <v>11</v>
      </c>
      <c r="D22" s="70">
        <v>129784</v>
      </c>
      <c r="E22" s="70">
        <v>129783.56</v>
      </c>
      <c r="F22" s="70">
        <v>0</v>
      </c>
      <c r="G22" s="70">
        <v>0</v>
      </c>
      <c r="H22" s="71">
        <f t="shared" ref="H22:I22" si="20">D22+F22</f>
        <v>129784</v>
      </c>
      <c r="I22" s="71">
        <f t="shared" si="20"/>
        <v>129783.56</v>
      </c>
      <c r="J22" s="89">
        <f t="shared" si="5"/>
        <v>0.99999660975158722</v>
      </c>
    </row>
    <row r="23" spans="1:13" s="1" customFormat="1" ht="22.5" customHeight="1" x14ac:dyDescent="0.25">
      <c r="A23" s="19"/>
      <c r="B23" s="16">
        <v>85295</v>
      </c>
      <c r="C23" s="33" t="s">
        <v>27</v>
      </c>
      <c r="D23" s="69">
        <f t="shared" ref="D23:I23" si="21">SUM(D25:D29)</f>
        <v>1453994.47</v>
      </c>
      <c r="E23" s="69">
        <f t="shared" si="21"/>
        <v>1168422.3199999998</v>
      </c>
      <c r="F23" s="69">
        <f t="shared" si="21"/>
        <v>98844.88</v>
      </c>
      <c r="G23" s="69">
        <f t="shared" si="21"/>
        <v>81870.47</v>
      </c>
      <c r="H23" s="69">
        <f t="shared" si="21"/>
        <v>1552839.35</v>
      </c>
      <c r="I23" s="69">
        <f t="shared" si="21"/>
        <v>1250292.79</v>
      </c>
      <c r="J23" s="40">
        <f t="shared" si="5"/>
        <v>0.80516557620722318</v>
      </c>
      <c r="L23" s="2"/>
    </row>
    <row r="24" spans="1:13" s="1" customFormat="1" ht="22.5" hidden="1" customHeight="1" x14ac:dyDescent="0.25">
      <c r="A24" s="19"/>
      <c r="B24" s="19">
        <v>1</v>
      </c>
      <c r="C24" s="20" t="s">
        <v>10</v>
      </c>
      <c r="D24" s="70"/>
      <c r="E24" s="70"/>
      <c r="F24" s="70">
        <v>0</v>
      </c>
      <c r="G24" s="70">
        <v>0</v>
      </c>
      <c r="H24" s="71">
        <f t="shared" ref="H24" si="22">D24+F24</f>
        <v>0</v>
      </c>
      <c r="I24" s="31">
        <f t="shared" ref="I24" si="23">E24+G24</f>
        <v>0</v>
      </c>
      <c r="J24" s="39" t="e">
        <f>I24/H24</f>
        <v>#DIV/0!</v>
      </c>
    </row>
    <row r="25" spans="1:13" s="78" customFormat="1" ht="22.5" customHeight="1" x14ac:dyDescent="0.25">
      <c r="A25" s="86"/>
      <c r="B25" s="86">
        <v>1</v>
      </c>
      <c r="C25" s="88" t="s">
        <v>11</v>
      </c>
      <c r="D25" s="70">
        <v>4317</v>
      </c>
      <c r="E25" s="70">
        <v>4316.07</v>
      </c>
      <c r="F25" s="70">
        <v>55753</v>
      </c>
      <c r="G25" s="70">
        <v>42299.99</v>
      </c>
      <c r="H25" s="71">
        <f t="shared" ref="H25" si="24">D25+F25</f>
        <v>60070</v>
      </c>
      <c r="I25" s="71">
        <f t="shared" ref="I25" si="25">E25+G25</f>
        <v>46616.06</v>
      </c>
      <c r="J25" s="89">
        <f>I25/H25</f>
        <v>0.77602896620609285</v>
      </c>
    </row>
    <row r="26" spans="1:13" s="117" customFormat="1" ht="24" hidden="1" customHeight="1" x14ac:dyDescent="0.25">
      <c r="A26" s="112"/>
      <c r="B26" s="112"/>
      <c r="C26" s="113" t="s">
        <v>45</v>
      </c>
      <c r="D26" s="114"/>
      <c r="E26" s="114"/>
      <c r="F26" s="114"/>
      <c r="G26" s="114"/>
      <c r="H26" s="115">
        <f t="shared" ref="H26" si="26">D26+F26</f>
        <v>0</v>
      </c>
      <c r="I26" s="115">
        <f t="shared" ref="I26" si="27">E26+G26</f>
        <v>0</v>
      </c>
      <c r="J26" s="116" t="e">
        <f>I26/H26</f>
        <v>#DIV/0!</v>
      </c>
    </row>
    <row r="27" spans="1:13" s="103" customFormat="1" ht="41.25" customHeight="1" x14ac:dyDescent="0.25">
      <c r="A27" s="101"/>
      <c r="B27" s="101">
        <v>2</v>
      </c>
      <c r="C27" s="119" t="s">
        <v>80</v>
      </c>
      <c r="D27" s="74">
        <f>430918.8+387826.92</f>
        <v>818745.72</v>
      </c>
      <c r="E27" s="74">
        <f>368593.85+329023.37</f>
        <v>697617.22</v>
      </c>
      <c r="F27" s="74">
        <v>43091.88</v>
      </c>
      <c r="G27" s="74">
        <v>39570.480000000003</v>
      </c>
      <c r="H27" s="75">
        <f t="shared" ref="H27:H29" si="28">D27+F27</f>
        <v>861837.6</v>
      </c>
      <c r="I27" s="75">
        <f t="shared" ref="I27:I29" si="29">E27+G27</f>
        <v>737187.7</v>
      </c>
      <c r="J27" s="102">
        <f t="shared" ref="J27:J29" si="30">I27/H27</f>
        <v>0.85536729889714713</v>
      </c>
    </row>
    <row r="28" spans="1:13" s="103" customFormat="1" ht="22.5" customHeight="1" x14ac:dyDescent="0.25">
      <c r="A28" s="101"/>
      <c r="B28" s="101">
        <v>3</v>
      </c>
      <c r="C28" s="107" t="s">
        <v>53</v>
      </c>
      <c r="D28" s="74">
        <f>316500.66+314431.09</f>
        <v>630931.75</v>
      </c>
      <c r="E28" s="74">
        <f>236732.92+229756.11</f>
        <v>466489.03</v>
      </c>
      <c r="F28" s="74">
        <v>0</v>
      </c>
      <c r="G28" s="74">
        <v>0</v>
      </c>
      <c r="H28" s="75">
        <f t="shared" ref="H28" si="31">D28+F28</f>
        <v>630931.75</v>
      </c>
      <c r="I28" s="75">
        <f t="shared" ref="I28" si="32">E28+G28</f>
        <v>466489.03</v>
      </c>
      <c r="J28" s="102">
        <f t="shared" si="30"/>
        <v>0.73936528000057067</v>
      </c>
    </row>
    <row r="29" spans="1:13" s="103" customFormat="1" ht="30.95" hidden="1" customHeight="1" x14ac:dyDescent="0.25">
      <c r="A29" s="101"/>
      <c r="B29" s="101"/>
      <c r="C29" s="104" t="s">
        <v>44</v>
      </c>
      <c r="D29" s="74"/>
      <c r="E29" s="74"/>
      <c r="F29" s="74"/>
      <c r="G29" s="74"/>
      <c r="H29" s="75">
        <f t="shared" si="28"/>
        <v>0</v>
      </c>
      <c r="I29" s="75">
        <f t="shared" si="29"/>
        <v>0</v>
      </c>
      <c r="J29" s="102" t="e">
        <f t="shared" si="30"/>
        <v>#DIV/0!</v>
      </c>
    </row>
    <row r="30" spans="1:13" s="1" customFormat="1" ht="35.1" customHeight="1" x14ac:dyDescent="0.25">
      <c r="A30" s="12">
        <v>853</v>
      </c>
      <c r="B30" s="21"/>
      <c r="C30" s="22" t="s">
        <v>24</v>
      </c>
      <c r="D30" s="72">
        <f>SUM(D31,D33)</f>
        <v>760650.31</v>
      </c>
      <c r="E30" s="72">
        <f t="shared" ref="E30:I30" si="33">SUM(E31,E33)</f>
        <v>760300.86</v>
      </c>
      <c r="F30" s="72">
        <f t="shared" si="33"/>
        <v>0</v>
      </c>
      <c r="G30" s="72">
        <f t="shared" si="33"/>
        <v>0</v>
      </c>
      <c r="H30" s="72">
        <f t="shared" si="33"/>
        <v>760650.31</v>
      </c>
      <c r="I30" s="72">
        <f t="shared" si="33"/>
        <v>760300.86</v>
      </c>
      <c r="J30" s="41">
        <f t="shared" si="5"/>
        <v>0.99954059047185551</v>
      </c>
    </row>
    <row r="31" spans="1:13" s="1" customFormat="1" ht="34.5" customHeight="1" x14ac:dyDescent="0.25">
      <c r="A31" s="19"/>
      <c r="B31" s="16">
        <v>85321</v>
      </c>
      <c r="C31" s="23" t="s">
        <v>28</v>
      </c>
      <c r="D31" s="69">
        <f t="shared" ref="D31:I31" si="34">D32</f>
        <v>723098</v>
      </c>
      <c r="E31" s="69">
        <f t="shared" si="34"/>
        <v>723089.08</v>
      </c>
      <c r="F31" s="69">
        <f t="shared" si="34"/>
        <v>0</v>
      </c>
      <c r="G31" s="69">
        <f t="shared" si="34"/>
        <v>0</v>
      </c>
      <c r="H31" s="69">
        <f t="shared" si="34"/>
        <v>723098</v>
      </c>
      <c r="I31" s="18">
        <f t="shared" si="34"/>
        <v>723089.08</v>
      </c>
      <c r="J31" s="40">
        <f t="shared" si="5"/>
        <v>0.99998766418936291</v>
      </c>
      <c r="M31" s="2"/>
    </row>
    <row r="32" spans="1:13" s="78" customFormat="1" ht="22.5" customHeight="1" x14ac:dyDescent="0.25">
      <c r="A32" s="86"/>
      <c r="B32" s="86">
        <v>1</v>
      </c>
      <c r="C32" s="88" t="s">
        <v>11</v>
      </c>
      <c r="D32" s="70">
        <v>723098</v>
      </c>
      <c r="E32" s="70">
        <v>723089.08</v>
      </c>
      <c r="F32" s="70">
        <v>0</v>
      </c>
      <c r="G32" s="70">
        <v>0</v>
      </c>
      <c r="H32" s="71">
        <f t="shared" ref="H32:I32" si="35">D32+F32</f>
        <v>723098</v>
      </c>
      <c r="I32" s="71">
        <f t="shared" si="35"/>
        <v>723089.08</v>
      </c>
      <c r="J32" s="89">
        <f t="shared" si="5"/>
        <v>0.99998766418936291</v>
      </c>
    </row>
    <row r="33" spans="1:15" s="1" customFormat="1" ht="22.5" customHeight="1" x14ac:dyDescent="0.25">
      <c r="A33" s="19"/>
      <c r="B33" s="16">
        <v>85395</v>
      </c>
      <c r="C33" s="23" t="s">
        <v>27</v>
      </c>
      <c r="D33" s="69">
        <f t="shared" ref="D33:I33" si="36">D34</f>
        <v>37552.31</v>
      </c>
      <c r="E33" s="69">
        <f t="shared" si="36"/>
        <v>37211.78</v>
      </c>
      <c r="F33" s="69">
        <f t="shared" si="36"/>
        <v>0</v>
      </c>
      <c r="G33" s="69">
        <f t="shared" si="36"/>
        <v>0</v>
      </c>
      <c r="H33" s="69">
        <f t="shared" si="36"/>
        <v>37552.31</v>
      </c>
      <c r="I33" s="18">
        <f t="shared" si="36"/>
        <v>37211.78</v>
      </c>
      <c r="J33" s="40">
        <f t="shared" ref="J33:J34" si="37">I33/H33</f>
        <v>0.99093184946545232</v>
      </c>
    </row>
    <row r="34" spans="1:15" s="78" customFormat="1" ht="22.5" customHeight="1" x14ac:dyDescent="0.25">
      <c r="A34" s="86"/>
      <c r="B34" s="86">
        <v>1</v>
      </c>
      <c r="C34" s="88" t="s">
        <v>11</v>
      </c>
      <c r="D34" s="70">
        <f>34765.5+2786.81</f>
        <v>37552.31</v>
      </c>
      <c r="E34" s="70">
        <f>34765.5+2446.28</f>
        <v>37211.78</v>
      </c>
      <c r="F34" s="70">
        <v>0</v>
      </c>
      <c r="G34" s="70">
        <v>0</v>
      </c>
      <c r="H34" s="71">
        <f t="shared" ref="H34" si="38">D34+F34</f>
        <v>37552.31</v>
      </c>
      <c r="I34" s="71">
        <f t="shared" ref="I34" si="39">E34+G34</f>
        <v>37211.78</v>
      </c>
      <c r="J34" s="89">
        <f t="shared" si="37"/>
        <v>0.99093184946545232</v>
      </c>
    </row>
    <row r="35" spans="1:15" s="1" customFormat="1" ht="30.75" customHeight="1" x14ac:dyDescent="0.25">
      <c r="A35" s="12">
        <v>855</v>
      </c>
      <c r="B35" s="21"/>
      <c r="C35" s="22" t="s">
        <v>41</v>
      </c>
      <c r="D35" s="72">
        <f t="shared" ref="D35:I35" si="40">SUM(D36,D38,D42,D46)</f>
        <v>507864.95999999996</v>
      </c>
      <c r="E35" s="72">
        <f t="shared" si="40"/>
        <v>474580.87</v>
      </c>
      <c r="F35" s="72">
        <f t="shared" si="40"/>
        <v>9590957</v>
      </c>
      <c r="G35" s="72">
        <f t="shared" si="40"/>
        <v>9003128.4199999999</v>
      </c>
      <c r="H35" s="72">
        <f t="shared" si="40"/>
        <v>10098821.960000001</v>
      </c>
      <c r="I35" s="72">
        <f t="shared" si="40"/>
        <v>9477709.290000001</v>
      </c>
      <c r="J35" s="41">
        <f t="shared" ref="J35:J37" si="41">I35/H35</f>
        <v>0.93849652242012593</v>
      </c>
    </row>
    <row r="36" spans="1:15" s="1" customFormat="1" ht="22.5" customHeight="1" x14ac:dyDescent="0.25">
      <c r="A36" s="19"/>
      <c r="B36" s="16">
        <v>85504</v>
      </c>
      <c r="C36" s="23" t="s">
        <v>42</v>
      </c>
      <c r="D36" s="69">
        <f>D37</f>
        <v>54111.88</v>
      </c>
      <c r="E36" s="69">
        <f t="shared" ref="E36:H36" si="42">E37</f>
        <v>53731.37</v>
      </c>
      <c r="F36" s="69">
        <f t="shared" si="42"/>
        <v>815763</v>
      </c>
      <c r="G36" s="69">
        <f t="shared" si="42"/>
        <v>711981.33</v>
      </c>
      <c r="H36" s="69">
        <f t="shared" si="42"/>
        <v>869874.88</v>
      </c>
      <c r="I36" s="69">
        <f>I37</f>
        <v>765712.7</v>
      </c>
      <c r="J36" s="40">
        <f t="shared" si="41"/>
        <v>0.88025613522717194</v>
      </c>
    </row>
    <row r="37" spans="1:15" s="78" customFormat="1" ht="22.5" customHeight="1" x14ac:dyDescent="0.25">
      <c r="A37" s="86"/>
      <c r="B37" s="86">
        <v>1</v>
      </c>
      <c r="C37" s="88" t="s">
        <v>11</v>
      </c>
      <c r="D37" s="70">
        <f>54111.88</f>
        <v>54111.88</v>
      </c>
      <c r="E37" s="70">
        <f>53731.37</f>
        <v>53731.37</v>
      </c>
      <c r="F37" s="70">
        <v>815763</v>
      </c>
      <c r="G37" s="70">
        <v>711981.33</v>
      </c>
      <c r="H37" s="71">
        <f t="shared" ref="H37" si="43">D37+F37</f>
        <v>869874.88</v>
      </c>
      <c r="I37" s="71">
        <f t="shared" ref="I37" si="44">E37+G37</f>
        <v>765712.7</v>
      </c>
      <c r="J37" s="89">
        <f t="shared" si="41"/>
        <v>0.88025613522717194</v>
      </c>
    </row>
    <row r="38" spans="1:15" s="1" customFormat="1" ht="22.5" customHeight="1" x14ac:dyDescent="0.25">
      <c r="A38" s="19"/>
      <c r="B38" s="16">
        <v>85508</v>
      </c>
      <c r="C38" s="23" t="s">
        <v>22</v>
      </c>
      <c r="D38" s="69">
        <f>SUM(D39:D41)</f>
        <v>70437.83</v>
      </c>
      <c r="E38" s="69">
        <f>SUM(E39:E41)</f>
        <v>64964.959999999999</v>
      </c>
      <c r="F38" s="69">
        <f>SUM(F39:F41)</f>
        <v>2641695</v>
      </c>
      <c r="G38" s="69">
        <f>SUM(G39:G41)</f>
        <v>2383328.48</v>
      </c>
      <c r="H38" s="69">
        <f t="shared" ref="H38:I38" si="45">SUM(H39:H41)</f>
        <v>2712132.83</v>
      </c>
      <c r="I38" s="69">
        <f t="shared" si="45"/>
        <v>2448293.44</v>
      </c>
      <c r="J38" s="40">
        <f t="shared" ref="J38:J42" si="46">I38/H38</f>
        <v>0.90271885392869933</v>
      </c>
    </row>
    <row r="39" spans="1:15" s="78" customFormat="1" ht="22.5" customHeight="1" x14ac:dyDescent="0.25">
      <c r="A39" s="86"/>
      <c r="B39" s="86">
        <v>1</v>
      </c>
      <c r="C39" s="88" t="s">
        <v>11</v>
      </c>
      <c r="D39" s="70">
        <f>70437.83</f>
        <v>70437.83</v>
      </c>
      <c r="E39" s="70">
        <f>64964.96</f>
        <v>64964.959999999999</v>
      </c>
      <c r="F39" s="70">
        <v>2590260</v>
      </c>
      <c r="G39" s="70">
        <v>2331893.48</v>
      </c>
      <c r="H39" s="71">
        <f t="shared" ref="H39" si="47">D39+F39</f>
        <v>2660697.83</v>
      </c>
      <c r="I39" s="71">
        <f t="shared" ref="I39" si="48">E39+G39</f>
        <v>2396858.44</v>
      </c>
      <c r="J39" s="89">
        <f t="shared" si="46"/>
        <v>0.90083827369453673</v>
      </c>
    </row>
    <row r="40" spans="1:15" s="117" customFormat="1" ht="48.75" hidden="1" customHeight="1" x14ac:dyDescent="0.25">
      <c r="A40" s="112"/>
      <c r="B40" s="112">
        <v>2</v>
      </c>
      <c r="C40" s="113" t="s">
        <v>43</v>
      </c>
      <c r="D40" s="118"/>
      <c r="E40" s="118"/>
      <c r="F40" s="114"/>
      <c r="G40" s="114"/>
      <c r="H40" s="115">
        <f t="shared" ref="H40:H41" si="49">D40+F40</f>
        <v>0</v>
      </c>
      <c r="I40" s="115">
        <f t="shared" ref="I40:I41" si="50">E40+G40</f>
        <v>0</v>
      </c>
      <c r="J40" s="116" t="e">
        <f>I40/H40</f>
        <v>#DIV/0!</v>
      </c>
    </row>
    <row r="41" spans="1:15" s="103" customFormat="1" ht="22.5" customHeight="1" x14ac:dyDescent="0.25">
      <c r="A41" s="101"/>
      <c r="B41" s="101">
        <v>2</v>
      </c>
      <c r="C41" s="107" t="s">
        <v>57</v>
      </c>
      <c r="D41" s="74">
        <v>0</v>
      </c>
      <c r="E41" s="74">
        <v>0</v>
      </c>
      <c r="F41" s="74">
        <v>51435</v>
      </c>
      <c r="G41" s="74">
        <v>51435</v>
      </c>
      <c r="H41" s="75">
        <f t="shared" si="49"/>
        <v>51435</v>
      </c>
      <c r="I41" s="75">
        <f t="shared" si="50"/>
        <v>51435</v>
      </c>
      <c r="J41" s="102">
        <f t="shared" ref="J41" si="51">I41/H41</f>
        <v>1</v>
      </c>
    </row>
    <row r="42" spans="1:15" s="1" customFormat="1" ht="34.5" customHeight="1" x14ac:dyDescent="0.25">
      <c r="A42" s="19"/>
      <c r="B42" s="16">
        <v>85510</v>
      </c>
      <c r="C42" s="23" t="s">
        <v>40</v>
      </c>
      <c r="D42" s="69">
        <f t="shared" ref="D42:I42" si="52">SUM(D43:D45)</f>
        <v>371619.25</v>
      </c>
      <c r="E42" s="69">
        <f t="shared" si="52"/>
        <v>344188.8</v>
      </c>
      <c r="F42" s="69">
        <f t="shared" si="52"/>
        <v>6060454</v>
      </c>
      <c r="G42" s="69">
        <f t="shared" si="52"/>
        <v>5834773.6100000003</v>
      </c>
      <c r="H42" s="69">
        <f t="shared" si="52"/>
        <v>6432073.25</v>
      </c>
      <c r="I42" s="69">
        <f t="shared" si="52"/>
        <v>6178962.4100000001</v>
      </c>
      <c r="J42" s="40">
        <f t="shared" si="46"/>
        <v>0.96064863844639836</v>
      </c>
      <c r="M42" s="2"/>
    </row>
    <row r="43" spans="1:15" s="78" customFormat="1" ht="22.5" customHeight="1" x14ac:dyDescent="0.25">
      <c r="A43" s="86"/>
      <c r="B43" s="86">
        <v>1</v>
      </c>
      <c r="C43" s="88" t="s">
        <v>17</v>
      </c>
      <c r="D43" s="70">
        <v>17134.89</v>
      </c>
      <c r="E43" s="70">
        <v>12318.89</v>
      </c>
      <c r="F43" s="70">
        <v>689665</v>
      </c>
      <c r="G43" s="70">
        <v>673744.6</v>
      </c>
      <c r="H43" s="71">
        <f>D43+F43</f>
        <v>706799.89</v>
      </c>
      <c r="I43" s="71">
        <f t="shared" ref="I43" si="53">E43+G43</f>
        <v>686063.49</v>
      </c>
      <c r="J43" s="89">
        <f t="shared" ref="J43" si="54">I43/H43</f>
        <v>0.97066156872208909</v>
      </c>
      <c r="O43" s="79"/>
    </row>
    <row r="44" spans="1:15" s="78" customFormat="1" ht="22.5" customHeight="1" x14ac:dyDescent="0.25">
      <c r="A44" s="86"/>
      <c r="B44" s="86">
        <f>B43+1</f>
        <v>2</v>
      </c>
      <c r="C44" s="88" t="s">
        <v>11</v>
      </c>
      <c r="D44" s="70">
        <v>0</v>
      </c>
      <c r="E44" s="70">
        <v>0</v>
      </c>
      <c r="F44" s="70">
        <v>234874</v>
      </c>
      <c r="G44" s="70">
        <v>198292.01</v>
      </c>
      <c r="H44" s="71">
        <f t="shared" ref="H44" si="55">D44+F44</f>
        <v>234874</v>
      </c>
      <c r="I44" s="71">
        <f t="shared" ref="I44" si="56">E44+G44</f>
        <v>198292.01</v>
      </c>
      <c r="J44" s="89">
        <f t="shared" ref="J44:J48" si="57">I44/H44</f>
        <v>0.84424844810408994</v>
      </c>
    </row>
    <row r="45" spans="1:15" s="78" customFormat="1" ht="34.5" customHeight="1" x14ac:dyDescent="0.25">
      <c r="A45" s="86"/>
      <c r="B45" s="86">
        <f>B44+1</f>
        <v>3</v>
      </c>
      <c r="C45" s="88" t="s">
        <v>48</v>
      </c>
      <c r="D45" s="70">
        <v>354484.36</v>
      </c>
      <c r="E45" s="70">
        <v>331869.90999999997</v>
      </c>
      <c r="F45" s="70">
        <v>5135915</v>
      </c>
      <c r="G45" s="70">
        <v>4962737</v>
      </c>
      <c r="H45" s="71">
        <f t="shared" ref="H45" si="58">D45+F45</f>
        <v>5490399.3600000003</v>
      </c>
      <c r="I45" s="71">
        <f t="shared" ref="I45" si="59">E45+G45</f>
        <v>5294606.91</v>
      </c>
      <c r="J45" s="89">
        <f t="shared" ref="J45" si="60">I45/H45</f>
        <v>0.9643391241397784</v>
      </c>
    </row>
    <row r="46" spans="1:15" s="1" customFormat="1" ht="22.5" customHeight="1" x14ac:dyDescent="0.25">
      <c r="A46" s="19"/>
      <c r="B46" s="16">
        <v>85595</v>
      </c>
      <c r="C46" s="23" t="s">
        <v>27</v>
      </c>
      <c r="D46" s="69">
        <f t="shared" ref="D46:I46" si="61">SUM(D47:D48)</f>
        <v>11696</v>
      </c>
      <c r="E46" s="69">
        <f t="shared" si="61"/>
        <v>11695.74</v>
      </c>
      <c r="F46" s="69">
        <f t="shared" si="61"/>
        <v>73045</v>
      </c>
      <c r="G46" s="69">
        <f t="shared" si="61"/>
        <v>73045</v>
      </c>
      <c r="H46" s="69">
        <f t="shared" si="61"/>
        <v>84741</v>
      </c>
      <c r="I46" s="69">
        <f t="shared" si="61"/>
        <v>84740.739999999991</v>
      </c>
      <c r="J46" s="40">
        <f t="shared" si="57"/>
        <v>0.99999693182756855</v>
      </c>
    </row>
    <row r="47" spans="1:15" s="78" customFormat="1" ht="22.5" customHeight="1" x14ac:dyDescent="0.25">
      <c r="A47" s="86"/>
      <c r="B47" s="86">
        <v>1</v>
      </c>
      <c r="C47" s="88" t="s">
        <v>11</v>
      </c>
      <c r="D47" s="70">
        <f>11696</f>
        <v>11696</v>
      </c>
      <c r="E47" s="70">
        <f>11695.74</f>
        <v>11695.74</v>
      </c>
      <c r="F47" s="70">
        <v>20544</v>
      </c>
      <c r="G47" s="70">
        <v>20544</v>
      </c>
      <c r="H47" s="71">
        <f t="shared" ref="H47" si="62">D47+F47</f>
        <v>32240</v>
      </c>
      <c r="I47" s="71">
        <f t="shared" ref="I47" si="63">E47+G47</f>
        <v>32239.739999999998</v>
      </c>
      <c r="J47" s="89">
        <f t="shared" si="57"/>
        <v>0.99999193548387089</v>
      </c>
      <c r="O47" s="79"/>
    </row>
    <row r="48" spans="1:15" s="78" customFormat="1" ht="34.5" customHeight="1" x14ac:dyDescent="0.25">
      <c r="A48" s="86"/>
      <c r="B48" s="86">
        <v>2</v>
      </c>
      <c r="C48" s="88" t="s">
        <v>48</v>
      </c>
      <c r="D48" s="70">
        <v>0</v>
      </c>
      <c r="E48" s="70">
        <v>0</v>
      </c>
      <c r="F48" s="70">
        <v>52501</v>
      </c>
      <c r="G48" s="70">
        <v>52501</v>
      </c>
      <c r="H48" s="71">
        <f>D48+F48</f>
        <v>52501</v>
      </c>
      <c r="I48" s="71">
        <f>E48+G48</f>
        <v>52501</v>
      </c>
      <c r="J48" s="89">
        <f t="shared" si="57"/>
        <v>1</v>
      </c>
    </row>
    <row r="49" spans="1:10" s="1" customFormat="1" ht="35.1" customHeight="1" x14ac:dyDescent="0.25">
      <c r="A49" s="50"/>
      <c r="B49" s="24"/>
      <c r="C49" s="25" t="s">
        <v>36</v>
      </c>
      <c r="D49" s="26">
        <f>SUM(D5,D8,D30,D35)</f>
        <v>10730455.140000001</v>
      </c>
      <c r="E49" s="26">
        <f t="shared" ref="E49:I49" si="64">SUM(E5,E8,E30,E35)</f>
        <v>10342138.929999998</v>
      </c>
      <c r="F49" s="26">
        <f t="shared" si="64"/>
        <v>33270794.18</v>
      </c>
      <c r="G49" s="26">
        <f t="shared" si="64"/>
        <v>31959715.229999997</v>
      </c>
      <c r="H49" s="26">
        <f t="shared" si="64"/>
        <v>44001249.32</v>
      </c>
      <c r="I49" s="26">
        <f t="shared" si="64"/>
        <v>42301854.159999996</v>
      </c>
      <c r="J49" s="38">
        <f t="shared" si="5"/>
        <v>0.96137847933268628</v>
      </c>
    </row>
    <row r="50" spans="1:10" s="1" customFormat="1" x14ac:dyDescent="0.25">
      <c r="A50" s="85"/>
      <c r="B50"/>
      <c r="C50"/>
      <c r="D50" s="3"/>
      <c r="F50" s="79"/>
      <c r="G50" s="78"/>
      <c r="H50"/>
      <c r="I50"/>
      <c r="J50" s="2"/>
    </row>
    <row r="51" spans="1:10" s="1" customFormat="1" x14ac:dyDescent="0.25">
      <c r="A51" s="85"/>
      <c r="B51"/>
      <c r="C51"/>
      <c r="D51" s="3"/>
      <c r="F51" s="78"/>
      <c r="G51" s="78"/>
      <c r="H51"/>
      <c r="I51"/>
      <c r="J51" s="2"/>
    </row>
    <row r="52" spans="1:10" s="1" customFormat="1" x14ac:dyDescent="0.25">
      <c r="A52" s="85"/>
      <c r="B52"/>
      <c r="C52"/>
      <c r="D52" s="3"/>
      <c r="F52" s="78"/>
      <c r="G52" s="78"/>
      <c r="H52"/>
      <c r="I52"/>
      <c r="J52" s="2"/>
    </row>
    <row r="53" spans="1:10" s="1" customFormat="1" x14ac:dyDescent="0.25">
      <c r="A53" s="85"/>
      <c r="B53"/>
      <c r="C53"/>
      <c r="D53" s="3"/>
      <c r="F53" s="78"/>
      <c r="G53" s="78"/>
      <c r="H53" s="68"/>
      <c r="I53"/>
      <c r="J53" s="2"/>
    </row>
    <row r="54" spans="1:10" s="1" customFormat="1" x14ac:dyDescent="0.25">
      <c r="A54" s="85"/>
      <c r="B54"/>
      <c r="C54"/>
      <c r="D54" s="3"/>
      <c r="F54" s="78"/>
      <c r="G54" s="78"/>
      <c r="H54"/>
      <c r="I54"/>
      <c r="J54" s="2"/>
    </row>
    <row r="55" spans="1:10" s="1" customFormat="1" x14ac:dyDescent="0.25">
      <c r="A55" s="85"/>
      <c r="B55"/>
      <c r="C55"/>
      <c r="D55" s="3"/>
      <c r="F55" s="78"/>
      <c r="G55" s="78"/>
      <c r="H55"/>
      <c r="I55"/>
      <c r="J55" s="2"/>
    </row>
    <row r="56" spans="1:10" s="1" customFormat="1" x14ac:dyDescent="0.25">
      <c r="A56" s="85"/>
      <c r="B56"/>
      <c r="C56"/>
      <c r="D56" s="3"/>
      <c r="F56" s="78"/>
      <c r="G56" s="78"/>
      <c r="H56"/>
      <c r="I56"/>
      <c r="J56" s="2"/>
    </row>
    <row r="57" spans="1:10" s="1" customFormat="1" x14ac:dyDescent="0.25">
      <c r="A57" s="85"/>
      <c r="B57"/>
      <c r="C57"/>
      <c r="D57" s="3"/>
      <c r="F57" s="78"/>
      <c r="G57" s="78"/>
      <c r="H57"/>
      <c r="I57"/>
      <c r="J57" s="2"/>
    </row>
    <row r="58" spans="1:10" s="1" customFormat="1" x14ac:dyDescent="0.25">
      <c r="A58" s="85"/>
      <c r="B58"/>
      <c r="C58"/>
      <c r="D58" s="3"/>
      <c r="F58" s="78"/>
      <c r="G58" s="78"/>
      <c r="H58"/>
      <c r="I58"/>
      <c r="J58" s="2"/>
    </row>
    <row r="59" spans="1:10" s="1" customFormat="1" x14ac:dyDescent="0.25">
      <c r="A59" s="85"/>
      <c r="B59"/>
      <c r="C59"/>
      <c r="D59" s="3"/>
      <c r="F59" s="78"/>
      <c r="G59" s="78"/>
      <c r="H59"/>
      <c r="I59"/>
      <c r="J59" s="2"/>
    </row>
    <row r="60" spans="1:10" s="1" customFormat="1" x14ac:dyDescent="0.25">
      <c r="A60" s="85"/>
      <c r="B60"/>
      <c r="C60"/>
      <c r="D60" s="3"/>
      <c r="F60" s="78"/>
      <c r="G60" s="78"/>
      <c r="H60"/>
      <c r="I60"/>
      <c r="J60" s="2"/>
    </row>
    <row r="61" spans="1:10" s="1" customFormat="1" x14ac:dyDescent="0.25">
      <c r="A61" s="85"/>
      <c r="B61"/>
      <c r="C61"/>
      <c r="D61" s="3"/>
      <c r="F61" s="78"/>
      <c r="G61" s="78"/>
      <c r="H61"/>
      <c r="I61"/>
      <c r="J61" s="2"/>
    </row>
    <row r="62" spans="1:10" s="1" customFormat="1" x14ac:dyDescent="0.25">
      <c r="A62" s="85"/>
      <c r="B62"/>
      <c r="C62"/>
      <c r="D62" s="3"/>
      <c r="F62" s="78"/>
      <c r="G62" s="78"/>
      <c r="H62"/>
      <c r="I62"/>
      <c r="J62" s="2"/>
    </row>
    <row r="63" spans="1:10" s="1" customFormat="1" x14ac:dyDescent="0.25">
      <c r="A63" s="85"/>
      <c r="B63"/>
      <c r="C63"/>
      <c r="D63" s="3"/>
      <c r="F63" s="78"/>
      <c r="G63" s="78"/>
      <c r="H63"/>
      <c r="I63"/>
      <c r="J63" s="2"/>
    </row>
    <row r="64" spans="1:10" s="1" customFormat="1" x14ac:dyDescent="0.25">
      <c r="A64" s="85"/>
      <c r="B64"/>
      <c r="C64"/>
      <c r="D64" s="3"/>
      <c r="F64" s="78"/>
      <c r="G64" s="78"/>
      <c r="H64"/>
      <c r="I64"/>
      <c r="J64" s="2"/>
    </row>
    <row r="65" spans="1:10" s="1" customFormat="1" x14ac:dyDescent="0.25">
      <c r="A65" s="85"/>
      <c r="B65"/>
      <c r="C65"/>
      <c r="D65" s="3"/>
      <c r="F65" s="78"/>
      <c r="G65" s="78"/>
      <c r="H65"/>
      <c r="I65"/>
      <c r="J65" s="2"/>
    </row>
    <row r="66" spans="1:10" s="1" customFormat="1" x14ac:dyDescent="0.25">
      <c r="A66" s="85"/>
      <c r="B66"/>
      <c r="C66"/>
      <c r="D66" s="3"/>
      <c r="F66" s="78"/>
      <c r="G66" s="78"/>
      <c r="H66"/>
      <c r="I66"/>
      <c r="J66" s="2"/>
    </row>
    <row r="67" spans="1:10" s="1" customFormat="1" x14ac:dyDescent="0.25">
      <c r="A67" s="85"/>
      <c r="B67"/>
      <c r="C67"/>
      <c r="D67" s="3"/>
      <c r="F67" s="78"/>
      <c r="G67" s="78"/>
      <c r="H67"/>
      <c r="I67"/>
      <c r="J67" s="2"/>
    </row>
    <row r="68" spans="1:10" s="1" customFormat="1" x14ac:dyDescent="0.25">
      <c r="A68" s="85"/>
      <c r="B68"/>
      <c r="C68"/>
      <c r="D68" s="3"/>
      <c r="F68" s="78"/>
      <c r="G68" s="78"/>
      <c r="H68"/>
      <c r="I68"/>
      <c r="J68" s="2"/>
    </row>
    <row r="69" spans="1:10" s="1" customFormat="1" x14ac:dyDescent="0.25">
      <c r="A69" s="85"/>
      <c r="B69"/>
      <c r="C69"/>
      <c r="D69" s="3"/>
      <c r="F69" s="78"/>
      <c r="G69" s="78"/>
      <c r="H69"/>
      <c r="I69"/>
      <c r="J69" s="2"/>
    </row>
    <row r="70" spans="1:10" s="1" customFormat="1" x14ac:dyDescent="0.25">
      <c r="A70" s="85"/>
      <c r="B70"/>
      <c r="C70"/>
      <c r="D70" s="3"/>
      <c r="F70" s="78"/>
      <c r="G70" s="78"/>
      <c r="H70"/>
      <c r="I70"/>
      <c r="J70" s="2"/>
    </row>
    <row r="71" spans="1:10" s="1" customFormat="1" x14ac:dyDescent="0.25">
      <c r="A71" s="85"/>
      <c r="B71"/>
      <c r="C71"/>
      <c r="D71" s="3"/>
      <c r="F71" s="78"/>
      <c r="G71" s="78"/>
      <c r="H71"/>
      <c r="I71"/>
      <c r="J71" s="2"/>
    </row>
    <row r="72" spans="1:10" s="1" customFormat="1" x14ac:dyDescent="0.25">
      <c r="A72" s="85"/>
      <c r="B72"/>
      <c r="C72"/>
      <c r="D72" s="3"/>
      <c r="F72" s="78"/>
      <c r="G72" s="78"/>
      <c r="H72"/>
      <c r="I72"/>
      <c r="J72" s="2"/>
    </row>
    <row r="73" spans="1:10" s="1" customFormat="1" x14ac:dyDescent="0.25">
      <c r="A73" s="85"/>
      <c r="B73"/>
      <c r="C73"/>
      <c r="D73" s="3"/>
      <c r="F73" s="78"/>
      <c r="G73" s="78"/>
      <c r="H73"/>
      <c r="I73"/>
      <c r="J73" s="2"/>
    </row>
    <row r="74" spans="1:10" s="1" customFormat="1" x14ac:dyDescent="0.25">
      <c r="A74" s="85"/>
      <c r="B74"/>
      <c r="C74"/>
      <c r="D74" s="3"/>
      <c r="F74" s="78"/>
      <c r="G74" s="78"/>
      <c r="H74"/>
      <c r="I74"/>
      <c r="J74" s="2"/>
    </row>
    <row r="75" spans="1:10" s="1" customFormat="1" x14ac:dyDescent="0.25">
      <c r="A75" s="85"/>
      <c r="B75"/>
      <c r="C75"/>
      <c r="D75" s="3"/>
      <c r="F75" s="78"/>
      <c r="G75" s="78"/>
      <c r="H75"/>
      <c r="I75"/>
      <c r="J75" s="2"/>
    </row>
    <row r="76" spans="1:10" s="1" customFormat="1" x14ac:dyDescent="0.25">
      <c r="A76" s="85"/>
      <c r="B76"/>
      <c r="C76"/>
      <c r="D76" s="3"/>
      <c r="F76" s="78"/>
      <c r="G76" s="78"/>
      <c r="H76"/>
      <c r="I76"/>
      <c r="J76" s="2"/>
    </row>
    <row r="77" spans="1:10" s="1" customFormat="1" x14ac:dyDescent="0.25">
      <c r="A77" s="85"/>
      <c r="B77"/>
      <c r="C77"/>
      <c r="D77" s="3"/>
      <c r="F77" s="78"/>
      <c r="G77" s="78"/>
      <c r="H77"/>
      <c r="I77"/>
      <c r="J77" s="2"/>
    </row>
    <row r="78" spans="1:10" s="1" customFormat="1" x14ac:dyDescent="0.25">
      <c r="A78" s="85"/>
      <c r="B78"/>
      <c r="C78"/>
      <c r="D78" s="3"/>
      <c r="F78" s="78"/>
      <c r="G78" s="78"/>
      <c r="H78"/>
      <c r="I78"/>
      <c r="J78" s="2"/>
    </row>
    <row r="79" spans="1:10" s="1" customFormat="1" x14ac:dyDescent="0.25">
      <c r="A79" s="85"/>
      <c r="B79"/>
      <c r="C79"/>
      <c r="D79" s="3"/>
      <c r="F79" s="78"/>
      <c r="G79" s="78"/>
      <c r="H79"/>
      <c r="I79"/>
      <c r="J79" s="2"/>
    </row>
    <row r="80" spans="1:10" s="1" customFormat="1" x14ac:dyDescent="0.25">
      <c r="A80" s="85"/>
      <c r="B80"/>
      <c r="C80"/>
      <c r="D80" s="3"/>
      <c r="F80" s="78"/>
      <c r="G80" s="78"/>
      <c r="H80"/>
      <c r="I80"/>
      <c r="J80" s="2"/>
    </row>
    <row r="81" spans="1:10" s="1" customFormat="1" x14ac:dyDescent="0.25">
      <c r="A81" s="85"/>
      <c r="B81"/>
      <c r="C81"/>
      <c r="D81" s="3"/>
      <c r="F81" s="78"/>
      <c r="G81" s="78"/>
      <c r="H81"/>
      <c r="I81"/>
      <c r="J81" s="2"/>
    </row>
  </sheetData>
  <mergeCells count="2">
    <mergeCell ref="I2:J2"/>
    <mergeCell ref="A3:J3"/>
  </mergeCells>
  <printOptions horizontalCentered="1"/>
  <pageMargins left="0.51181102362204722" right="0.51181102362204722" top="0.87" bottom="0.56000000000000005" header="0.31496062992125984" footer="0.31496062992125984"/>
  <pageSetup paperSize="9" scale="73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12"/>
  <sheetViews>
    <sheetView tabSelected="1" workbookViewId="0">
      <selection activeCell="M12" sqref="A1:M12"/>
    </sheetView>
  </sheetViews>
  <sheetFormatPr defaultColWidth="9.140625" defaultRowHeight="14.25" x14ac:dyDescent="0.2"/>
  <cols>
    <col min="1" max="1" width="5.140625" style="56" customWidth="1"/>
    <col min="2" max="2" width="35.5703125" style="57" customWidth="1"/>
    <col min="3" max="3" width="11.5703125" style="58" hidden="1" customWidth="1"/>
    <col min="4" max="4" width="8.42578125" style="58" hidden="1" customWidth="1"/>
    <col min="5" max="5" width="9.140625" style="58" hidden="1" customWidth="1"/>
    <col min="6" max="6" width="12.7109375" style="58" hidden="1" customWidth="1"/>
    <col min="7" max="7" width="6.140625" style="58" hidden="1" customWidth="1"/>
    <col min="8" max="9" width="20.7109375" style="58" customWidth="1"/>
    <col min="10" max="10" width="10.7109375" style="60" customWidth="1"/>
    <col min="11" max="12" width="20.7109375" style="59" customWidth="1"/>
    <col min="13" max="13" width="10.7109375" style="59" customWidth="1"/>
    <col min="14" max="16384" width="9.140625" style="59"/>
  </cols>
  <sheetData>
    <row r="1" spans="1:13" x14ac:dyDescent="0.2">
      <c r="L1" s="1" t="s">
        <v>32</v>
      </c>
    </row>
    <row r="2" spans="1:13" ht="34.5" customHeight="1" x14ac:dyDescent="0.2">
      <c r="L2" s="121" t="s">
        <v>59</v>
      </c>
      <c r="M2" s="121"/>
    </row>
    <row r="3" spans="1:13" ht="36" customHeight="1" x14ac:dyDescent="0.2">
      <c r="A3" s="124" t="s">
        <v>67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</row>
    <row r="4" spans="1:13" ht="15" x14ac:dyDescent="0.25">
      <c r="D4" s="123" t="s">
        <v>7</v>
      </c>
      <c r="E4" s="123"/>
      <c r="F4" s="123"/>
      <c r="G4" s="123"/>
    </row>
    <row r="5" spans="1:13" s="63" customFormat="1" ht="60" x14ac:dyDescent="0.25">
      <c r="A5" s="61" t="s">
        <v>0</v>
      </c>
      <c r="B5" s="61" t="s">
        <v>19</v>
      </c>
      <c r="C5" s="53" t="s">
        <v>1</v>
      </c>
      <c r="D5" s="53" t="s">
        <v>2</v>
      </c>
      <c r="E5" s="53" t="s">
        <v>3</v>
      </c>
      <c r="F5" s="53" t="s">
        <v>4</v>
      </c>
      <c r="G5" s="53" t="s">
        <v>6</v>
      </c>
      <c r="H5" s="53" t="s">
        <v>83</v>
      </c>
      <c r="I5" s="53" t="s">
        <v>84</v>
      </c>
      <c r="J5" s="62" t="s">
        <v>29</v>
      </c>
      <c r="K5" s="62" t="s">
        <v>81</v>
      </c>
      <c r="L5" s="61" t="s">
        <v>82</v>
      </c>
      <c r="M5" s="62" t="s">
        <v>29</v>
      </c>
    </row>
    <row r="6" spans="1:13" s="100" customFormat="1" ht="34.5" customHeight="1" x14ac:dyDescent="0.25">
      <c r="A6" s="97">
        <v>1</v>
      </c>
      <c r="B6" s="88" t="s">
        <v>17</v>
      </c>
      <c r="C6" s="98">
        <v>11175.45</v>
      </c>
      <c r="D6" s="98"/>
      <c r="E6" s="98">
        <v>56.83</v>
      </c>
      <c r="F6" s="98">
        <v>4681.7700000000004</v>
      </c>
      <c r="G6" s="98">
        <v>0.4</v>
      </c>
      <c r="H6" s="98">
        <f>'wydatki źr.fin.'!H43</f>
        <v>706799.89</v>
      </c>
      <c r="I6" s="98">
        <f>'wydatki źr.fin.'!I43</f>
        <v>686063.49</v>
      </c>
      <c r="J6" s="99">
        <f t="shared" ref="J6:J11" si="0">I6/H6</f>
        <v>0.97066156872208909</v>
      </c>
      <c r="K6" s="98"/>
      <c r="L6" s="98"/>
      <c r="M6" s="125"/>
    </row>
    <row r="7" spans="1:13" s="100" customFormat="1" ht="34.5" customHeight="1" x14ac:dyDescent="0.25">
      <c r="A7" s="97">
        <f>A6+1</f>
        <v>2</v>
      </c>
      <c r="B7" s="88" t="s">
        <v>47</v>
      </c>
      <c r="C7" s="98">
        <v>42125.39</v>
      </c>
      <c r="D7" s="98"/>
      <c r="E7" s="98">
        <v>292.2</v>
      </c>
      <c r="F7" s="98">
        <v>6328.97</v>
      </c>
      <c r="G7" s="98">
        <v>1.28</v>
      </c>
      <c r="H7" s="98">
        <f>'wydatki źr.fin.'!H10</f>
        <v>4269894.3</v>
      </c>
      <c r="I7" s="98">
        <f>'wydatki źr.fin.'!I10</f>
        <v>4091846.82</v>
      </c>
      <c r="J7" s="99">
        <f t="shared" si="0"/>
        <v>0.95830166568760267</v>
      </c>
      <c r="K7" s="98">
        <v>20000</v>
      </c>
      <c r="L7" s="98">
        <v>19999.8</v>
      </c>
      <c r="M7" s="99">
        <f t="shared" ref="M7:M9" si="1">L7/K7</f>
        <v>0.99998999999999993</v>
      </c>
    </row>
    <row r="8" spans="1:13" s="100" customFormat="1" ht="34.5" customHeight="1" x14ac:dyDescent="0.25">
      <c r="A8" s="97">
        <f t="shared" ref="A8:A11" si="2">A7+1</f>
        <v>3</v>
      </c>
      <c r="B8" s="88" t="s">
        <v>35</v>
      </c>
      <c r="C8" s="98">
        <v>75779.009999999995</v>
      </c>
      <c r="D8" s="98"/>
      <c r="E8" s="98"/>
      <c r="F8" s="98">
        <v>3973.3</v>
      </c>
      <c r="G8" s="98">
        <v>0.48</v>
      </c>
      <c r="H8" s="98">
        <f>'wydatki źr.fin.'!H11</f>
        <v>4539601</v>
      </c>
      <c r="I8" s="98">
        <f>'wydatki źr.fin.'!I11</f>
        <v>4424277.4800000004</v>
      </c>
      <c r="J8" s="99">
        <f t="shared" si="0"/>
        <v>0.9745961109797977</v>
      </c>
      <c r="K8" s="98">
        <v>22140</v>
      </c>
      <c r="L8" s="98">
        <v>17220</v>
      </c>
      <c r="M8" s="99">
        <f t="shared" si="1"/>
        <v>0.77777777777777779</v>
      </c>
    </row>
    <row r="9" spans="1:13" s="100" customFormat="1" ht="34.5" customHeight="1" x14ac:dyDescent="0.25">
      <c r="A9" s="97">
        <f t="shared" si="2"/>
        <v>4</v>
      </c>
      <c r="B9" s="88" t="s">
        <v>34</v>
      </c>
      <c r="C9" s="98">
        <v>45668.49</v>
      </c>
      <c r="D9" s="98"/>
      <c r="E9" s="98">
        <v>107.67</v>
      </c>
      <c r="F9" s="98">
        <v>29394.6</v>
      </c>
      <c r="G9" s="98">
        <v>0.8</v>
      </c>
      <c r="H9" s="98">
        <f>'wydatki źr.fin.'!H12</f>
        <v>15762489</v>
      </c>
      <c r="I9" s="98">
        <f>'wydatki źr.fin.'!I12</f>
        <v>15502268.870000001</v>
      </c>
      <c r="J9" s="99">
        <f t="shared" si="0"/>
        <v>0.98349117769408123</v>
      </c>
      <c r="K9" s="98">
        <f>2223400+305450.14</f>
        <v>2528850.14</v>
      </c>
      <c r="L9" s="98">
        <v>0</v>
      </c>
      <c r="M9" s="99">
        <f t="shared" si="1"/>
        <v>0</v>
      </c>
    </row>
    <row r="10" spans="1:13" s="100" customFormat="1" ht="68.25" customHeight="1" x14ac:dyDescent="0.25">
      <c r="A10" s="97">
        <f t="shared" si="2"/>
        <v>5</v>
      </c>
      <c r="B10" s="94" t="s">
        <v>49</v>
      </c>
      <c r="C10" s="98">
        <v>114435.84</v>
      </c>
      <c r="D10" s="98"/>
      <c r="E10" s="98"/>
      <c r="F10" s="98">
        <v>74593.77</v>
      </c>
      <c r="G10" s="98">
        <v>2.08</v>
      </c>
      <c r="H10" s="98">
        <f>'wydatki źr.fin.'!H16+'wydatki źr.fin.'!H18+'wydatki źr.fin.'!H20+'wydatki źr.fin.'!H22+'wydatki źr.fin.'!H25+'wydatki źr.fin.'!H27+'wydatki źr.fin.'!H28+'wydatki źr.fin.'!H32+'wydatki źr.fin.'!H34+'wydatki źr.fin.'!H37+'wydatki źr.fin.'!H39+'wydatki źr.fin.'!H41+'wydatki źr.fin.'!H44+'wydatki źr.fin.'!H45+'wydatki źr.fin.'!H47+'wydatki źr.fin.'!H48</f>
        <v>17088738.73</v>
      </c>
      <c r="I10" s="98">
        <f>'wydatki źr.fin.'!I16+'wydatki źr.fin.'!I18+'wydatki źr.fin.'!I20+'wydatki źr.fin.'!I22+'wydatki źr.fin.'!I25+'wydatki źr.fin.'!I27+'wydatki źr.fin.'!I28+'wydatki źr.fin.'!I32+'wydatki źr.fin.'!I34+'wydatki źr.fin.'!I37+'wydatki źr.fin.'!I39+'wydatki źr.fin.'!I41+'wydatki źr.fin.'!I44+'wydatki źr.fin.'!I45+'wydatki źr.fin.'!I47+'wydatki źr.fin.'!I48</f>
        <v>15968682.640000001</v>
      </c>
      <c r="J10" s="99">
        <f t="shared" si="0"/>
        <v>0.93445647992536196</v>
      </c>
      <c r="K10" s="98"/>
      <c r="L10" s="98"/>
      <c r="M10" s="125"/>
    </row>
    <row r="11" spans="1:13" s="100" customFormat="1" ht="34.5" customHeight="1" x14ac:dyDescent="0.25">
      <c r="A11" s="97">
        <f t="shared" si="2"/>
        <v>6</v>
      </c>
      <c r="B11" s="94" t="s">
        <v>52</v>
      </c>
      <c r="C11" s="98">
        <v>21977.61</v>
      </c>
      <c r="D11" s="98">
        <v>180</v>
      </c>
      <c r="E11" s="98"/>
      <c r="F11" s="98">
        <v>21007.9</v>
      </c>
      <c r="G11" s="98">
        <v>1.36</v>
      </c>
      <c r="H11" s="98">
        <f>'wydatki źr.fin.'!H14+'wydatki źr.fin.'!H7</f>
        <v>1633726.4000000001</v>
      </c>
      <c r="I11" s="98">
        <f>'wydatki źr.fin.'!I14+'wydatki źr.fin.'!I7</f>
        <v>1628714.8599999999</v>
      </c>
      <c r="J11" s="99">
        <f t="shared" si="0"/>
        <v>0.9969324484197597</v>
      </c>
      <c r="K11" s="98"/>
      <c r="L11" s="98"/>
      <c r="M11" s="125"/>
    </row>
    <row r="12" spans="1:13" s="67" customFormat="1" ht="30" customHeight="1" x14ac:dyDescent="0.25">
      <c r="A12" s="64"/>
      <c r="B12" s="65" t="s">
        <v>5</v>
      </c>
      <c r="C12" s="54">
        <f t="shared" ref="C12:I12" si="3">SUM(C6:C11)</f>
        <v>311161.78999999998</v>
      </c>
      <c r="D12" s="54">
        <f t="shared" si="3"/>
        <v>180</v>
      </c>
      <c r="E12" s="54">
        <f t="shared" si="3"/>
        <v>456.7</v>
      </c>
      <c r="F12" s="54">
        <f t="shared" si="3"/>
        <v>139980.31</v>
      </c>
      <c r="G12" s="54">
        <f t="shared" si="3"/>
        <v>6.4</v>
      </c>
      <c r="H12" s="54">
        <f t="shared" si="3"/>
        <v>44001249.32</v>
      </c>
      <c r="I12" s="54">
        <f t="shared" si="3"/>
        <v>42301854.159999996</v>
      </c>
      <c r="J12" s="66">
        <f>I12/H12</f>
        <v>0.96137847933268628</v>
      </c>
      <c r="K12" s="54">
        <f t="shared" ref="K12:M12" si="4">SUM(K6:K11)</f>
        <v>2570990.14</v>
      </c>
      <c r="L12" s="54">
        <f t="shared" si="4"/>
        <v>37219.800000000003</v>
      </c>
      <c r="M12" s="66">
        <f>L12/K12</f>
        <v>1.447683498311666E-2</v>
      </c>
    </row>
  </sheetData>
  <mergeCells count="3">
    <mergeCell ref="D4:G4"/>
    <mergeCell ref="A3:M3"/>
    <mergeCell ref="L2:M2"/>
  </mergeCells>
  <printOptions horizontalCentered="1"/>
  <pageMargins left="0.70866141732283472" right="0.70866141732283472" top="0.86614173228346458" bottom="0.9448818897637796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Dochody Z1</vt:lpstr>
      <vt:lpstr>Dochody JO Z1A</vt:lpstr>
      <vt:lpstr>wydatki źr.fin.</vt:lpstr>
      <vt:lpstr>Wydatki JO Z2A</vt:lpstr>
      <vt:lpstr>'Dochody JO Z1A'!Obszar_wydruku</vt:lpstr>
      <vt:lpstr>'Dochody Z1'!Obszar_wydruku</vt:lpstr>
      <vt:lpstr>'Wydatki JO Z2A'!Obszar_wydruku</vt:lpstr>
      <vt:lpstr>'wydatki źr.fin.'!Obszar_wydruku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PPHU SKWARABI</dc:creator>
  <cp:lastModifiedBy>SkwaraM</cp:lastModifiedBy>
  <cp:lastPrinted>2026-02-21T07:35:58Z</cp:lastPrinted>
  <dcterms:created xsi:type="dcterms:W3CDTF">2015-12-29T22:19:36Z</dcterms:created>
  <dcterms:modified xsi:type="dcterms:W3CDTF">2026-02-21T07:37:26Z</dcterms:modified>
</cp:coreProperties>
</file>