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os\Desktop\WPF 27-11-2025\"/>
    </mc:Choice>
  </mc:AlternateContent>
  <xr:revisionPtr revIDLastSave="0" documentId="13_ncr:1_{797B17A8-F902-49D7-BF6F-AF36AA2FE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2" sheetId="1" r:id="rId1"/>
  </sheets>
  <calcPr calcId="191029"/>
</workbook>
</file>

<file path=xl/calcChain.xml><?xml version="1.0" encoding="utf-8"?>
<calcChain xmlns="http://schemas.openxmlformats.org/spreadsheetml/2006/main">
  <c r="AB26" i="1" l="1"/>
  <c r="AA26" i="1"/>
  <c r="Z26" i="1"/>
  <c r="Z22" i="1" s="1"/>
  <c r="Y26" i="1"/>
  <c r="Y22" i="1" s="1"/>
  <c r="X26" i="1"/>
  <c r="W26" i="1"/>
  <c r="V26" i="1"/>
  <c r="U26" i="1"/>
  <c r="U22" i="1" s="1"/>
  <c r="T26" i="1"/>
  <c r="S26" i="1"/>
  <c r="S22" i="1" s="1"/>
  <c r="R26" i="1"/>
  <c r="Q26" i="1"/>
  <c r="P26" i="1"/>
  <c r="O26" i="1"/>
  <c r="N26" i="1"/>
  <c r="N22" i="1" s="1"/>
  <c r="M26" i="1"/>
  <c r="M22" i="1" s="1"/>
  <c r="L26" i="1"/>
  <c r="K26" i="1"/>
  <c r="J26" i="1"/>
  <c r="I26" i="1"/>
  <c r="I22" i="1" s="1"/>
  <c r="H26" i="1"/>
  <c r="G26" i="1"/>
  <c r="G22" i="1" s="1"/>
  <c r="F26" i="1"/>
  <c r="AB23" i="1"/>
  <c r="AB22" i="1" s="1"/>
  <c r="AA23" i="1"/>
  <c r="Z23" i="1"/>
  <c r="Y23" i="1"/>
  <c r="X23" i="1"/>
  <c r="W23" i="1"/>
  <c r="W22" i="1" s="1"/>
  <c r="V23" i="1"/>
  <c r="U23" i="1"/>
  <c r="T23" i="1"/>
  <c r="S23" i="1"/>
  <c r="R23" i="1"/>
  <c r="Q23" i="1"/>
  <c r="P23" i="1"/>
  <c r="P22" i="1" s="1"/>
  <c r="O23" i="1"/>
  <c r="N23" i="1"/>
  <c r="M23" i="1"/>
  <c r="L23" i="1"/>
  <c r="K23" i="1"/>
  <c r="K22" i="1" s="1"/>
  <c r="J23" i="1"/>
  <c r="I23" i="1"/>
  <c r="H23" i="1"/>
  <c r="G23" i="1"/>
  <c r="F23" i="1"/>
  <c r="AA22" i="1"/>
  <c r="V22" i="1"/>
  <c r="O22" i="1"/>
  <c r="J22" i="1"/>
  <c r="AB21" i="1"/>
  <c r="AA21" i="1"/>
  <c r="Z21" i="1"/>
  <c r="Z10" i="1" s="1"/>
  <c r="Y21" i="1"/>
  <c r="Y10" i="1" s="1"/>
  <c r="X21" i="1"/>
  <c r="W21" i="1"/>
  <c r="V21" i="1"/>
  <c r="V19" i="1" s="1"/>
  <c r="U21" i="1"/>
  <c r="T21" i="1"/>
  <c r="S21" i="1"/>
  <c r="R21" i="1"/>
  <c r="Q21" i="1"/>
  <c r="P21" i="1"/>
  <c r="O21" i="1"/>
  <c r="N21" i="1"/>
  <c r="N10" i="1" s="1"/>
  <c r="M21" i="1"/>
  <c r="M10" i="1" s="1"/>
  <c r="L21" i="1"/>
  <c r="K21" i="1"/>
  <c r="J21" i="1"/>
  <c r="I21" i="1"/>
  <c r="H21" i="1"/>
  <c r="G21" i="1"/>
  <c r="F21" i="1"/>
  <c r="AB20" i="1"/>
  <c r="AA20" i="1"/>
  <c r="Z20" i="1"/>
  <c r="Y20" i="1"/>
  <c r="X20" i="1"/>
  <c r="W20" i="1"/>
  <c r="W19" i="1" s="1"/>
  <c r="V20" i="1"/>
  <c r="U20" i="1"/>
  <c r="T20" i="1"/>
  <c r="S20" i="1"/>
  <c r="R20" i="1"/>
  <c r="Q20" i="1"/>
  <c r="P20" i="1"/>
  <c r="O20" i="1"/>
  <c r="N20" i="1"/>
  <c r="M20" i="1"/>
  <c r="M9" i="1" s="1"/>
  <c r="L20" i="1"/>
  <c r="K20" i="1"/>
  <c r="K19" i="1" s="1"/>
  <c r="J20" i="1"/>
  <c r="I20" i="1"/>
  <c r="H20" i="1"/>
  <c r="G20" i="1"/>
  <c r="F20" i="1"/>
  <c r="J19" i="1"/>
  <c r="I19" i="1"/>
  <c r="H19" i="1"/>
  <c r="AB17" i="1"/>
  <c r="AB10" i="1" s="1"/>
  <c r="AA17" i="1"/>
  <c r="Z17" i="1"/>
  <c r="Y17" i="1"/>
  <c r="X17" i="1"/>
  <c r="X10" i="1" s="1"/>
  <c r="W17" i="1"/>
  <c r="W10" i="1" s="1"/>
  <c r="V17" i="1"/>
  <c r="V10" i="1" s="1"/>
  <c r="U17" i="1"/>
  <c r="T17" i="1"/>
  <c r="S17" i="1"/>
  <c r="S11" i="1" s="1"/>
  <c r="R17" i="1"/>
  <c r="Q17" i="1"/>
  <c r="P17" i="1"/>
  <c r="P10" i="1" s="1"/>
  <c r="O17" i="1"/>
  <c r="N17" i="1"/>
  <c r="M17" i="1"/>
  <c r="L17" i="1"/>
  <c r="K17" i="1"/>
  <c r="J17" i="1"/>
  <c r="J10" i="1" s="1"/>
  <c r="I17" i="1"/>
  <c r="H17" i="1"/>
  <c r="G17" i="1"/>
  <c r="F17" i="1"/>
  <c r="AB12" i="1"/>
  <c r="AA12" i="1"/>
  <c r="AA9" i="1" s="1"/>
  <c r="Z12" i="1"/>
  <c r="Y12" i="1"/>
  <c r="X12" i="1"/>
  <c r="W12" i="1"/>
  <c r="W9" i="1" s="1"/>
  <c r="V12" i="1"/>
  <c r="V9" i="1" s="1"/>
  <c r="U12" i="1"/>
  <c r="U9" i="1" s="1"/>
  <c r="T12" i="1"/>
  <c r="T9" i="1" s="1"/>
  <c r="S12" i="1"/>
  <c r="R12" i="1"/>
  <c r="Q12" i="1"/>
  <c r="P12" i="1"/>
  <c r="O12" i="1"/>
  <c r="O9" i="1" s="1"/>
  <c r="N12" i="1"/>
  <c r="N11" i="1" s="1"/>
  <c r="M12" i="1"/>
  <c r="L12" i="1"/>
  <c r="K12" i="1"/>
  <c r="J12" i="1"/>
  <c r="I12" i="1"/>
  <c r="I9" i="1" s="1"/>
  <c r="H12" i="1"/>
  <c r="H9" i="1" s="1"/>
  <c r="G12" i="1"/>
  <c r="F12" i="1"/>
  <c r="F11" i="1" s="1"/>
  <c r="Y11" i="1"/>
  <c r="X11" i="1"/>
  <c r="T11" i="1"/>
  <c r="K10" i="1"/>
  <c r="S9" i="1"/>
  <c r="J9" i="1"/>
  <c r="G9" i="1"/>
  <c r="F9" i="1"/>
  <c r="T10" i="1" l="1"/>
  <c r="L11" i="1"/>
  <c r="X9" i="1"/>
  <c r="M11" i="1"/>
  <c r="L10" i="1"/>
  <c r="O10" i="1"/>
  <c r="AA10" i="1"/>
  <c r="AB19" i="1"/>
  <c r="G11" i="1"/>
  <c r="Q19" i="1"/>
  <c r="P9" i="1"/>
  <c r="L19" i="1"/>
  <c r="R10" i="1"/>
  <c r="R22" i="1"/>
  <c r="G10" i="1"/>
  <c r="Z19" i="1"/>
  <c r="K9" i="1"/>
  <c r="AA19" i="1"/>
  <c r="H22" i="1"/>
  <c r="L9" i="1"/>
  <c r="H11" i="1"/>
  <c r="H8" i="1" s="1"/>
  <c r="I10" i="1"/>
  <c r="U10" i="1"/>
  <c r="P19" i="1"/>
  <c r="X19" i="1"/>
  <c r="F10" i="1"/>
  <c r="F22" i="1"/>
  <c r="N19" i="1"/>
  <c r="O19" i="1"/>
  <c r="T22" i="1"/>
  <c r="Q10" i="1"/>
  <c r="Q22" i="1"/>
  <c r="H10" i="1"/>
  <c r="X22" i="1"/>
  <c r="X8" i="1" s="1"/>
  <c r="T19" i="1"/>
  <c r="T8" i="1" s="1"/>
  <c r="Y9" i="1"/>
  <c r="U19" i="1"/>
  <c r="AB9" i="1"/>
  <c r="Q9" i="1"/>
  <c r="R9" i="1"/>
  <c r="L22" i="1"/>
  <c r="Z9" i="1"/>
  <c r="N8" i="1"/>
  <c r="F19" i="1"/>
  <c r="F8" i="1" s="1"/>
  <c r="R19" i="1"/>
  <c r="G19" i="1"/>
  <c r="G8" i="1" s="1"/>
  <c r="S19" i="1"/>
  <c r="S8" i="1" s="1"/>
  <c r="Q11" i="1"/>
  <c r="K11" i="1"/>
  <c r="K8" i="1" s="1"/>
  <c r="W11" i="1"/>
  <c r="W8" i="1" s="1"/>
  <c r="N9" i="1"/>
  <c r="R11" i="1"/>
  <c r="Z11" i="1"/>
  <c r="Z8" i="1" s="1"/>
  <c r="S10" i="1"/>
  <c r="L8" i="1"/>
  <c r="M19" i="1"/>
  <c r="M8" i="1" s="1"/>
  <c r="Y19" i="1"/>
  <c r="Y8" i="1" s="1"/>
  <c r="I11" i="1"/>
  <c r="I8" i="1" s="1"/>
  <c r="U11" i="1"/>
  <c r="U8" i="1" s="1"/>
  <c r="J11" i="1"/>
  <c r="J8" i="1" s="1"/>
  <c r="V11" i="1"/>
  <c r="V8" i="1" s="1"/>
  <c r="O11" i="1"/>
  <c r="AA11" i="1"/>
  <c r="P11" i="1"/>
  <c r="P8" i="1" s="1"/>
  <c r="AB11" i="1"/>
  <c r="AB8" i="1" s="1"/>
  <c r="AA8" i="1" l="1"/>
  <c r="O8" i="1"/>
  <c r="Q8" i="1"/>
  <c r="R8" i="1"/>
</calcChain>
</file>

<file path=xl/sharedStrings.xml><?xml version="1.0" encoding="utf-8"?>
<sst xmlns="http://schemas.openxmlformats.org/spreadsheetml/2006/main" count="164" uniqueCount="131">
  <si>
    <t>Lp.</t>
  </si>
  <si>
    <t>Nazwa i cel</t>
  </si>
  <si>
    <t>Jednostka</t>
  </si>
  <si>
    <t>Od</t>
  </si>
  <si>
    <t>Do</t>
  </si>
  <si>
    <t>Nakłady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</si>
  <si>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</si>
  <si>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</si>
  <si>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</si>
  <si>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</si>
  <si>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</si>
  <si>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</si>
  <si>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</si>
  <si>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</si>
  <si>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</si>
  <si>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</si>
  <si>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</si>
  <si>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</si>
  <si>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</si>
  <si>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</si>
  <si>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</si>
  <si>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</si>
  <si>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</si>
  <si>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</si>
  <si>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</si>
  <si>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</si>
  <si>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</si>
  <si>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Limit zobowiązań</t>
  </si>
  <si>
    <t>1</t>
  </si>
  <si>
    <t>Przedsięwzięcia razem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</si>
  <si>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</si>
  <si>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</si>
  <si>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</si>
  <si>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</si>
  <si>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</si>
  <si>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</si>
  <si>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</si>
  <si>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1.1.1.1</t>
  </si>
  <si>
    <t>W Rodzinie - Usługi społeczne na rzecz rodzin</t>
  </si>
  <si>
    <t>POWIATOWE CENTRUM POMOCY RODZINIE</t>
  </si>
  <si>
    <t>1.1.1.2</t>
  </si>
  <si>
    <t>Poprawa cyberbezpieczeństwa w Starostwie Powiatowym w Otwocku - Poprawa cyberbezpieczeństwa w Starostwie Powiatowym w Otwocku</t>
  </si>
  <si>
    <t>STAROSTWO POWIATOWE W OTWOCKU</t>
  </si>
  <si>
    <t>1.1.1.3</t>
  </si>
  <si>
    <t xml:space="preserve">Rozwiązania cyfrowe dla mazowieckiej administracji - </t>
  </si>
  <si>
    <t>1.1.1.4</t>
  </si>
  <si>
    <t xml:space="preserve">Nukleonik stawia na jakość kształcenia zawodowego - </t>
  </si>
  <si>
    <t>ZESPÓŁ SZKÓŁ NR 2 IM. MARII SKŁODOWSKIEJ-CURIE W OTWOCKU</t>
  </si>
  <si>
    <t>1.1.2</t>
  </si>
  <si>
    <t>1.1.2.1</t>
  </si>
  <si>
    <t>1.2</t>
  </si>
  <si>
    <t>Wydatki na programy, projekty lub zadania związane z umowami partnerstwa publiczno-prywatnego:</t>
  </si>
  <si>
    <t>1.2.1</t>
  </si>
  <si>
    <t>1.2.2</t>
  </si>
  <si>
    <t>1.3</t>
  </si>
  <si>
    <t>Wydatki na programy, projekty lub zadania pozostałe (inne niż wymienione w pkt 1.1 i 1.2):</t>
  </si>
  <si>
    <t>1.3.1</t>
  </si>
  <si>
    <t>1.3.1.1</t>
  </si>
  <si>
    <t>Dotacja na zadania z zakresu prowadzenia centrum interwencji kryzysowej - wspieranie zadań z zakresu prowadzenia centrum interwencji kryzysowej</t>
  </si>
  <si>
    <t>1.3.1.2</t>
  </si>
  <si>
    <t>Ośrodek koordynacyjno-rehabilitacyjno-opiekuńczy w ramach programu "Za życiem" - prowadzenie ośrodka koordynacyjno-rehabilitacyjno-opiekuńczego</t>
  </si>
  <si>
    <t>POWIATOWA PORADNIA PSYCHOLOGICZNO-PEDAGOGICZNA W OTWOCKU</t>
  </si>
  <si>
    <t>1.3.2</t>
  </si>
  <si>
    <t>1.3.2.1</t>
  </si>
  <si>
    <t>Rozbudowa dróg powiatowych Nr 2715W i Nr 2716W w miejsc. Dyzin, Jatne i Celestynów, gm. Celestynów, powiat otwocki  - poprawa stanu infrastruktury drogowej</t>
  </si>
  <si>
    <t>ZARZĄD DRÓG POWIATOWYCH W OTWOCKU Z/S W KARCZEWIE</t>
  </si>
  <si>
    <t>1.3.2.2</t>
  </si>
  <si>
    <t>Modernizacja drogi powiatowej Nr 1303W we wsi Śniadków Dolny - Poprawa stanu dróg powiatowych</t>
  </si>
  <si>
    <t>1.3.2.3</t>
  </si>
  <si>
    <t xml:space="preserve">Rozbudowa i modernizacja Domu Pomocy Społecznej Wrzos w Otwocku - Budowa Domu Pomocy Społecznej "Wrzos" </t>
  </si>
  <si>
    <t>DOM POMOCY SPOŁECZNEJ "WRZOS"</t>
  </si>
  <si>
    <t>1.3.2.4</t>
  </si>
  <si>
    <t>Modernizacja infrastruktury dróg powiatowych Powiatu Otwockiego polegająca na modernizacji przepraw przez cieki - poprawa infrastruktury drogowej</t>
  </si>
  <si>
    <t>1.3.2.5</t>
  </si>
  <si>
    <t>Modernizacja infrastruktury drogowej i mostowej na terenie Powiatu Otwockiego  - poprawa infrastruktury drogowej</t>
  </si>
  <si>
    <t>1.3.2.6</t>
  </si>
  <si>
    <t>Przebudowa drogi powiatowej Nr 2730W Nadbrzeż - Glinki - poprawa infrastruktury drogowej</t>
  </si>
  <si>
    <t>1.3.2.7</t>
  </si>
  <si>
    <t>Przebudowa/modernizacja mostu w ciągu drogi powiatowej Nr 2739W  w m. Radachówka gm. Kołbiel - poprawa infrastruktury</t>
  </si>
  <si>
    <t>1.3.2.8</t>
  </si>
  <si>
    <t>Przebudowa/modernizacja mostu w ciągu drogi powiatowej Nr 2724W   w m. Brzezinka gm. Karczew - poprawa infrastruktury</t>
  </si>
  <si>
    <t>1.3.2.9</t>
  </si>
  <si>
    <t>Przebudowa/modernizacja mostu w ciągu drogi powiatowej Nr 2730W  w m. Nadbrzeż gm. Karczew - poprawa infrastruktury</t>
  </si>
  <si>
    <t>1.3.2.10</t>
  </si>
  <si>
    <t>Przebudowa/modernizacja mostu w ciągu drogi powiatowej Nr 2746W w m. Grabianka gm. Osieck - poprawa infrastruktury</t>
  </si>
  <si>
    <t>1.3.2.11</t>
  </si>
  <si>
    <t>Modernizacja infrastruktury drogowej Powiatu Otwockiego polegająca na modernizacji przepraw przez cieki wodne  - etap II - poprawa infrastruktury drogowej</t>
  </si>
  <si>
    <t>1.3.2.12</t>
  </si>
  <si>
    <t>Opracowanie Audytu energetycznego wraz z Projektem Termomodernizacji budynku Urzędu Starostwa Powiatowego w Otwocku przy ul. Komunardów 10 - Wmiana źródeł ciepła i poprawa efektywności energetycznej w budynkach użytecznosci publicznej - audyt energetyczny</t>
  </si>
  <si>
    <t>1.3.2.13</t>
  </si>
  <si>
    <t>Budowa  hali sportowej  na terenie Specjalnego Ośrodka Szkolno-Wychowawczego Nr 1 im. Marii Konopnickiej w Otwocku
 - budowa hali sportowej</t>
  </si>
  <si>
    <t>SPECJALNY OŚRODEK SZKOLNO-WYCHOWAWCZY NR 1 IM. MARII KONOPNICKIEJ W OTWOCKU</t>
  </si>
  <si>
    <t>1.3.2.14</t>
  </si>
  <si>
    <t>Dostosowanie obiektu Specjalnego Ośrodka Szkolno-Wychowawczego Nr 2 w Otwocku do zaleceń p.poż. pokontrolnych, zgodnie z ekspertyzą techniczną dotyczącą stanu ochrony p.poż. - dostosowanie obiektu do zaleceń p.poż.</t>
  </si>
  <si>
    <t>SPECJALNY OŚRODEK SZKOLNO-WYCHOWAWCZY NR 2 W OTWOCKU</t>
  </si>
  <si>
    <t>1.3.2.15</t>
  </si>
  <si>
    <t>Prace konserwatorskie i restauratorskie budynku Kościoła p.w.Św.Wita Męczennika w Karczewie - odnowienie budynku Kościoła</t>
  </si>
  <si>
    <t>1.3.2.16</t>
  </si>
  <si>
    <t xml:space="preserve">Budowa chodnika w drodze powiatowej Nr 2709W w  Bolesławowie  - Budowa chodnika w drodze powiatowej Nr 2709W w  Bolesławowie </t>
  </si>
  <si>
    <t>1.3.2.17</t>
  </si>
  <si>
    <t>Budowa ścieżki rowerowej i chodnika w drodze powiatowej Nr 2759W ul. Narutowicza od ul. Stawowej w kikerunku S17 - Budowa ścieżki rowerowej i chodnika w drodze powiatowej Nr 2759W ul. Narutowicza od ul. Stawowej w kikerunku S17</t>
  </si>
  <si>
    <t>1.3.2.18</t>
  </si>
  <si>
    <t>Poprawa bezpieczeństwa na drodze powiatowej Nr 1315W w m. Augustówka Gm. Osieck - Poprawa bezpieczeństwa na drodze powiatowej Nr 1315W w m. Augustówka Gm. Osieck</t>
  </si>
  <si>
    <t>1.3.2.19</t>
  </si>
  <si>
    <t>Budowa ciągu pieszo-rowerowego w drodze powiatowej 2764W ul. Żeromskiego na odcinku od ul. Jałowcowej do ul. Laskowej - Budowa ciągu pieszo-rowerowego w drodze powiatowej 2764W ul. Żeromskiego na odcinku od ul. Jałowcowej do ul. Laskowej</t>
  </si>
  <si>
    <t>1.3.2.20</t>
  </si>
  <si>
    <t xml:space="preserve">Budowa budynku siedziby Starostwa Powiatowego w Otwocku oraz wybranych powiatowych jednostek organizacyjnych i wybranych służb powiatowych wraz z zagospodarowaniem terenu - poprawa warunków lokalowych </t>
  </si>
  <si>
    <t>1.3.2.21</t>
  </si>
  <si>
    <t>Rozbudowa i przebudowa drogi powiatowej Nr 2759W ul. Poniatowskiego w Otwocku - Przebudowa dróg powiatowych</t>
  </si>
  <si>
    <t>1.3.2.22</t>
  </si>
  <si>
    <t>Modernizacja drogi 2765W ul. Kołłątaja - Modernizacja drog</t>
  </si>
  <si>
    <t>1.3.2.23</t>
  </si>
  <si>
    <t>Modernizacja infrastruktury drogowej na terenie Miasta Otwocka - Modernizacja infrastruktury drogowej na terenie Miasta Otwocka</t>
  </si>
  <si>
    <t>1.3.2.24</t>
  </si>
  <si>
    <t xml:space="preserve">Projekt przebudowy ul. Warszawskiej i ul. Świderskiej obejmujący projekty kablowania sieci - </t>
  </si>
  <si>
    <t>1.3.2.25</t>
  </si>
  <si>
    <t xml:space="preserve">Projekt przebudowy DP2729W ul. Zamkowej w Otwocku Wielkim (przy jeziorze Rokola) - </t>
  </si>
  <si>
    <t>1.3.2.26</t>
  </si>
  <si>
    <t xml:space="preserve">Rozbudowa drogi powiatowej Nr 2701W w gm. Wiązowna - </t>
  </si>
  <si>
    <t>1.3.2.27</t>
  </si>
  <si>
    <t>Poprawa efektywności energetycznej budynków DPS Anielin - poprawa efektywności</t>
  </si>
  <si>
    <t>DOM POMOCY SPOŁECZNEJ "ANIELIN"</t>
  </si>
  <si>
    <t>1.3.2.28</t>
  </si>
  <si>
    <t>Poprawa efektywności energetycznej budynku DPS w Otwocku, ul. Konopnickiej 17 - Poprawa efektywności energetycznej</t>
  </si>
  <si>
    <t>DOM POMOCY SPOŁECZNEJ</t>
  </si>
  <si>
    <t>1.3.2.29</t>
  </si>
  <si>
    <t>Przebudowa DP2765W ul. Staszica od ul. Świderskiej do Ronda Sybiraków wraz z rondem - poprawa stanu dróg</t>
  </si>
  <si>
    <t>Wykaz przedsięwzięć wieloletnich 2025</t>
  </si>
  <si>
    <t>Załącznik nr 2 do uchwały nr ........./25</t>
  </si>
  <si>
    <t>Rady Powiatu Otwockiego</t>
  </si>
  <si>
    <t>z dnia 27 listopada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</si>
</sst>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b/>
      <sz val="11"/>
      <name val="Calibri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xSplit="2" ySplit="7" topLeftCell="C38" activePane="bottomRight" state="frozen"/>
      <selection pane="topRight" activeCell="C1" sqref="C1"/>
      <selection pane="bottomLeft" activeCell="A2" sqref="A2"/>
      <selection pane="bottomRight" activeCell="J1" sqref="J1"/>
    </sheetView>
  </sheetViews>
  <sheetFormatPr defaultRowHeight="15" x14ac:dyDescent="0.25"/>
  <cols>
    <col min="1" max="1" width="5.5703125" customWidth="1"/>
    <col min="2" max="2" width="21.7109375" customWidth="1"/>
    <col min="3" max="3" width="12" customWidth="1"/>
    <col min="4" max="5" width="5.42578125" customWidth="1"/>
    <col min="6" max="9" width="12" customWidth="1"/>
    <col min="10" max="10" width="10.7109375" customWidth="1"/>
    <col min="11" max="11" width="8.42578125" customWidth="1"/>
    <col min="12" max="27" width="12" hidden="1" customWidth="1"/>
    <col min="28" max="28" width="12" customWidth="1"/>
  </cols>
  <sheetData>
    <row r="1" spans="1:28" x14ac:dyDescent="0.25">
      <c r="J1" s="16" t="s">
        <v>128</v>
      </c>
    </row>
    <row r="2" spans="1:28" x14ac:dyDescent="0.25">
      <c r="J2" s="16" t="s">
        <v>129</v>
      </c>
    </row>
    <row r="3" spans="1:28" x14ac:dyDescent="0.25">
      <c r="J3" s="16" t="s">
        <v>130</v>
      </c>
    </row>
    <row r="4" spans="1:28" x14ac:dyDescent="0.25">
      <c r="B4" s="15" t="s">
        <v>127</v>
      </c>
      <c r="C4" s="15"/>
      <c r="D4" s="15"/>
      <c r="E4" s="15"/>
      <c r="F4" s="15"/>
      <c r="G4" s="15"/>
      <c r="H4" s="15"/>
      <c r="I4" s="15"/>
      <c r="J4" s="15"/>
    </row>
    <row r="7" spans="1:28" s="13" customFormat="1" ht="22.5" x14ac:dyDescent="0.25">
      <c r="A7" s="12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12" t="s">
        <v>9</v>
      </c>
      <c r="K7" s="12" t="s">
        <v>10</v>
      </c>
      <c r="L7" s="12" t="s">
        <v>11</v>
      </c>
      <c r="M7" s="12" t="s">
        <v>12</v>
      </c>
      <c r="N7" s="12" t="s">
        <v>13</v>
      </c>
      <c r="O7" s="12" t="s">
        <v>14</v>
      </c>
      <c r="P7" s="12" t="s">
        <v>15</v>
      </c>
      <c r="Q7" s="12" t="s">
        <v>16</v>
      </c>
      <c r="R7" s="12" t="s">
        <v>17</v>
      </c>
      <c r="S7" s="12" t="s">
        <v>18</v>
      </c>
      <c r="T7" s="12" t="s">
        <v>19</v>
      </c>
      <c r="U7" s="12" t="s">
        <v>20</v>
      </c>
      <c r="V7" s="12" t="s">
        <v>21</v>
      </c>
      <c r="W7" s="12" t="s">
        <v>22</v>
      </c>
      <c r="X7" s="12" t="s">
        <v>23</v>
      </c>
      <c r="Y7" s="12" t="s">
        <v>24</v>
      </c>
      <c r="Z7" s="12" t="s">
        <v>25</v>
      </c>
      <c r="AA7" s="12" t="s">
        <v>26</v>
      </c>
      <c r="AB7" s="14" t="s">
        <v>27</v>
      </c>
    </row>
    <row r="8" spans="1:28" x14ac:dyDescent="0.25">
      <c r="A8" s="1" t="s">
        <v>28</v>
      </c>
      <c r="B8" s="2" t="s">
        <v>29</v>
      </c>
      <c r="C8" s="2"/>
      <c r="D8" s="4"/>
      <c r="E8" s="4"/>
      <c r="F8" s="3">
        <f>IF(ISNUMBER(VLOOKUP("1.1",A8:AB56,6,FALSE)),ROUND(VLOOKUP("1.1",A8:AB56,6,FALSE),4),0) + IF(ISNUMBER(VLOOKUP("1.2",A8:AB56,6,FALSE)),ROUND(VLOOKUP("1.2",A8:AB56,6,FALSE),4),0) + IF(ISNUMBER(VLOOKUP("1.3",A8:AB56,6,FALSE)),ROUND(VLOOKUP("1.3",A8:AB56,6,FALSE),4),0)</f>
        <v>111684945.58</v>
      </c>
      <c r="G8" s="3">
        <f>IF(ISNUMBER(VLOOKUP("1.1",A8:AB56,7,FALSE)),ROUND(VLOOKUP("1.1",A8:AB56,7,FALSE),4),0) + IF(ISNUMBER(VLOOKUP("1.2",A8:AB56,7,FALSE)),ROUND(VLOOKUP("1.2",A8:AB56,7,FALSE),4),0) + IF(ISNUMBER(VLOOKUP("1.3",A8:AB56,7,FALSE)),ROUND(VLOOKUP("1.3",A8:AB56,7,FALSE),4),0)</f>
        <v>51042617.989999995</v>
      </c>
      <c r="H8" s="3">
        <f>IF(ISNUMBER(VLOOKUP("1.1",A8:AB56,8,FALSE)),ROUND(VLOOKUP("1.1",A8:AB56,8,FALSE),4),0) + IF(ISNUMBER(VLOOKUP("1.2",A8:AB56,8,FALSE)),ROUND(VLOOKUP("1.2",A8:AB56,8,FALSE),4),0) + IF(ISNUMBER(VLOOKUP("1.3",A8:AB56,8,FALSE)),ROUND(VLOOKUP("1.3",A8:AB56,8,FALSE),4),0)</f>
        <v>32217096</v>
      </c>
      <c r="I8" s="3">
        <f>IF(ISNUMBER(VLOOKUP("1.1",A8:AB56,9,FALSE)),ROUND(VLOOKUP("1.1",A8:AB56,9,FALSE),4),0) + IF(ISNUMBER(VLOOKUP("1.2",A8:AB56,9,FALSE)),ROUND(VLOOKUP("1.2",A8:AB56,9,FALSE),4),0) + IF(ISNUMBER(VLOOKUP("1.3",A8:AB56,9,FALSE)),ROUND(VLOOKUP("1.3",A8:AB56,9,FALSE),4),0)</f>
        <v>7886000</v>
      </c>
      <c r="J8" s="3">
        <f>IF(ISNUMBER(VLOOKUP("1.1",A8:AB56,10,FALSE)),ROUND(VLOOKUP("1.1",A8:AB56,10,FALSE),4),0) + IF(ISNUMBER(VLOOKUP("1.2",A8:AB56,10,FALSE)),ROUND(VLOOKUP("1.2",A8:AB56,10,FALSE),4),0) + IF(ISNUMBER(VLOOKUP("1.3",A8:AB56,10,FALSE)),ROUND(VLOOKUP("1.3",A8:AB56,10,FALSE),4),0)</f>
        <v>1000000</v>
      </c>
      <c r="K8" s="3">
        <f>IF(ISNUMBER(VLOOKUP("1.1",A8:AB56,11,FALSE)),ROUND(VLOOKUP("1.1",A8:AB56,11,FALSE),4),0) + IF(ISNUMBER(VLOOKUP("1.2",A8:AB56,11,FALSE)),ROUND(VLOOKUP("1.2",A8:AB56,11,FALSE),4),0) + IF(ISNUMBER(VLOOKUP("1.3",A8:AB56,11,FALSE)),ROUND(VLOOKUP("1.3",A8:AB56,11,FALSE),4),0)</f>
        <v>0</v>
      </c>
      <c r="L8" s="3">
        <f>IF(ISNUMBER(VLOOKUP("1.1",A8:AB56,12,FALSE)),ROUND(VLOOKUP("1.1",A8:AB56,12,FALSE),4),0) + IF(ISNUMBER(VLOOKUP("1.2",A8:AB56,12,FALSE)),ROUND(VLOOKUP("1.2",A8:AB56,12,FALSE),4),0) + IF(ISNUMBER(VLOOKUP("1.3",A8:AB56,12,FALSE)),ROUND(VLOOKUP("1.3",A8:AB56,12,FALSE),4),0)</f>
        <v>0</v>
      </c>
      <c r="M8" s="3">
        <f>IF(ISNUMBER(VLOOKUP("1.1",A8:AB56,13,FALSE)),ROUND(VLOOKUP("1.1",A8:AB56,13,FALSE),4),0) + IF(ISNUMBER(VLOOKUP("1.2",A8:AB56,13,FALSE)),ROUND(VLOOKUP("1.2",A8:AB56,13,FALSE),4),0) + IF(ISNUMBER(VLOOKUP("1.3",A8:AB56,13,FALSE)),ROUND(VLOOKUP("1.3",A8:AB56,13,FALSE),4),0)</f>
        <v>0</v>
      </c>
      <c r="N8" s="3">
        <f>IF(ISNUMBER(VLOOKUP("1.1",A8:AB56,14,FALSE)),ROUND(VLOOKUP("1.1",A8:AB56,14,FALSE),4),0) + IF(ISNUMBER(VLOOKUP("1.2",A8:AB56,14,FALSE)),ROUND(VLOOKUP("1.2",A8:AB56,14,FALSE),4),0) + IF(ISNUMBER(VLOOKUP("1.3",A8:AB56,14,FALSE)),ROUND(VLOOKUP("1.3",A8:AB56,14,FALSE),4),0)</f>
        <v>0</v>
      </c>
      <c r="O8" s="3">
        <f>IF(ISNUMBER(VLOOKUP("1.1",A8:AB56,15,FALSE)),ROUND(VLOOKUP("1.1",A8:AB56,15,FALSE),4),0) + IF(ISNUMBER(VLOOKUP("1.2",A8:AB56,15,FALSE)),ROUND(VLOOKUP("1.2",A8:AB56,15,FALSE),4),0) + IF(ISNUMBER(VLOOKUP("1.3",A8:AB56,15,FALSE)),ROUND(VLOOKUP("1.3",A8:AB56,15,FALSE),4),0)</f>
        <v>0</v>
      </c>
      <c r="P8" s="3">
        <f>IF(ISNUMBER(VLOOKUP("1.1",A8:AB56,16,FALSE)),ROUND(VLOOKUP("1.1",A8:AB56,16,FALSE),4),0) + IF(ISNUMBER(VLOOKUP("1.2",A8:AB56,16,FALSE)),ROUND(VLOOKUP("1.2",A8:AB56,16,FALSE),4),0) + IF(ISNUMBER(VLOOKUP("1.3",A8:AB56,16,FALSE)),ROUND(VLOOKUP("1.3",A8:AB56,16,FALSE),4),0)</f>
        <v>0</v>
      </c>
      <c r="Q8" s="3">
        <f>IF(ISNUMBER(VLOOKUP("1.1",A8:AB56,17,FALSE)),ROUND(VLOOKUP("1.1",A8:AB56,17,FALSE),4),0) + IF(ISNUMBER(VLOOKUP("1.2",A8:AB56,17,FALSE)),ROUND(VLOOKUP("1.2",A8:AB56,17,FALSE),4),0) + IF(ISNUMBER(VLOOKUP("1.3",A8:AB56,17,FALSE)),ROUND(VLOOKUP("1.3",A8:AB56,17,FALSE),4),0)</f>
        <v>0</v>
      </c>
      <c r="R8" s="3">
        <f>IF(ISNUMBER(VLOOKUP("1.1",A8:AB56,18,FALSE)),ROUND(VLOOKUP("1.1",A8:AB56,18,FALSE),4),0) + IF(ISNUMBER(VLOOKUP("1.2",A8:AB56,18,FALSE)),ROUND(VLOOKUP("1.2",A8:AB56,18,FALSE),4),0) + IF(ISNUMBER(VLOOKUP("1.3",A8:AB56,18,FALSE)),ROUND(VLOOKUP("1.3",A8:AB56,18,FALSE),4),0)</f>
        <v>0</v>
      </c>
      <c r="S8" s="3">
        <f>IF(ISNUMBER(VLOOKUP("1.1",A8:AB56,19,FALSE)),ROUND(VLOOKUP("1.1",A8:AB56,19,FALSE),4),0) + IF(ISNUMBER(VLOOKUP("1.2",A8:AB56,19,FALSE)),ROUND(VLOOKUP("1.2",A8:AB56,19,FALSE),4),0) + IF(ISNUMBER(VLOOKUP("1.3",A8:AB56,19,FALSE)),ROUND(VLOOKUP("1.3",A8:AB56,19,FALSE),4),0)</f>
        <v>0</v>
      </c>
      <c r="T8" s="3">
        <f>IF(ISNUMBER(VLOOKUP("1.1",A8:AB56,20,FALSE)),ROUND(VLOOKUP("1.1",A8:AB56,20,FALSE),4),0) + IF(ISNUMBER(VLOOKUP("1.2",A8:AB56,20,FALSE)),ROUND(VLOOKUP("1.2",A8:AB56,20,FALSE),4),0) + IF(ISNUMBER(VLOOKUP("1.3",A8:AB56,20,FALSE)),ROUND(VLOOKUP("1.3",A8:AB56,20,FALSE),4),0)</f>
        <v>0</v>
      </c>
      <c r="U8" s="3">
        <f>IF(ISNUMBER(VLOOKUP("1.1",A8:AB56,21,FALSE)),ROUND(VLOOKUP("1.1",A8:AB56,21,FALSE),4),0) + IF(ISNUMBER(VLOOKUP("1.2",A8:AB56,21,FALSE)),ROUND(VLOOKUP("1.2",A8:AB56,21,FALSE),4),0) + IF(ISNUMBER(VLOOKUP("1.3",A8:AB56,21,FALSE)),ROUND(VLOOKUP("1.3",A8:AB56,21,FALSE),4),0)</f>
        <v>0</v>
      </c>
      <c r="V8" s="3">
        <f>IF(ISNUMBER(VLOOKUP("1.1",A8:AB56,22,FALSE)),ROUND(VLOOKUP("1.1",A8:AB56,22,FALSE),4),0) + IF(ISNUMBER(VLOOKUP("1.2",A8:AB56,22,FALSE)),ROUND(VLOOKUP("1.2",A8:AB56,22,FALSE),4),0) + IF(ISNUMBER(VLOOKUP("1.3",A8:AB56,22,FALSE)),ROUND(VLOOKUP("1.3",A8:AB56,22,FALSE),4),0)</f>
        <v>0</v>
      </c>
      <c r="W8" s="3">
        <f>IF(ISNUMBER(VLOOKUP("1.1",A8:AB56,23,FALSE)),ROUND(VLOOKUP("1.1",A8:AB56,23,FALSE),4),0) + IF(ISNUMBER(VLOOKUP("1.2",A8:AB56,23,FALSE)),ROUND(VLOOKUP("1.2",A8:AB56,23,FALSE),4),0) + IF(ISNUMBER(VLOOKUP("1.3",A8:AB56,23,FALSE)),ROUND(VLOOKUP("1.3",A8:AB56,23,FALSE),4),0)</f>
        <v>0</v>
      </c>
      <c r="X8" s="3">
        <f>IF(ISNUMBER(VLOOKUP("1.1",A8:AB56,24,FALSE)),ROUND(VLOOKUP("1.1",A8:AB56,24,FALSE),4),0) + IF(ISNUMBER(VLOOKUP("1.2",A8:AB56,24,FALSE)),ROUND(VLOOKUP("1.2",A8:AB56,24,FALSE),4),0) + IF(ISNUMBER(VLOOKUP("1.3",A8:AB56,24,FALSE)),ROUND(VLOOKUP("1.3",A8:AB56,24,FALSE),4),0)</f>
        <v>0</v>
      </c>
      <c r="Y8" s="3">
        <f>IF(ISNUMBER(VLOOKUP("1.1",A8:AB56,25,FALSE)),ROUND(VLOOKUP("1.1",A8:AB56,25,FALSE),4),0) + IF(ISNUMBER(VLOOKUP("1.2",A8:AB56,25,FALSE)),ROUND(VLOOKUP("1.2",A8:AB56,25,FALSE),4),0) + IF(ISNUMBER(VLOOKUP("1.3",A8:AB56,25,FALSE)),ROUND(VLOOKUP("1.3",A8:AB56,25,FALSE),4),0)</f>
        <v>0</v>
      </c>
      <c r="Z8" s="3">
        <f>IF(ISNUMBER(VLOOKUP("1.1",A8:AB56,26,FALSE)),ROUND(VLOOKUP("1.1",A8:AB56,26,FALSE),4),0) + IF(ISNUMBER(VLOOKUP("1.2",A8:AB56,26,FALSE)),ROUND(VLOOKUP("1.2",A8:AB56,26,FALSE),4),0) + IF(ISNUMBER(VLOOKUP("1.3",A8:AB56,26,FALSE)),ROUND(VLOOKUP("1.3",A8:AB56,26,FALSE),4),0)</f>
        <v>0</v>
      </c>
      <c r="AA8" s="3">
        <f>IF(ISNUMBER(VLOOKUP("1.1",A8:AB56,27,FALSE)),ROUND(VLOOKUP("1.1",A8:AB56,27,FALSE),4),0) + IF(ISNUMBER(VLOOKUP("1.2",A8:AB56,27,FALSE)),ROUND(VLOOKUP("1.2",A8:AB56,27,FALSE),4),0) + IF(ISNUMBER(VLOOKUP("1.3",A8:AB56,27,FALSE)),ROUND(VLOOKUP("1.3",A8:AB56,27,FALSE),4),0)</f>
        <v>0</v>
      </c>
      <c r="AB8" s="3">
        <f>IF(ISNUMBER(VLOOKUP("1.1",A8:AB56,28,FALSE)),ROUND(VLOOKUP("1.1",A8:AB56,28,FALSE),4),0) + IF(ISNUMBER(VLOOKUP("1.2",A8:AB56,28,FALSE)),ROUND(VLOOKUP("1.2",A8:AB56,28,FALSE),4),0) + IF(ISNUMBER(VLOOKUP("1.3",A8:AB56,28,FALSE)),ROUND(VLOOKUP("1.3",A8:AB56,28,FALSE),4),0)</f>
        <v>92145713.989999995</v>
      </c>
    </row>
    <row r="9" spans="1:28" x14ac:dyDescent="0.25">
      <c r="A9" s="1" t="s">
        <v>30</v>
      </c>
      <c r="B9" s="2" t="s">
        <v>31</v>
      </c>
      <c r="C9" s="2"/>
      <c r="D9" s="4"/>
      <c r="E9" s="4"/>
      <c r="F9" s="3">
        <f>IF(ISNUMBER(VLOOKUP("1.1.1",A8:AB56,6,FALSE)),ROUND(VLOOKUP("1.1.1",A8:AB56,6,FALSE),4),0) + IF(ISNUMBER(VLOOKUP("1.2.1",A8:AB56,6,FALSE)),ROUND(VLOOKUP("1.2.1",A8:AB56,6,FALSE),4),0) + IF(ISNUMBER(VLOOKUP("1.3.1",A8:AB56,6,FALSE)),ROUND(VLOOKUP("1.3.1",A8:AB56,6,FALSE),4),0)</f>
        <v>5979206.3799999999</v>
      </c>
      <c r="G9" s="3">
        <f>IF(ISNUMBER(VLOOKUP("1.1.1",A8:AB56,7,FALSE)),ROUND(VLOOKUP("1.1.1",A8:AB56,7,FALSE),4),0) + IF(ISNUMBER(VLOOKUP("1.2.1",A8:AB56,7,FALSE)),ROUND(VLOOKUP("1.2.1",A8:AB56,7,FALSE),4),0) + IF(ISNUMBER(VLOOKUP("1.3.1",A8:AB56,7,FALSE)),ROUND(VLOOKUP("1.3.1",A8:AB56,7,FALSE),4),0)</f>
        <v>1923547.09</v>
      </c>
      <c r="H9" s="3">
        <f>IF(ISNUMBER(VLOOKUP("1.1.1",A8:AB56,8,FALSE)),ROUND(VLOOKUP("1.1.1",A8:AB56,8,FALSE),4),0) + IF(ISNUMBER(VLOOKUP("1.2.1",A8:AB56,8,FALSE)),ROUND(VLOOKUP("1.2.1",A8:AB56,8,FALSE),4),0) + IF(ISNUMBER(VLOOKUP("1.3.1",A8:AB56,8,FALSE)),ROUND(VLOOKUP("1.3.1",A8:AB56,8,FALSE),4),0)</f>
        <v>1120113</v>
      </c>
      <c r="I9" s="3">
        <f>IF(ISNUMBER(VLOOKUP("1.1.1",A8:AB56,9,FALSE)),ROUND(VLOOKUP("1.1.1",A8:AB56,9,FALSE),4),0) + IF(ISNUMBER(VLOOKUP("1.2.1",A8:AB56,9,FALSE)),ROUND(VLOOKUP("1.2.1",A8:AB56,9,FALSE),4),0) + IF(ISNUMBER(VLOOKUP("1.3.1",A8:AB56,9,FALSE)),ROUND(VLOOKUP("1.3.1",A8:AB56,9,FALSE),4),0)</f>
        <v>386000</v>
      </c>
      <c r="J9" s="3">
        <f>IF(ISNUMBER(VLOOKUP("1.1.1",A8:AB56,10,FALSE)),ROUND(VLOOKUP("1.1.1",A8:AB56,10,FALSE),4),0) + IF(ISNUMBER(VLOOKUP("1.2.1",A8:AB56,10,FALSE)),ROUND(VLOOKUP("1.2.1",A8:AB56,10,FALSE),4),0) + IF(ISNUMBER(VLOOKUP("1.3.1",A8:AB56,10,FALSE)),ROUND(VLOOKUP("1.3.1",A8:AB56,10,FALSE),4),0)</f>
        <v>0</v>
      </c>
      <c r="K9" s="3">
        <f>IF(ISNUMBER(VLOOKUP("1.1.1",A8:AB56,11,FALSE)),ROUND(VLOOKUP("1.1.1",A8:AB56,11,FALSE),4),0) + IF(ISNUMBER(VLOOKUP("1.2.1",A8:AB56,11,FALSE)),ROUND(VLOOKUP("1.2.1",A8:AB56,11,FALSE),4),0) + IF(ISNUMBER(VLOOKUP("1.3.1",A8:AB56,11,FALSE)),ROUND(VLOOKUP("1.3.1",A8:AB56,11,FALSE),4),0)</f>
        <v>0</v>
      </c>
      <c r="L9" s="3">
        <f>IF(ISNUMBER(VLOOKUP("1.1.1",A8:AB56,12,FALSE)),ROUND(VLOOKUP("1.1.1",A8:AB56,12,FALSE),4),0) + IF(ISNUMBER(VLOOKUP("1.2.1",A8:AB56,12,FALSE)),ROUND(VLOOKUP("1.2.1",A8:AB56,12,FALSE),4),0) + IF(ISNUMBER(VLOOKUP("1.3.1",A8:AB56,12,FALSE)),ROUND(VLOOKUP("1.3.1",A8:AB56,12,FALSE),4),0)</f>
        <v>0</v>
      </c>
      <c r="M9" s="3">
        <f>IF(ISNUMBER(VLOOKUP("1.1.1",A8:AB56,13,FALSE)),ROUND(VLOOKUP("1.1.1",A8:AB56,13,FALSE),4),0) + IF(ISNUMBER(VLOOKUP("1.2.1",A8:AB56,13,FALSE)),ROUND(VLOOKUP("1.2.1",A8:AB56,13,FALSE),4),0) + IF(ISNUMBER(VLOOKUP("1.3.1",A8:AB56,13,FALSE)),ROUND(VLOOKUP("1.3.1",A8:AB56,13,FALSE),4),0)</f>
        <v>0</v>
      </c>
      <c r="N9" s="3">
        <f>IF(ISNUMBER(VLOOKUP("1.1.1",A8:AB56,14,FALSE)),ROUND(VLOOKUP("1.1.1",A8:AB56,14,FALSE),4),0) + IF(ISNUMBER(VLOOKUP("1.2.1",A8:AB56,14,FALSE)),ROUND(VLOOKUP("1.2.1",A8:AB56,14,FALSE),4),0) + IF(ISNUMBER(VLOOKUP("1.3.1",A8:AB56,14,FALSE)),ROUND(VLOOKUP("1.3.1",A8:AB56,14,FALSE),4),0)</f>
        <v>0</v>
      </c>
      <c r="O9" s="3">
        <f>IF(ISNUMBER(VLOOKUP("1.1.1",A8:AB56,15,FALSE)),ROUND(VLOOKUP("1.1.1",A8:AB56,15,FALSE),4),0) + IF(ISNUMBER(VLOOKUP("1.2.1",A8:AB56,15,FALSE)),ROUND(VLOOKUP("1.2.1",A8:AB56,15,FALSE),4),0) + IF(ISNUMBER(VLOOKUP("1.3.1",A8:AB56,15,FALSE)),ROUND(VLOOKUP("1.3.1",A8:AB56,15,FALSE),4),0)</f>
        <v>0</v>
      </c>
      <c r="P9" s="3">
        <f>IF(ISNUMBER(VLOOKUP("1.1.1",A8:AB56,16,FALSE)),ROUND(VLOOKUP("1.1.1",A8:AB56,16,FALSE),4),0) + IF(ISNUMBER(VLOOKUP("1.2.1",A8:AB56,16,FALSE)),ROUND(VLOOKUP("1.2.1",A8:AB56,16,FALSE),4),0) + IF(ISNUMBER(VLOOKUP("1.3.1",A8:AB56,16,FALSE)),ROUND(VLOOKUP("1.3.1",A8:AB56,16,FALSE),4),0)</f>
        <v>0</v>
      </c>
      <c r="Q9" s="3">
        <f>IF(ISNUMBER(VLOOKUP("1.1.1",A8:AB56,17,FALSE)),ROUND(VLOOKUP("1.1.1",A8:AB56,17,FALSE),4),0) + IF(ISNUMBER(VLOOKUP("1.2.1",A8:AB56,17,FALSE)),ROUND(VLOOKUP("1.2.1",A8:AB56,17,FALSE),4),0) + IF(ISNUMBER(VLOOKUP("1.3.1",A8:AB56,17,FALSE)),ROUND(VLOOKUP("1.3.1",A8:AB56,17,FALSE),4),0)</f>
        <v>0</v>
      </c>
      <c r="R9" s="3">
        <f>IF(ISNUMBER(VLOOKUP("1.1.1",A8:AB56,18,FALSE)),ROUND(VLOOKUP("1.1.1",A8:AB56,18,FALSE),4),0) + IF(ISNUMBER(VLOOKUP("1.2.1",A8:AB56,18,FALSE)),ROUND(VLOOKUP("1.2.1",A8:AB56,18,FALSE),4),0) + IF(ISNUMBER(VLOOKUP("1.3.1",A8:AB56,18,FALSE)),ROUND(VLOOKUP("1.3.1",A8:AB56,18,FALSE),4),0)</f>
        <v>0</v>
      </c>
      <c r="S9" s="3">
        <f>IF(ISNUMBER(VLOOKUP("1.1.1",A8:AB56,19,FALSE)),ROUND(VLOOKUP("1.1.1",A8:AB56,19,FALSE),4),0) + IF(ISNUMBER(VLOOKUP("1.2.1",A8:AB56,19,FALSE)),ROUND(VLOOKUP("1.2.1",A8:AB56,19,FALSE),4),0) + IF(ISNUMBER(VLOOKUP("1.3.1",A8:AB56,19,FALSE)),ROUND(VLOOKUP("1.3.1",A8:AB56,19,FALSE),4),0)</f>
        <v>0</v>
      </c>
      <c r="T9" s="3">
        <f>IF(ISNUMBER(VLOOKUP("1.1.1",A8:AB56,20,FALSE)),ROUND(VLOOKUP("1.1.1",A8:AB56,20,FALSE),4),0) + IF(ISNUMBER(VLOOKUP("1.2.1",A8:AB56,20,FALSE)),ROUND(VLOOKUP("1.2.1",A8:AB56,20,FALSE),4),0) + IF(ISNUMBER(VLOOKUP("1.3.1",A8:AB56,20,FALSE)),ROUND(VLOOKUP("1.3.1",A8:AB56,20,FALSE),4),0)</f>
        <v>0</v>
      </c>
      <c r="U9" s="3">
        <f>IF(ISNUMBER(VLOOKUP("1.1.1",A8:AB56,21,FALSE)),ROUND(VLOOKUP("1.1.1",A8:AB56,21,FALSE),4),0) + IF(ISNUMBER(VLOOKUP("1.2.1",A8:AB56,21,FALSE)),ROUND(VLOOKUP("1.2.1",A8:AB56,21,FALSE),4),0) + IF(ISNUMBER(VLOOKUP("1.3.1",A8:AB56,21,FALSE)),ROUND(VLOOKUP("1.3.1",A8:AB56,21,FALSE),4),0)</f>
        <v>0</v>
      </c>
      <c r="V9" s="3">
        <f>IF(ISNUMBER(VLOOKUP("1.1.1",A8:AB56,22,FALSE)),ROUND(VLOOKUP("1.1.1",A8:AB56,22,FALSE),4),0) + IF(ISNUMBER(VLOOKUP("1.2.1",A8:AB56,22,FALSE)),ROUND(VLOOKUP("1.2.1",A8:AB56,22,FALSE),4),0) + IF(ISNUMBER(VLOOKUP("1.3.1",A8:AB56,22,FALSE)),ROUND(VLOOKUP("1.3.1",A8:AB56,22,FALSE),4),0)</f>
        <v>0</v>
      </c>
      <c r="W9" s="3">
        <f>IF(ISNUMBER(VLOOKUP("1.1.1",A8:AB56,23,FALSE)),ROUND(VLOOKUP("1.1.1",A8:AB56,23,FALSE),4),0) + IF(ISNUMBER(VLOOKUP("1.2.1",A8:AB56,23,FALSE)),ROUND(VLOOKUP("1.2.1",A8:AB56,23,FALSE),4),0) + IF(ISNUMBER(VLOOKUP("1.3.1",A8:AB56,23,FALSE)),ROUND(VLOOKUP("1.3.1",A8:AB56,23,FALSE),4),0)</f>
        <v>0</v>
      </c>
      <c r="X9" s="3">
        <f>IF(ISNUMBER(VLOOKUP("1.1.1",A8:AB56,24,FALSE)),ROUND(VLOOKUP("1.1.1",A8:AB56,24,FALSE),4),0) + IF(ISNUMBER(VLOOKUP("1.2.1",A8:AB56,24,FALSE)),ROUND(VLOOKUP("1.2.1",A8:AB56,24,FALSE),4),0) + IF(ISNUMBER(VLOOKUP("1.3.1",A8:AB56,24,FALSE)),ROUND(VLOOKUP("1.3.1",A8:AB56,24,FALSE),4),0)</f>
        <v>0</v>
      </c>
      <c r="Y9" s="3">
        <f>IF(ISNUMBER(VLOOKUP("1.1.1",A8:AB56,25,FALSE)),ROUND(VLOOKUP("1.1.1",A8:AB56,25,FALSE),4),0) + IF(ISNUMBER(VLOOKUP("1.2.1",A8:AB56,25,FALSE)),ROUND(VLOOKUP("1.2.1",A8:AB56,25,FALSE),4),0) + IF(ISNUMBER(VLOOKUP("1.3.1",A8:AB56,25,FALSE)),ROUND(VLOOKUP("1.3.1",A8:AB56,25,FALSE),4),0)</f>
        <v>0</v>
      </c>
      <c r="Z9" s="3">
        <f>IF(ISNUMBER(VLOOKUP("1.1.1",A8:AB56,26,FALSE)),ROUND(VLOOKUP("1.1.1",A8:AB56,26,FALSE),4),0) + IF(ISNUMBER(VLOOKUP("1.2.1",A8:AB56,26,FALSE)),ROUND(VLOOKUP("1.2.1",A8:AB56,26,FALSE),4),0) + IF(ISNUMBER(VLOOKUP("1.3.1",A8:AB56,26,FALSE)),ROUND(VLOOKUP("1.3.1",A8:AB56,26,FALSE),4),0)</f>
        <v>0</v>
      </c>
      <c r="AA9" s="3">
        <f>IF(ISNUMBER(VLOOKUP("1.1.1",A8:AB56,27,FALSE)),ROUND(VLOOKUP("1.1.1",A8:AB56,27,FALSE),4),0) + IF(ISNUMBER(VLOOKUP("1.2.1",A8:AB56,27,FALSE)),ROUND(VLOOKUP("1.2.1",A8:AB56,27,FALSE),4),0) + IF(ISNUMBER(VLOOKUP("1.3.1",A8:AB56,27,FALSE)),ROUND(VLOOKUP("1.3.1",A8:AB56,27,FALSE),4),0)</f>
        <v>0</v>
      </c>
      <c r="AB9" s="3">
        <f>IF(ISNUMBER(VLOOKUP("1.1.1",A8:AB56,28,FALSE)),ROUND(VLOOKUP("1.1.1",A8:AB56,28,FALSE),4),0) + IF(ISNUMBER(VLOOKUP("1.2.1",A8:AB56,28,FALSE)),ROUND(VLOOKUP("1.2.1",A8:AB56,28,FALSE),4),0) + IF(ISNUMBER(VLOOKUP("1.3.1",A8:AB56,28,FALSE)),ROUND(VLOOKUP("1.3.1",A8:AB56,28,FALSE),4),0)</f>
        <v>3429660.09</v>
      </c>
    </row>
    <row r="10" spans="1:28" x14ac:dyDescent="0.25">
      <c r="A10" s="1" t="s">
        <v>32</v>
      </c>
      <c r="B10" s="2" t="s">
        <v>33</v>
      </c>
      <c r="C10" s="2"/>
      <c r="D10" s="4"/>
      <c r="E10" s="4"/>
      <c r="F10" s="3">
        <f>IF(ISNUMBER(VLOOKUP("1.1.2",A8:AB56,6,FALSE)),ROUND(VLOOKUP("1.1.2",A8:AB56,6,FALSE),4),0) + IF(ISNUMBER(VLOOKUP("1.2.2",A8:AB56,6,FALSE)),ROUND(VLOOKUP("1.2.2",A8:AB56,6,FALSE),4),0) + IF(ISNUMBER(VLOOKUP("1.3.2",A8:AB56,6,FALSE)),ROUND(VLOOKUP("1.3.2",A8:AB56,6,FALSE),4),0)</f>
        <v>105705739.2</v>
      </c>
      <c r="G10" s="3">
        <f>IF(ISNUMBER(VLOOKUP("1.1.2",A8:AB56,7,FALSE)),ROUND(VLOOKUP("1.1.2",A8:AB56,7,FALSE),4),0) + IF(ISNUMBER(VLOOKUP("1.2.2",A8:AB56,7,FALSE)),ROUND(VLOOKUP("1.2.2",A8:AB56,7,FALSE),4),0) + IF(ISNUMBER(VLOOKUP("1.3.2",A8:AB56,7,FALSE)),ROUND(VLOOKUP("1.3.2",A8:AB56,7,FALSE),4),0)</f>
        <v>49119070.899999999</v>
      </c>
      <c r="H10" s="3">
        <f>IF(ISNUMBER(VLOOKUP("1.1.2",A8:AB56,8,FALSE)),ROUND(VLOOKUP("1.1.2",A8:AB56,8,FALSE),4),0) + IF(ISNUMBER(VLOOKUP("1.2.2",A8:AB56,8,FALSE)),ROUND(VLOOKUP("1.2.2",A8:AB56,8,FALSE),4),0) + IF(ISNUMBER(VLOOKUP("1.3.2",A8:AB56,8,FALSE)),ROUND(VLOOKUP("1.3.2",A8:AB56,8,FALSE),4),0)</f>
        <v>31096983</v>
      </c>
      <c r="I10" s="3">
        <f>IF(ISNUMBER(VLOOKUP("1.1.2",A8:AB56,9,FALSE)),ROUND(VLOOKUP("1.1.2",A8:AB56,9,FALSE),4),0) + IF(ISNUMBER(VLOOKUP("1.2.2",A8:AB56,9,FALSE)),ROUND(VLOOKUP("1.2.2",A8:AB56,9,FALSE),4),0) + IF(ISNUMBER(VLOOKUP("1.3.2",A8:AB56,9,FALSE)),ROUND(VLOOKUP("1.3.2",A8:AB56,9,FALSE),4),0)</f>
        <v>7500000</v>
      </c>
      <c r="J10" s="3">
        <f>IF(ISNUMBER(VLOOKUP("1.1.2",A8:AB56,10,FALSE)),ROUND(VLOOKUP("1.1.2",A8:AB56,10,FALSE),4),0) + IF(ISNUMBER(VLOOKUP("1.2.2",A8:AB56,10,FALSE)),ROUND(VLOOKUP("1.2.2",A8:AB56,10,FALSE),4),0) + IF(ISNUMBER(VLOOKUP("1.3.2",A8:AB56,10,FALSE)),ROUND(VLOOKUP("1.3.2",A8:AB56,10,FALSE),4),0)</f>
        <v>1000000</v>
      </c>
      <c r="K10" s="3">
        <f>IF(ISNUMBER(VLOOKUP("1.1.2",A8:AB56,11,FALSE)),ROUND(VLOOKUP("1.1.2",A8:AB56,11,FALSE),4),0) + IF(ISNUMBER(VLOOKUP("1.2.2",A8:AB56,11,FALSE)),ROUND(VLOOKUP("1.2.2",A8:AB56,11,FALSE),4),0) + IF(ISNUMBER(VLOOKUP("1.3.2",A8:AB56,11,FALSE)),ROUND(VLOOKUP("1.3.2",A8:AB56,11,FALSE),4),0)</f>
        <v>0</v>
      </c>
      <c r="L10" s="3">
        <f>IF(ISNUMBER(VLOOKUP("1.1.2",A8:AB56,12,FALSE)),ROUND(VLOOKUP("1.1.2",A8:AB56,12,FALSE),4),0) + IF(ISNUMBER(VLOOKUP("1.2.2",A8:AB56,12,FALSE)),ROUND(VLOOKUP("1.2.2",A8:AB56,12,FALSE),4),0) + IF(ISNUMBER(VLOOKUP("1.3.2",A8:AB56,12,FALSE)),ROUND(VLOOKUP("1.3.2",A8:AB56,12,FALSE),4),0)</f>
        <v>0</v>
      </c>
      <c r="M10" s="3">
        <f>IF(ISNUMBER(VLOOKUP("1.1.2",A8:AB56,13,FALSE)),ROUND(VLOOKUP("1.1.2",A8:AB56,13,FALSE),4),0) + IF(ISNUMBER(VLOOKUP("1.2.2",A8:AB56,13,FALSE)),ROUND(VLOOKUP("1.2.2",A8:AB56,13,FALSE),4),0) + IF(ISNUMBER(VLOOKUP("1.3.2",A8:AB56,13,FALSE)),ROUND(VLOOKUP("1.3.2",A8:AB56,13,FALSE),4),0)</f>
        <v>0</v>
      </c>
      <c r="N10" s="3">
        <f>IF(ISNUMBER(VLOOKUP("1.1.2",A8:AB56,14,FALSE)),ROUND(VLOOKUP("1.1.2",A8:AB56,14,FALSE),4),0) + IF(ISNUMBER(VLOOKUP("1.2.2",A8:AB56,14,FALSE)),ROUND(VLOOKUP("1.2.2",A8:AB56,14,FALSE),4),0) + IF(ISNUMBER(VLOOKUP("1.3.2",A8:AB56,14,FALSE)),ROUND(VLOOKUP("1.3.2",A8:AB56,14,FALSE),4),0)</f>
        <v>0</v>
      </c>
      <c r="O10" s="3">
        <f>IF(ISNUMBER(VLOOKUP("1.1.2",A8:AB56,15,FALSE)),ROUND(VLOOKUP("1.1.2",A8:AB56,15,FALSE),4),0) + IF(ISNUMBER(VLOOKUP("1.2.2",A8:AB56,15,FALSE)),ROUND(VLOOKUP("1.2.2",A8:AB56,15,FALSE),4),0) + IF(ISNUMBER(VLOOKUP("1.3.2",A8:AB56,15,FALSE)),ROUND(VLOOKUP("1.3.2",A8:AB56,15,FALSE),4),0)</f>
        <v>0</v>
      </c>
      <c r="P10" s="3">
        <f>IF(ISNUMBER(VLOOKUP("1.1.2",A8:AB56,16,FALSE)),ROUND(VLOOKUP("1.1.2",A8:AB56,16,FALSE),4),0) + IF(ISNUMBER(VLOOKUP("1.2.2",A8:AB56,16,FALSE)),ROUND(VLOOKUP("1.2.2",A8:AB56,16,FALSE),4),0) + IF(ISNUMBER(VLOOKUP("1.3.2",A8:AB56,16,FALSE)),ROUND(VLOOKUP("1.3.2",A8:AB56,16,FALSE),4),0)</f>
        <v>0</v>
      </c>
      <c r="Q10" s="3">
        <f>IF(ISNUMBER(VLOOKUP("1.1.2",A8:AB56,17,FALSE)),ROUND(VLOOKUP("1.1.2",A8:AB56,17,FALSE),4),0) + IF(ISNUMBER(VLOOKUP("1.2.2",A8:AB56,17,FALSE)),ROUND(VLOOKUP("1.2.2",A8:AB56,17,FALSE),4),0) + IF(ISNUMBER(VLOOKUP("1.3.2",A8:AB56,17,FALSE)),ROUND(VLOOKUP("1.3.2",A8:AB56,17,FALSE),4),0)</f>
        <v>0</v>
      </c>
      <c r="R10" s="3">
        <f>IF(ISNUMBER(VLOOKUP("1.1.2",A8:AB56,18,FALSE)),ROUND(VLOOKUP("1.1.2",A8:AB56,18,FALSE),4),0) + IF(ISNUMBER(VLOOKUP("1.2.2",A8:AB56,18,FALSE)),ROUND(VLOOKUP("1.2.2",A8:AB56,18,FALSE),4),0) + IF(ISNUMBER(VLOOKUP("1.3.2",A8:AB56,18,FALSE)),ROUND(VLOOKUP("1.3.2",A8:AB56,18,FALSE),4),0)</f>
        <v>0</v>
      </c>
      <c r="S10" s="3">
        <f>IF(ISNUMBER(VLOOKUP("1.1.2",A8:AB56,19,FALSE)),ROUND(VLOOKUP("1.1.2",A8:AB56,19,FALSE),4),0) + IF(ISNUMBER(VLOOKUP("1.2.2",A8:AB56,19,FALSE)),ROUND(VLOOKUP("1.2.2",A8:AB56,19,FALSE),4),0) + IF(ISNUMBER(VLOOKUP("1.3.2",A8:AB56,19,FALSE)),ROUND(VLOOKUP("1.3.2",A8:AB56,19,FALSE),4),0)</f>
        <v>0</v>
      </c>
      <c r="T10" s="3">
        <f>IF(ISNUMBER(VLOOKUP("1.1.2",A8:AB56,20,FALSE)),ROUND(VLOOKUP("1.1.2",A8:AB56,20,FALSE),4),0) + IF(ISNUMBER(VLOOKUP("1.2.2",A8:AB56,20,FALSE)),ROUND(VLOOKUP("1.2.2",A8:AB56,20,FALSE),4),0) + IF(ISNUMBER(VLOOKUP("1.3.2",A8:AB56,20,FALSE)),ROUND(VLOOKUP("1.3.2",A8:AB56,20,FALSE),4),0)</f>
        <v>0</v>
      </c>
      <c r="U10" s="3">
        <f>IF(ISNUMBER(VLOOKUP("1.1.2",A8:AB56,21,FALSE)),ROUND(VLOOKUP("1.1.2",A8:AB56,21,FALSE),4),0) + IF(ISNUMBER(VLOOKUP("1.2.2",A8:AB56,21,FALSE)),ROUND(VLOOKUP("1.2.2",A8:AB56,21,FALSE),4),0) + IF(ISNUMBER(VLOOKUP("1.3.2",A8:AB56,21,FALSE)),ROUND(VLOOKUP("1.3.2",A8:AB56,21,FALSE),4),0)</f>
        <v>0</v>
      </c>
      <c r="V10" s="3">
        <f>IF(ISNUMBER(VLOOKUP("1.1.2",A8:AB56,22,FALSE)),ROUND(VLOOKUP("1.1.2",A8:AB56,22,FALSE),4),0) + IF(ISNUMBER(VLOOKUP("1.2.2",A8:AB56,22,FALSE)),ROUND(VLOOKUP("1.2.2",A8:AB56,22,FALSE),4),0) + IF(ISNUMBER(VLOOKUP("1.3.2",A8:AB56,22,FALSE)),ROUND(VLOOKUP("1.3.2",A8:AB56,22,FALSE),4),0)</f>
        <v>0</v>
      </c>
      <c r="W10" s="3">
        <f>IF(ISNUMBER(VLOOKUP("1.1.2",A8:AB56,23,FALSE)),ROUND(VLOOKUP("1.1.2",A8:AB56,23,FALSE),4),0) + IF(ISNUMBER(VLOOKUP("1.2.2",A8:AB56,23,FALSE)),ROUND(VLOOKUP("1.2.2",A8:AB56,23,FALSE),4),0) + IF(ISNUMBER(VLOOKUP("1.3.2",A8:AB56,23,FALSE)),ROUND(VLOOKUP("1.3.2",A8:AB56,23,FALSE),4),0)</f>
        <v>0</v>
      </c>
      <c r="X10" s="3">
        <f>IF(ISNUMBER(VLOOKUP("1.1.2",A8:AB56,24,FALSE)),ROUND(VLOOKUP("1.1.2",A8:AB56,24,FALSE),4),0) + IF(ISNUMBER(VLOOKUP("1.2.2",A8:AB56,24,FALSE)),ROUND(VLOOKUP("1.2.2",A8:AB56,24,FALSE),4),0) + IF(ISNUMBER(VLOOKUP("1.3.2",A8:AB56,24,FALSE)),ROUND(VLOOKUP("1.3.2",A8:AB56,24,FALSE),4),0)</f>
        <v>0</v>
      </c>
      <c r="Y10" s="3">
        <f>IF(ISNUMBER(VLOOKUP("1.1.2",A8:AB56,25,FALSE)),ROUND(VLOOKUP("1.1.2",A8:AB56,25,FALSE),4),0) + IF(ISNUMBER(VLOOKUP("1.2.2",A8:AB56,25,FALSE)),ROUND(VLOOKUP("1.2.2",A8:AB56,25,FALSE),4),0) + IF(ISNUMBER(VLOOKUP("1.3.2",A8:AB56,25,FALSE)),ROUND(VLOOKUP("1.3.2",A8:AB56,25,FALSE),4),0)</f>
        <v>0</v>
      </c>
      <c r="Z10" s="3">
        <f>IF(ISNUMBER(VLOOKUP("1.1.2",A8:AB56,26,FALSE)),ROUND(VLOOKUP("1.1.2",A8:AB56,26,FALSE),4),0) + IF(ISNUMBER(VLOOKUP("1.2.2",A8:AB56,26,FALSE)),ROUND(VLOOKUP("1.2.2",A8:AB56,26,FALSE),4),0) + IF(ISNUMBER(VLOOKUP("1.3.2",A8:AB56,26,FALSE)),ROUND(VLOOKUP("1.3.2",A8:AB56,26,FALSE),4),0)</f>
        <v>0</v>
      </c>
      <c r="AA10" s="3">
        <f>IF(ISNUMBER(VLOOKUP("1.1.2",A8:AB56,27,FALSE)),ROUND(VLOOKUP("1.1.2",A8:AB56,27,FALSE),4),0) + IF(ISNUMBER(VLOOKUP("1.2.2",A8:AB56,27,FALSE)),ROUND(VLOOKUP("1.2.2",A8:AB56,27,FALSE),4),0) + IF(ISNUMBER(VLOOKUP("1.3.2",A8:AB56,27,FALSE)),ROUND(VLOOKUP("1.3.2",A8:AB56,27,FALSE),4),0)</f>
        <v>0</v>
      </c>
      <c r="AB10" s="3">
        <f>IF(ISNUMBER(VLOOKUP("1.1.2",A8:AB56,28,FALSE)),ROUND(VLOOKUP("1.1.2",A8:AB56,28,FALSE),4),0) + IF(ISNUMBER(VLOOKUP("1.2.2",A8:AB56,28,FALSE)),ROUND(VLOOKUP("1.2.2",A8:AB56,28,FALSE),4),0) + IF(ISNUMBER(VLOOKUP("1.3.2",A8:AB56,28,FALSE)),ROUND(VLOOKUP("1.3.2",A8:AB56,28,FALSE),4),0)</f>
        <v>88716053.899999991</v>
      </c>
    </row>
    <row r="11" spans="1:28" ht="105" x14ac:dyDescent="0.25">
      <c r="A11" s="1" t="s">
        <v>34</v>
      </c>
      <c r="B11" s="2" t="s">
        <v>35</v>
      </c>
      <c r="C11" s="2"/>
      <c r="D11" s="4"/>
      <c r="E11" s="4"/>
      <c r="F11" s="3">
        <f>IF(ISNUMBER(VLOOKUP("1.1.1",A8:AB56,6,FALSE)),ROUND(VLOOKUP("1.1.1",A8:AB56,6,FALSE),4),0) + IF(ISNUMBER(VLOOKUP("1.1.2",A8:AB56,6,FALSE)),ROUND(VLOOKUP("1.1.2",A8:AB56,6,FALSE),4),0)</f>
        <v>3085338.58</v>
      </c>
      <c r="G11" s="3">
        <f>IF(ISNUMBER(VLOOKUP("1.1.1",A8:AB56,7,FALSE)),ROUND(VLOOKUP("1.1.1",A8:AB56,7,FALSE),4),0) + IF(ISNUMBER(VLOOKUP("1.1.2",A8:AB56,7,FALSE)),ROUND(VLOOKUP("1.1.2",A8:AB56,7,FALSE),4),0)</f>
        <v>1674600.4100000001</v>
      </c>
      <c r="H11" s="3">
        <f>IF(ISNUMBER(VLOOKUP("1.1.1",A8:AB56,8,FALSE)),ROUND(VLOOKUP("1.1.1",A8:AB56,8,FALSE),4),0) + IF(ISNUMBER(VLOOKUP("1.1.2",A8:AB56,8,FALSE)),ROUND(VLOOKUP("1.1.2",A8:AB56,8,FALSE),4),0)</f>
        <v>697933</v>
      </c>
      <c r="I11" s="3">
        <f>IF(ISNUMBER(VLOOKUP("1.1.1",A8:AB56,9,FALSE)),ROUND(VLOOKUP("1.1.1",A8:AB56,9,FALSE),4),0) + IF(ISNUMBER(VLOOKUP("1.1.2",A8:AB56,9,FALSE)),ROUND(VLOOKUP("1.1.2",A8:AB56,9,FALSE),4),0)</f>
        <v>386000</v>
      </c>
      <c r="J11" s="3">
        <f>IF(ISNUMBER(VLOOKUP("1.1.1",A8:AB56,10,FALSE)),ROUND(VLOOKUP("1.1.1",A8:AB56,10,FALSE),4),0) + IF(ISNUMBER(VLOOKUP("1.1.2",A8:AB56,10,FALSE)),ROUND(VLOOKUP("1.1.2",A8:AB56,10,FALSE),4),0)</f>
        <v>0</v>
      </c>
      <c r="K11" s="3">
        <f>IF(ISNUMBER(VLOOKUP("1.1.1",A8:AB56,11,FALSE)),ROUND(VLOOKUP("1.1.1",A8:AB56,11,FALSE),4),0) + IF(ISNUMBER(VLOOKUP("1.1.2",A8:AB56,11,FALSE)),ROUND(VLOOKUP("1.1.2",A8:AB56,11,FALSE),4),0)</f>
        <v>0</v>
      </c>
      <c r="L11" s="3">
        <f>IF(ISNUMBER(VLOOKUP("1.1.1",A8:AB56,12,FALSE)),ROUND(VLOOKUP("1.1.1",A8:AB56,12,FALSE),4),0) + IF(ISNUMBER(VLOOKUP("1.1.2",A8:AB56,12,FALSE)),ROUND(VLOOKUP("1.1.2",A8:AB56,12,FALSE),4),0)</f>
        <v>0</v>
      </c>
      <c r="M11" s="3">
        <f>IF(ISNUMBER(VLOOKUP("1.1.1",A8:AB56,13,FALSE)),ROUND(VLOOKUP("1.1.1",A8:AB56,13,FALSE),4),0) + IF(ISNUMBER(VLOOKUP("1.1.2",A8:AB56,13,FALSE)),ROUND(VLOOKUP("1.1.2",A8:AB56,13,FALSE),4),0)</f>
        <v>0</v>
      </c>
      <c r="N11" s="3">
        <f>IF(ISNUMBER(VLOOKUP("1.1.1",A8:AB56,14,FALSE)),ROUND(VLOOKUP("1.1.1",A8:AB56,14,FALSE),4),0) + IF(ISNUMBER(VLOOKUP("1.1.2",A8:AB56,14,FALSE)),ROUND(VLOOKUP("1.1.2",A8:AB56,14,FALSE),4),0)</f>
        <v>0</v>
      </c>
      <c r="O11" s="3">
        <f>IF(ISNUMBER(VLOOKUP("1.1.1",A8:AB56,15,FALSE)),ROUND(VLOOKUP("1.1.1",A8:AB56,15,FALSE),4),0) + IF(ISNUMBER(VLOOKUP("1.1.2",A8:AB56,15,FALSE)),ROUND(VLOOKUP("1.1.2",A8:AB56,15,FALSE),4),0)</f>
        <v>0</v>
      </c>
      <c r="P11" s="3">
        <f>IF(ISNUMBER(VLOOKUP("1.1.1",A8:AB56,16,FALSE)),ROUND(VLOOKUP("1.1.1",A8:AB56,16,FALSE),4),0) + IF(ISNUMBER(VLOOKUP("1.1.2",A8:AB56,16,FALSE)),ROUND(VLOOKUP("1.1.2",A8:AB56,16,FALSE),4),0)</f>
        <v>0</v>
      </c>
      <c r="Q11" s="3">
        <f>IF(ISNUMBER(VLOOKUP("1.1.1",A8:AB56,17,FALSE)),ROUND(VLOOKUP("1.1.1",A8:AB56,17,FALSE),4),0) + IF(ISNUMBER(VLOOKUP("1.1.2",A8:AB56,17,FALSE)),ROUND(VLOOKUP("1.1.2",A8:AB56,17,FALSE),4),0)</f>
        <v>0</v>
      </c>
      <c r="R11" s="3">
        <f>IF(ISNUMBER(VLOOKUP("1.1.1",A8:AB56,18,FALSE)),ROUND(VLOOKUP("1.1.1",A8:AB56,18,FALSE),4),0) + IF(ISNUMBER(VLOOKUP("1.1.2",A8:AB56,18,FALSE)),ROUND(VLOOKUP("1.1.2",A8:AB56,18,FALSE),4),0)</f>
        <v>0</v>
      </c>
      <c r="S11" s="3">
        <f>IF(ISNUMBER(VLOOKUP("1.1.1",A8:AB56,19,FALSE)),ROUND(VLOOKUP("1.1.1",A8:AB56,19,FALSE),4),0) + IF(ISNUMBER(VLOOKUP("1.1.2",A8:AB56,19,FALSE)),ROUND(VLOOKUP("1.1.2",A8:AB56,19,FALSE),4),0)</f>
        <v>0</v>
      </c>
      <c r="T11" s="3">
        <f>IF(ISNUMBER(VLOOKUP("1.1.1",A8:AB56,20,FALSE)),ROUND(VLOOKUP("1.1.1",A8:AB56,20,FALSE),4),0) + IF(ISNUMBER(VLOOKUP("1.1.2",A8:AB56,20,FALSE)),ROUND(VLOOKUP("1.1.2",A8:AB56,20,FALSE),4),0)</f>
        <v>0</v>
      </c>
      <c r="U11" s="3">
        <f>IF(ISNUMBER(VLOOKUP("1.1.1",A8:AB56,21,FALSE)),ROUND(VLOOKUP("1.1.1",A8:AB56,21,FALSE),4),0) + IF(ISNUMBER(VLOOKUP("1.1.2",A8:AB56,21,FALSE)),ROUND(VLOOKUP("1.1.2",A8:AB56,21,FALSE),4),0)</f>
        <v>0</v>
      </c>
      <c r="V11" s="3">
        <f>IF(ISNUMBER(VLOOKUP("1.1.1",A8:AB56,22,FALSE)),ROUND(VLOOKUP("1.1.1",A8:AB56,22,FALSE),4),0) + IF(ISNUMBER(VLOOKUP("1.1.2",A8:AB56,22,FALSE)),ROUND(VLOOKUP("1.1.2",A8:AB56,22,FALSE),4),0)</f>
        <v>0</v>
      </c>
      <c r="W11" s="3">
        <f>IF(ISNUMBER(VLOOKUP("1.1.1",A8:AB56,23,FALSE)),ROUND(VLOOKUP("1.1.1",A8:AB56,23,FALSE),4),0) + IF(ISNUMBER(VLOOKUP("1.1.2",A8:AB56,23,FALSE)),ROUND(VLOOKUP("1.1.2",A8:AB56,23,FALSE),4),0)</f>
        <v>0</v>
      </c>
      <c r="X11" s="3">
        <f>IF(ISNUMBER(VLOOKUP("1.1.1",A8:AB56,24,FALSE)),ROUND(VLOOKUP("1.1.1",A8:AB56,24,FALSE),4),0) + IF(ISNUMBER(VLOOKUP("1.1.2",A8:AB56,24,FALSE)),ROUND(VLOOKUP("1.1.2",A8:AB56,24,FALSE),4),0)</f>
        <v>0</v>
      </c>
      <c r="Y11" s="3">
        <f>IF(ISNUMBER(VLOOKUP("1.1.1",A8:AB56,25,FALSE)),ROUND(VLOOKUP("1.1.1",A8:AB56,25,FALSE),4),0) + IF(ISNUMBER(VLOOKUP("1.1.2",A8:AB56,25,FALSE)),ROUND(VLOOKUP("1.1.2",A8:AB56,25,FALSE),4),0)</f>
        <v>0</v>
      </c>
      <c r="Z11" s="3">
        <f>IF(ISNUMBER(VLOOKUP("1.1.1",A8:AB56,26,FALSE)),ROUND(VLOOKUP("1.1.1",A8:AB56,26,FALSE),4),0) + IF(ISNUMBER(VLOOKUP("1.1.2",A8:AB56,26,FALSE)),ROUND(VLOOKUP("1.1.2",A8:AB56,26,FALSE),4),0)</f>
        <v>0</v>
      </c>
      <c r="AA11" s="3">
        <f>IF(ISNUMBER(VLOOKUP("1.1.1",A8:AB56,27,FALSE)),ROUND(VLOOKUP("1.1.1",A8:AB56,27,FALSE),4),0) + IF(ISNUMBER(VLOOKUP("1.1.2",A8:AB56,27,FALSE)),ROUND(VLOOKUP("1.1.2",A8:AB56,27,FALSE),4),0)</f>
        <v>0</v>
      </c>
      <c r="AB11" s="3">
        <f>IF(ISNUMBER(VLOOKUP("1.1.1",A8:AB56,28,FALSE)),ROUND(VLOOKUP("1.1.1",A8:AB56,28,FALSE),4),0) + IF(ISNUMBER(VLOOKUP("1.1.2",A8:AB56,28,FALSE)),ROUND(VLOOKUP("1.1.2",A8:AB56,28,FALSE),4),0)</f>
        <v>2758533.4099999997</v>
      </c>
    </row>
    <row r="12" spans="1:28" x14ac:dyDescent="0.25">
      <c r="A12" s="1" t="s">
        <v>36</v>
      </c>
      <c r="B12" s="2" t="s">
        <v>31</v>
      </c>
      <c r="C12" s="2"/>
      <c r="D12" s="4"/>
      <c r="E12" s="4"/>
      <c r="F12" s="3">
        <f>SUMIF(A13:A56, "1.1.1.*", F13:F56)</f>
        <v>2234375.38</v>
      </c>
      <c r="G12" s="3">
        <f>SUMIF(A13:A56, "1.1.1.*", G13:G56)</f>
        <v>1104638.0899999999</v>
      </c>
      <c r="H12" s="3">
        <f>SUMIF(A13:A56, "1.1.1.*", H13:H56)</f>
        <v>697933</v>
      </c>
      <c r="I12" s="3">
        <f>SUMIF(A13:A56, "1.1.1.*", I13:I56)</f>
        <v>386000</v>
      </c>
      <c r="J12" s="3">
        <f>SUMIF(A13:A56, "1.1.1.*", J13:J56)</f>
        <v>0</v>
      </c>
      <c r="K12" s="3">
        <f>SUMIF(A13:A56, "1.1.1.*", K13:K56)</f>
        <v>0</v>
      </c>
      <c r="L12" s="3">
        <f>SUMIF(A13:A56, "1.1.1.*", L13:L56)</f>
        <v>0</v>
      </c>
      <c r="M12" s="3">
        <f>SUMIF(A13:A56, "1.1.1.*", M13:M56)</f>
        <v>0</v>
      </c>
      <c r="N12" s="3">
        <f>SUMIF(A13:A56, "1.1.1.*", N13:N56)</f>
        <v>0</v>
      </c>
      <c r="O12" s="3">
        <f>SUMIF(A13:A56, "1.1.1.*", O13:O56)</f>
        <v>0</v>
      </c>
      <c r="P12" s="3">
        <f>SUMIF(A13:A56, "1.1.1.*", P13:P56)</f>
        <v>0</v>
      </c>
      <c r="Q12" s="3">
        <f>SUMIF(A13:A56, "1.1.1.*", Q13:Q56)</f>
        <v>0</v>
      </c>
      <c r="R12" s="3">
        <f>SUMIF(A13:A56, "1.1.1.*", R13:R56)</f>
        <v>0</v>
      </c>
      <c r="S12" s="3">
        <f>SUMIF(A13:A56, "1.1.1.*", S13:S56)</f>
        <v>0</v>
      </c>
      <c r="T12" s="3">
        <f>SUMIF(A13:A56, "1.1.1.*", T13:T56)</f>
        <v>0</v>
      </c>
      <c r="U12" s="3">
        <f>SUMIF(A13:A56, "1.1.1.*", U13:U56)</f>
        <v>0</v>
      </c>
      <c r="V12" s="3">
        <f>SUMIF(A13:A56, "1.1.1.*", V13:V56)</f>
        <v>0</v>
      </c>
      <c r="W12" s="3">
        <f>SUMIF(A13:A56, "1.1.1.*", W13:W56)</f>
        <v>0</v>
      </c>
      <c r="X12" s="3">
        <f>SUMIF(A13:A56, "1.1.1.*", X13:X56)</f>
        <v>0</v>
      </c>
      <c r="Y12" s="3">
        <f>SUMIF(A13:A56, "1.1.1.*", Y13:Y56)</f>
        <v>0</v>
      </c>
      <c r="Z12" s="3">
        <f>SUMIF(A13:A56, "1.1.1.*", Z13:Z56)</f>
        <v>0</v>
      </c>
      <c r="AA12" s="3">
        <f>SUMIF(A13:A56, "1.1.1.*", AA13:AA56)</f>
        <v>0</v>
      </c>
      <c r="AB12" s="3">
        <f>SUMIF(A13:A56, "1.1.1.*", AB13:AB56)</f>
        <v>2188571.09</v>
      </c>
    </row>
    <row r="13" spans="1:28" ht="39" x14ac:dyDescent="0.25">
      <c r="A13" s="5" t="s">
        <v>37</v>
      </c>
      <c r="B13" s="6" t="s">
        <v>38</v>
      </c>
      <c r="C13" s="10" t="s">
        <v>39</v>
      </c>
      <c r="D13" s="8">
        <v>2024</v>
      </c>
      <c r="E13" s="8">
        <v>2026</v>
      </c>
      <c r="F13" s="7">
        <v>1178844</v>
      </c>
      <c r="G13" s="7">
        <v>682366.75</v>
      </c>
      <c r="H13" s="7">
        <v>463032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7">
        <v>1145398.75</v>
      </c>
    </row>
    <row r="14" spans="1:28" ht="67.5" x14ac:dyDescent="0.25">
      <c r="A14" s="5" t="s">
        <v>40</v>
      </c>
      <c r="B14" s="6" t="s">
        <v>41</v>
      </c>
      <c r="C14" s="10" t="s">
        <v>42</v>
      </c>
      <c r="D14" s="8">
        <v>2024</v>
      </c>
      <c r="E14" s="8">
        <v>2026</v>
      </c>
      <c r="F14" s="7">
        <v>185620</v>
      </c>
      <c r="G14" s="7">
        <v>131010.96</v>
      </c>
      <c r="H14" s="7">
        <v>42250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7">
        <v>173260.96</v>
      </c>
    </row>
    <row r="15" spans="1:28" ht="29.25" x14ac:dyDescent="0.25">
      <c r="A15" s="5" t="s">
        <v>43</v>
      </c>
      <c r="B15" s="6" t="s">
        <v>44</v>
      </c>
      <c r="C15" s="10" t="s">
        <v>42</v>
      </c>
      <c r="D15" s="8">
        <v>2026</v>
      </c>
      <c r="E15" s="8">
        <v>2027</v>
      </c>
      <c r="F15" s="7">
        <v>500000</v>
      </c>
      <c r="G15" s="9">
        <v>0</v>
      </c>
      <c r="H15" s="7">
        <v>114000</v>
      </c>
      <c r="I15" s="7">
        <v>386000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7">
        <v>500000</v>
      </c>
    </row>
    <row r="16" spans="1:28" ht="48.75" x14ac:dyDescent="0.25">
      <c r="A16" s="5" t="s">
        <v>45</v>
      </c>
      <c r="B16" s="6" t="s">
        <v>46</v>
      </c>
      <c r="C16" s="10" t="s">
        <v>47</v>
      </c>
      <c r="D16" s="8">
        <v>2025</v>
      </c>
      <c r="E16" s="8">
        <v>2026</v>
      </c>
      <c r="F16" s="7">
        <v>369911.38</v>
      </c>
      <c r="G16" s="7">
        <v>291260.38</v>
      </c>
      <c r="H16" s="7">
        <v>78651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7">
        <v>369911.38</v>
      </c>
    </row>
    <row r="17" spans="1:28" x14ac:dyDescent="0.25">
      <c r="A17" s="1" t="s">
        <v>48</v>
      </c>
      <c r="B17" s="2" t="s">
        <v>33</v>
      </c>
      <c r="C17" s="11"/>
      <c r="D17" s="4"/>
      <c r="E17" s="4"/>
      <c r="F17" s="3">
        <f>SUMIF(A18:A56, "1.1.2.*", F18:F56)</f>
        <v>850963.2</v>
      </c>
      <c r="G17" s="3">
        <f>SUMIF(A18:A56, "1.1.2.*", G18:G56)</f>
        <v>569962.31999999995</v>
      </c>
      <c r="H17" s="3">
        <f>SUMIF(A18:A56, "1.1.2.*", H18:H56)</f>
        <v>0</v>
      </c>
      <c r="I17" s="3">
        <f>SUMIF(A18:A56, "1.1.2.*", I18:I56)</f>
        <v>0</v>
      </c>
      <c r="J17" s="3">
        <f>SUMIF(A18:A56, "1.1.2.*", J18:J56)</f>
        <v>0</v>
      </c>
      <c r="K17" s="3">
        <f>SUMIF(A18:A56, "1.1.2.*", K18:K56)</f>
        <v>0</v>
      </c>
      <c r="L17" s="3">
        <f>SUMIF(A18:A56, "1.1.2.*", L18:L56)</f>
        <v>0</v>
      </c>
      <c r="M17" s="3">
        <f>SUMIF(A18:A56, "1.1.2.*", M18:M56)</f>
        <v>0</v>
      </c>
      <c r="N17" s="3">
        <f>SUMIF(A18:A56, "1.1.2.*", N18:N56)</f>
        <v>0</v>
      </c>
      <c r="O17" s="3">
        <f>SUMIF(A18:A56, "1.1.2.*", O18:O56)</f>
        <v>0</v>
      </c>
      <c r="P17" s="3">
        <f>SUMIF(A18:A56, "1.1.2.*", P18:P56)</f>
        <v>0</v>
      </c>
      <c r="Q17" s="3">
        <f>SUMIF(A18:A56, "1.1.2.*", Q18:Q56)</f>
        <v>0</v>
      </c>
      <c r="R17" s="3">
        <f>SUMIF(A18:A56, "1.1.2.*", R18:R56)</f>
        <v>0</v>
      </c>
      <c r="S17" s="3">
        <f>SUMIF(A18:A56, "1.1.2.*", S18:S56)</f>
        <v>0</v>
      </c>
      <c r="T17" s="3">
        <f>SUMIF(A18:A56, "1.1.2.*", T18:T56)</f>
        <v>0</v>
      </c>
      <c r="U17" s="3">
        <f>SUMIF(A18:A56, "1.1.2.*", U18:U56)</f>
        <v>0</v>
      </c>
      <c r="V17" s="3">
        <f>SUMIF(A18:A56, "1.1.2.*", V18:V56)</f>
        <v>0</v>
      </c>
      <c r="W17" s="3">
        <f>SUMIF(A18:A56, "1.1.2.*", W18:W56)</f>
        <v>0</v>
      </c>
      <c r="X17" s="3">
        <f>SUMIF(A18:A56, "1.1.2.*", X18:X56)</f>
        <v>0</v>
      </c>
      <c r="Y17" s="3">
        <f>SUMIF(A18:A56, "1.1.2.*", Y18:Y56)</f>
        <v>0</v>
      </c>
      <c r="Z17" s="3">
        <f>SUMIF(A18:A56, "1.1.2.*", Z18:Z56)</f>
        <v>0</v>
      </c>
      <c r="AA17" s="3">
        <f>SUMIF(A18:A56, "1.1.2.*", AA18:AA56)</f>
        <v>0</v>
      </c>
      <c r="AB17" s="3">
        <f>SUMIF(A18:A56, "1.1.2.*", AB18:AB56)</f>
        <v>569962.31999999995</v>
      </c>
    </row>
    <row r="18" spans="1:28" ht="67.5" x14ac:dyDescent="0.25">
      <c r="A18" s="5" t="s">
        <v>49</v>
      </c>
      <c r="B18" s="6" t="s">
        <v>41</v>
      </c>
      <c r="C18" s="10" t="s">
        <v>42</v>
      </c>
      <c r="D18" s="8">
        <v>2024</v>
      </c>
      <c r="E18" s="8">
        <v>2026</v>
      </c>
      <c r="F18" s="7">
        <v>850963.2</v>
      </c>
      <c r="G18" s="7">
        <v>569962.31999999995</v>
      </c>
      <c r="H18" s="7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7">
        <v>569962.31999999995</v>
      </c>
    </row>
    <row r="19" spans="1:28" ht="52.5" x14ac:dyDescent="0.25">
      <c r="A19" s="1" t="s">
        <v>50</v>
      </c>
      <c r="B19" s="2" t="s">
        <v>51</v>
      </c>
      <c r="C19" s="11"/>
      <c r="D19" s="4"/>
      <c r="E19" s="4"/>
      <c r="F19" s="3">
        <f>IF(ISNUMBER(VLOOKUP("1.2.1",A8:AB56,6,FALSE)),ROUND(VLOOKUP("1.2.1",A8:AB56,6,FALSE),4),0) + IF(ISNUMBER(VLOOKUP("1.2.2",A8:AB56,6,FALSE)),ROUND(VLOOKUP("1.2.2",A8:AB56,6,FALSE),4),0)</f>
        <v>0</v>
      </c>
      <c r="G19" s="3">
        <f>IF(ISNUMBER(VLOOKUP("1.2.1",A8:AB56,7,FALSE)),ROUND(VLOOKUP("1.2.1",A8:AB56,7,FALSE),4),0) + IF(ISNUMBER(VLOOKUP("1.2.2",A8:AB56,7,FALSE)),ROUND(VLOOKUP("1.2.2",A8:AB56,7,FALSE),4),0)</f>
        <v>0</v>
      </c>
      <c r="H19" s="3">
        <f>IF(ISNUMBER(VLOOKUP("1.2.1",A8:AB56,8,FALSE)),ROUND(VLOOKUP("1.2.1",A8:AB56,8,FALSE),4),0) + IF(ISNUMBER(VLOOKUP("1.2.2",A8:AB56,8,FALSE)),ROUND(VLOOKUP("1.2.2",A8:AB56,8,FALSE),4),0)</f>
        <v>0</v>
      </c>
      <c r="I19" s="3">
        <f>IF(ISNUMBER(VLOOKUP("1.2.1",A8:AB56,9,FALSE)),ROUND(VLOOKUP("1.2.1",A8:AB56,9,FALSE),4),0) + IF(ISNUMBER(VLOOKUP("1.2.2",A8:AB56,9,FALSE)),ROUND(VLOOKUP("1.2.2",A8:AB56,9,FALSE),4),0)</f>
        <v>0</v>
      </c>
      <c r="J19" s="3">
        <f>IF(ISNUMBER(VLOOKUP("1.2.1",A8:AB56,10,FALSE)),ROUND(VLOOKUP("1.2.1",A8:AB56,10,FALSE),4),0) + IF(ISNUMBER(VLOOKUP("1.2.2",A8:AB56,10,FALSE)),ROUND(VLOOKUP("1.2.2",A8:AB56,10,FALSE),4),0)</f>
        <v>0</v>
      </c>
      <c r="K19" s="3">
        <f>IF(ISNUMBER(VLOOKUP("1.2.1",A8:AB56,11,FALSE)),ROUND(VLOOKUP("1.2.1",A8:AB56,11,FALSE),4),0) + IF(ISNUMBER(VLOOKUP("1.2.2",A8:AB56,11,FALSE)),ROUND(VLOOKUP("1.2.2",A8:AB56,11,FALSE),4),0)</f>
        <v>0</v>
      </c>
      <c r="L19" s="3">
        <f>IF(ISNUMBER(VLOOKUP("1.2.1",A8:AB56,12,FALSE)),ROUND(VLOOKUP("1.2.1",A8:AB56,12,FALSE),4),0) + IF(ISNUMBER(VLOOKUP("1.2.2",A8:AB56,12,FALSE)),ROUND(VLOOKUP("1.2.2",A8:AB56,12,FALSE),4),0)</f>
        <v>0</v>
      </c>
      <c r="M19" s="3">
        <f>IF(ISNUMBER(VLOOKUP("1.2.1",A8:AB56,13,FALSE)),ROUND(VLOOKUP("1.2.1",A8:AB56,13,FALSE),4),0) + IF(ISNUMBER(VLOOKUP("1.2.2",A8:AB56,13,FALSE)),ROUND(VLOOKUP("1.2.2",A8:AB56,13,FALSE),4),0)</f>
        <v>0</v>
      </c>
      <c r="N19" s="3">
        <f>IF(ISNUMBER(VLOOKUP("1.2.1",A8:AB56,14,FALSE)),ROUND(VLOOKUP("1.2.1",A8:AB56,14,FALSE),4),0) + IF(ISNUMBER(VLOOKUP("1.2.2",A8:AB56,14,FALSE)),ROUND(VLOOKUP("1.2.2",A8:AB56,14,FALSE),4),0)</f>
        <v>0</v>
      </c>
      <c r="O19" s="3">
        <f>IF(ISNUMBER(VLOOKUP("1.2.1",A8:AB56,15,FALSE)),ROUND(VLOOKUP("1.2.1",A8:AB56,15,FALSE),4),0) + IF(ISNUMBER(VLOOKUP("1.2.2",A8:AB56,15,FALSE)),ROUND(VLOOKUP("1.2.2",A8:AB56,15,FALSE),4),0)</f>
        <v>0</v>
      </c>
      <c r="P19" s="3">
        <f>IF(ISNUMBER(VLOOKUP("1.2.1",A8:AB56,16,FALSE)),ROUND(VLOOKUP("1.2.1",A8:AB56,16,FALSE),4),0) + IF(ISNUMBER(VLOOKUP("1.2.2",A8:AB56,16,FALSE)),ROUND(VLOOKUP("1.2.2",A8:AB56,16,FALSE),4),0)</f>
        <v>0</v>
      </c>
      <c r="Q19" s="3">
        <f>IF(ISNUMBER(VLOOKUP("1.2.1",A8:AB56,17,FALSE)),ROUND(VLOOKUP("1.2.1",A8:AB56,17,FALSE),4),0) + IF(ISNUMBER(VLOOKUP("1.2.2",A8:AB56,17,FALSE)),ROUND(VLOOKUP("1.2.2",A8:AB56,17,FALSE),4),0)</f>
        <v>0</v>
      </c>
      <c r="R19" s="3">
        <f>IF(ISNUMBER(VLOOKUP("1.2.1",A8:AB56,18,FALSE)),ROUND(VLOOKUP("1.2.1",A8:AB56,18,FALSE),4),0) + IF(ISNUMBER(VLOOKUP("1.2.2",A8:AB56,18,FALSE)),ROUND(VLOOKUP("1.2.2",A8:AB56,18,FALSE),4),0)</f>
        <v>0</v>
      </c>
      <c r="S19" s="3">
        <f>IF(ISNUMBER(VLOOKUP("1.2.1",A8:AB56,19,FALSE)),ROUND(VLOOKUP("1.2.1",A8:AB56,19,FALSE),4),0) + IF(ISNUMBER(VLOOKUP("1.2.2",A8:AB56,19,FALSE)),ROUND(VLOOKUP("1.2.2",A8:AB56,19,FALSE),4),0)</f>
        <v>0</v>
      </c>
      <c r="T19" s="3">
        <f>IF(ISNUMBER(VLOOKUP("1.2.1",A8:AB56,20,FALSE)),ROUND(VLOOKUP("1.2.1",A8:AB56,20,FALSE),4),0) + IF(ISNUMBER(VLOOKUP("1.2.2",A8:AB56,20,FALSE)),ROUND(VLOOKUP("1.2.2",A8:AB56,20,FALSE),4),0)</f>
        <v>0</v>
      </c>
      <c r="U19" s="3">
        <f>IF(ISNUMBER(VLOOKUP("1.2.1",A8:AB56,21,FALSE)),ROUND(VLOOKUP("1.2.1",A8:AB56,21,FALSE),4),0) + IF(ISNUMBER(VLOOKUP("1.2.2",A8:AB56,21,FALSE)),ROUND(VLOOKUP("1.2.2",A8:AB56,21,FALSE),4),0)</f>
        <v>0</v>
      </c>
      <c r="V19" s="3">
        <f>IF(ISNUMBER(VLOOKUP("1.2.1",A8:AB56,22,FALSE)),ROUND(VLOOKUP("1.2.1",A8:AB56,22,FALSE),4),0) + IF(ISNUMBER(VLOOKUP("1.2.2",A8:AB56,22,FALSE)),ROUND(VLOOKUP("1.2.2",A8:AB56,22,FALSE),4),0)</f>
        <v>0</v>
      </c>
      <c r="W19" s="3">
        <f>IF(ISNUMBER(VLOOKUP("1.2.1",A8:AB56,23,FALSE)),ROUND(VLOOKUP("1.2.1",A8:AB56,23,FALSE),4),0) + IF(ISNUMBER(VLOOKUP("1.2.2",A8:AB56,23,FALSE)),ROUND(VLOOKUP("1.2.2",A8:AB56,23,FALSE),4),0)</f>
        <v>0</v>
      </c>
      <c r="X19" s="3">
        <f>IF(ISNUMBER(VLOOKUP("1.2.1",A8:AB56,24,FALSE)),ROUND(VLOOKUP("1.2.1",A8:AB56,24,FALSE),4),0) + IF(ISNUMBER(VLOOKUP("1.2.2",A8:AB56,24,FALSE)),ROUND(VLOOKUP("1.2.2",A8:AB56,24,FALSE),4),0)</f>
        <v>0</v>
      </c>
      <c r="Y19" s="3">
        <f>IF(ISNUMBER(VLOOKUP("1.2.1",A8:AB56,25,FALSE)),ROUND(VLOOKUP("1.2.1",A8:AB56,25,FALSE),4),0) + IF(ISNUMBER(VLOOKUP("1.2.2",A8:AB56,25,FALSE)),ROUND(VLOOKUP("1.2.2",A8:AB56,25,FALSE),4),0)</f>
        <v>0</v>
      </c>
      <c r="Z19" s="3">
        <f>IF(ISNUMBER(VLOOKUP("1.2.1",A8:AB56,26,FALSE)),ROUND(VLOOKUP("1.2.1",A8:AB56,26,FALSE),4),0) + IF(ISNUMBER(VLOOKUP("1.2.2",A8:AB56,26,FALSE)),ROUND(VLOOKUP("1.2.2",A8:AB56,26,FALSE),4),0)</f>
        <v>0</v>
      </c>
      <c r="AA19" s="3">
        <f>IF(ISNUMBER(VLOOKUP("1.2.1",A8:AB56,27,FALSE)),ROUND(VLOOKUP("1.2.1",A8:AB56,27,FALSE),4),0) + IF(ISNUMBER(VLOOKUP("1.2.2",A8:AB56,27,FALSE)),ROUND(VLOOKUP("1.2.2",A8:AB56,27,FALSE),4),0)</f>
        <v>0</v>
      </c>
      <c r="AB19" s="3">
        <f>IF(ISNUMBER(VLOOKUP("1.2.1",A8:AB56,28,FALSE)),ROUND(VLOOKUP("1.2.1",A8:AB56,28,FALSE),4),0) + IF(ISNUMBER(VLOOKUP("1.2.2",A8:AB56,28,FALSE)),ROUND(VLOOKUP("1.2.2",A8:AB56,28,FALSE),4),0)</f>
        <v>0</v>
      </c>
    </row>
    <row r="20" spans="1:28" x14ac:dyDescent="0.25">
      <c r="A20" s="1" t="s">
        <v>52</v>
      </c>
      <c r="B20" s="2" t="s">
        <v>31</v>
      </c>
      <c r="C20" s="11"/>
      <c r="D20" s="4"/>
      <c r="E20" s="4"/>
      <c r="F20" s="3">
        <f>SUMIF(A21:A56, "1.2.1.*", F21:F56)</f>
        <v>0</v>
      </c>
      <c r="G20" s="3">
        <f>SUMIF(A21:A56, "1.2.1.*", G21:G56)</f>
        <v>0</v>
      </c>
      <c r="H20" s="3">
        <f>SUMIF(A21:A56, "1.2.1.*", H21:H56)</f>
        <v>0</v>
      </c>
      <c r="I20" s="3">
        <f>SUMIF(A21:A56, "1.2.1.*", I21:I56)</f>
        <v>0</v>
      </c>
      <c r="J20" s="3">
        <f>SUMIF(A21:A56, "1.2.1.*", J21:J56)</f>
        <v>0</v>
      </c>
      <c r="K20" s="3">
        <f>SUMIF(A21:A56, "1.2.1.*", K21:K56)</f>
        <v>0</v>
      </c>
      <c r="L20" s="3">
        <f>SUMIF(A21:A56, "1.2.1.*", L21:L56)</f>
        <v>0</v>
      </c>
      <c r="M20" s="3">
        <f>SUMIF(A21:A56, "1.2.1.*", M21:M56)</f>
        <v>0</v>
      </c>
      <c r="N20" s="3">
        <f>SUMIF(A21:A56, "1.2.1.*", N21:N56)</f>
        <v>0</v>
      </c>
      <c r="O20" s="3">
        <f>SUMIF(A21:A56, "1.2.1.*", O21:O56)</f>
        <v>0</v>
      </c>
      <c r="P20" s="3">
        <f>SUMIF(A21:A56, "1.2.1.*", P21:P56)</f>
        <v>0</v>
      </c>
      <c r="Q20" s="3">
        <f>SUMIF(A21:A56, "1.2.1.*", Q21:Q56)</f>
        <v>0</v>
      </c>
      <c r="R20" s="3">
        <f>SUMIF(A21:A56, "1.2.1.*", R21:R56)</f>
        <v>0</v>
      </c>
      <c r="S20" s="3">
        <f>SUMIF(A21:A56, "1.2.1.*", S21:S56)</f>
        <v>0</v>
      </c>
      <c r="T20" s="3">
        <f>SUMIF(A21:A56, "1.2.1.*", T21:T56)</f>
        <v>0</v>
      </c>
      <c r="U20" s="3">
        <f>SUMIF(A21:A56, "1.2.1.*", U21:U56)</f>
        <v>0</v>
      </c>
      <c r="V20" s="3">
        <f>SUMIF(A21:A56, "1.2.1.*", V21:V56)</f>
        <v>0</v>
      </c>
      <c r="W20" s="3">
        <f>SUMIF(A21:A56, "1.2.1.*", W21:W56)</f>
        <v>0</v>
      </c>
      <c r="X20" s="3">
        <f>SUMIF(A21:A56, "1.2.1.*", X21:X56)</f>
        <v>0</v>
      </c>
      <c r="Y20" s="3">
        <f>SUMIF(A21:A56, "1.2.1.*", Y21:Y56)</f>
        <v>0</v>
      </c>
      <c r="Z20" s="3">
        <f>SUMIF(A21:A56, "1.2.1.*", Z21:Z56)</f>
        <v>0</v>
      </c>
      <c r="AA20" s="3">
        <f>SUMIF(A21:A56, "1.2.1.*", AA21:AA56)</f>
        <v>0</v>
      </c>
      <c r="AB20" s="3">
        <f>SUMIF(A21:A56, "1.2.1.*", AB21:AB56)</f>
        <v>0</v>
      </c>
    </row>
    <row r="21" spans="1:28" x14ac:dyDescent="0.25">
      <c r="A21" s="1" t="s">
        <v>53</v>
      </c>
      <c r="B21" s="2" t="s">
        <v>33</v>
      </c>
      <c r="C21" s="11"/>
      <c r="D21" s="4"/>
      <c r="E21" s="4"/>
      <c r="F21" s="3">
        <f>SUMIF(A22:A56, "1.2.2.*", F22:F56)</f>
        <v>0</v>
      </c>
      <c r="G21" s="3">
        <f>SUMIF(A22:A56, "1.2.2.*", G22:G56)</f>
        <v>0</v>
      </c>
      <c r="H21" s="3">
        <f>SUMIF(A22:A56, "1.2.2.*", H22:H56)</f>
        <v>0</v>
      </c>
      <c r="I21" s="3">
        <f>SUMIF(A22:A56, "1.2.2.*", I22:I56)</f>
        <v>0</v>
      </c>
      <c r="J21" s="3">
        <f>SUMIF(A22:A56, "1.2.2.*", J22:J56)</f>
        <v>0</v>
      </c>
      <c r="K21" s="3">
        <f>SUMIF(A22:A56, "1.2.2.*", K22:K56)</f>
        <v>0</v>
      </c>
      <c r="L21" s="3">
        <f>SUMIF(A22:A56, "1.2.2.*", L22:L56)</f>
        <v>0</v>
      </c>
      <c r="M21" s="3">
        <f>SUMIF(A22:A56, "1.2.2.*", M22:M56)</f>
        <v>0</v>
      </c>
      <c r="N21" s="3">
        <f>SUMIF(A22:A56, "1.2.2.*", N22:N56)</f>
        <v>0</v>
      </c>
      <c r="O21" s="3">
        <f>SUMIF(A22:A56, "1.2.2.*", O22:O56)</f>
        <v>0</v>
      </c>
      <c r="P21" s="3">
        <f>SUMIF(A22:A56, "1.2.2.*", P22:P56)</f>
        <v>0</v>
      </c>
      <c r="Q21" s="3">
        <f>SUMIF(A22:A56, "1.2.2.*", Q22:Q56)</f>
        <v>0</v>
      </c>
      <c r="R21" s="3">
        <f>SUMIF(A22:A56, "1.2.2.*", R22:R56)</f>
        <v>0</v>
      </c>
      <c r="S21" s="3">
        <f>SUMIF(A22:A56, "1.2.2.*", S22:S56)</f>
        <v>0</v>
      </c>
      <c r="T21" s="3">
        <f>SUMIF(A22:A56, "1.2.2.*", T22:T56)</f>
        <v>0</v>
      </c>
      <c r="U21" s="3">
        <f>SUMIF(A22:A56, "1.2.2.*", U22:U56)</f>
        <v>0</v>
      </c>
      <c r="V21" s="3">
        <f>SUMIF(A22:A56, "1.2.2.*", V22:V56)</f>
        <v>0</v>
      </c>
      <c r="W21" s="3">
        <f>SUMIF(A22:A56, "1.2.2.*", W22:W56)</f>
        <v>0</v>
      </c>
      <c r="X21" s="3">
        <f>SUMIF(A22:A56, "1.2.2.*", X22:X56)</f>
        <v>0</v>
      </c>
      <c r="Y21" s="3">
        <f>SUMIF(A22:A56, "1.2.2.*", Y22:Y56)</f>
        <v>0</v>
      </c>
      <c r="Z21" s="3">
        <f>SUMIF(A22:A56, "1.2.2.*", Z22:Z56)</f>
        <v>0</v>
      </c>
      <c r="AA21" s="3">
        <f>SUMIF(A22:A56, "1.2.2.*", AA22:AA56)</f>
        <v>0</v>
      </c>
      <c r="AB21" s="3">
        <f>SUMIF(A22:A56, "1.2.2.*", AB22:AB56)</f>
        <v>0</v>
      </c>
    </row>
    <row r="22" spans="1:28" ht="52.5" x14ac:dyDescent="0.25">
      <c r="A22" s="1" t="s">
        <v>54</v>
      </c>
      <c r="B22" s="2" t="s">
        <v>55</v>
      </c>
      <c r="C22" s="11"/>
      <c r="D22" s="4"/>
      <c r="E22" s="4"/>
      <c r="F22" s="3">
        <f>IF(ISNUMBER(VLOOKUP("1.3.1",A8:AB56,6,FALSE)),ROUND(VLOOKUP("1.3.1",A8:AB56,6,FALSE),4),0) + IF(ISNUMBER(VLOOKUP("1.3.2",A8:AB56,6,FALSE)),ROUND(VLOOKUP("1.3.2",A8:AB56,6,FALSE),4),0)</f>
        <v>108599607</v>
      </c>
      <c r="G22" s="3">
        <f>IF(ISNUMBER(VLOOKUP("1.3.1",A8:AB56,7,FALSE)),ROUND(VLOOKUP("1.3.1",A8:AB56,7,FALSE),4),0) + IF(ISNUMBER(VLOOKUP("1.3.2",A8:AB56,7,FALSE)),ROUND(VLOOKUP("1.3.2",A8:AB56,7,FALSE),4),0)</f>
        <v>49368017.579999998</v>
      </c>
      <c r="H22" s="3">
        <f>IF(ISNUMBER(VLOOKUP("1.3.1",A8:AB56,8,FALSE)),ROUND(VLOOKUP("1.3.1",A8:AB56,8,FALSE),4),0) + IF(ISNUMBER(VLOOKUP("1.3.2",A8:AB56,8,FALSE)),ROUND(VLOOKUP("1.3.2",A8:AB56,8,FALSE),4),0)</f>
        <v>31519163</v>
      </c>
      <c r="I22" s="3">
        <f>IF(ISNUMBER(VLOOKUP("1.3.1",A8:AB56,9,FALSE)),ROUND(VLOOKUP("1.3.1",A8:AB56,9,FALSE),4),0) + IF(ISNUMBER(VLOOKUP("1.3.2",A8:AB56,9,FALSE)),ROUND(VLOOKUP("1.3.2",A8:AB56,9,FALSE),4),0)</f>
        <v>7500000</v>
      </c>
      <c r="J22" s="3">
        <f>IF(ISNUMBER(VLOOKUP("1.3.1",A8:AB56,10,FALSE)),ROUND(VLOOKUP("1.3.1",A8:AB56,10,FALSE),4),0) + IF(ISNUMBER(VLOOKUP("1.3.2",A8:AB56,10,FALSE)),ROUND(VLOOKUP("1.3.2",A8:AB56,10,FALSE),4),0)</f>
        <v>1000000</v>
      </c>
      <c r="K22" s="3">
        <f>IF(ISNUMBER(VLOOKUP("1.3.1",A8:AB56,11,FALSE)),ROUND(VLOOKUP("1.3.1",A8:AB56,11,FALSE),4),0) + IF(ISNUMBER(VLOOKUP("1.3.2",A8:AB56,11,FALSE)),ROUND(VLOOKUP("1.3.2",A8:AB56,11,FALSE),4),0)</f>
        <v>0</v>
      </c>
      <c r="L22" s="3">
        <f>IF(ISNUMBER(VLOOKUP("1.3.1",A8:AB56,12,FALSE)),ROUND(VLOOKUP("1.3.1",A8:AB56,12,FALSE),4),0) + IF(ISNUMBER(VLOOKUP("1.3.2",A8:AB56,12,FALSE)),ROUND(VLOOKUP("1.3.2",A8:AB56,12,FALSE),4),0)</f>
        <v>0</v>
      </c>
      <c r="M22" s="3">
        <f>IF(ISNUMBER(VLOOKUP("1.3.1",A8:AB56,13,FALSE)),ROUND(VLOOKUP("1.3.1",A8:AB56,13,FALSE),4),0) + IF(ISNUMBER(VLOOKUP("1.3.2",A8:AB56,13,FALSE)),ROUND(VLOOKUP("1.3.2",A8:AB56,13,FALSE),4),0)</f>
        <v>0</v>
      </c>
      <c r="N22" s="3">
        <f>IF(ISNUMBER(VLOOKUP("1.3.1",A8:AB56,14,FALSE)),ROUND(VLOOKUP("1.3.1",A8:AB56,14,FALSE),4),0) + IF(ISNUMBER(VLOOKUP("1.3.2",A8:AB56,14,FALSE)),ROUND(VLOOKUP("1.3.2",A8:AB56,14,FALSE),4),0)</f>
        <v>0</v>
      </c>
      <c r="O22" s="3">
        <f>IF(ISNUMBER(VLOOKUP("1.3.1",A8:AB56,15,FALSE)),ROUND(VLOOKUP("1.3.1",A8:AB56,15,FALSE),4),0) + IF(ISNUMBER(VLOOKUP("1.3.2",A8:AB56,15,FALSE)),ROUND(VLOOKUP("1.3.2",A8:AB56,15,FALSE),4),0)</f>
        <v>0</v>
      </c>
      <c r="P22" s="3">
        <f>IF(ISNUMBER(VLOOKUP("1.3.1",A8:AB56,16,FALSE)),ROUND(VLOOKUP("1.3.1",A8:AB56,16,FALSE),4),0) + IF(ISNUMBER(VLOOKUP("1.3.2",A8:AB56,16,FALSE)),ROUND(VLOOKUP("1.3.2",A8:AB56,16,FALSE),4),0)</f>
        <v>0</v>
      </c>
      <c r="Q22" s="3">
        <f>IF(ISNUMBER(VLOOKUP("1.3.1",A8:AB56,17,FALSE)),ROUND(VLOOKUP("1.3.1",A8:AB56,17,FALSE),4),0) + IF(ISNUMBER(VLOOKUP("1.3.2",A8:AB56,17,FALSE)),ROUND(VLOOKUP("1.3.2",A8:AB56,17,FALSE),4),0)</f>
        <v>0</v>
      </c>
      <c r="R22" s="3">
        <f>IF(ISNUMBER(VLOOKUP("1.3.1",A8:AB56,18,FALSE)),ROUND(VLOOKUP("1.3.1",A8:AB56,18,FALSE),4),0) + IF(ISNUMBER(VLOOKUP("1.3.2",A8:AB56,18,FALSE)),ROUND(VLOOKUP("1.3.2",A8:AB56,18,FALSE),4),0)</f>
        <v>0</v>
      </c>
      <c r="S22" s="3">
        <f>IF(ISNUMBER(VLOOKUP("1.3.1",A8:AB56,19,FALSE)),ROUND(VLOOKUP("1.3.1",A8:AB56,19,FALSE),4),0) + IF(ISNUMBER(VLOOKUP("1.3.2",A8:AB56,19,FALSE)),ROUND(VLOOKUP("1.3.2",A8:AB56,19,FALSE),4),0)</f>
        <v>0</v>
      </c>
      <c r="T22" s="3">
        <f>IF(ISNUMBER(VLOOKUP("1.3.1",A8:AB56,20,FALSE)),ROUND(VLOOKUP("1.3.1",A8:AB56,20,FALSE),4),0) + IF(ISNUMBER(VLOOKUP("1.3.2",A8:AB56,20,FALSE)),ROUND(VLOOKUP("1.3.2",A8:AB56,20,FALSE),4),0)</f>
        <v>0</v>
      </c>
      <c r="U22" s="3">
        <f>IF(ISNUMBER(VLOOKUP("1.3.1",A8:AB56,21,FALSE)),ROUND(VLOOKUP("1.3.1",A8:AB56,21,FALSE),4),0) + IF(ISNUMBER(VLOOKUP("1.3.2",A8:AB56,21,FALSE)),ROUND(VLOOKUP("1.3.2",A8:AB56,21,FALSE),4),0)</f>
        <v>0</v>
      </c>
      <c r="V22" s="3">
        <f>IF(ISNUMBER(VLOOKUP("1.3.1",A8:AB56,22,FALSE)),ROUND(VLOOKUP("1.3.1",A8:AB56,22,FALSE),4),0) + IF(ISNUMBER(VLOOKUP("1.3.2",A8:AB56,22,FALSE)),ROUND(VLOOKUP("1.3.2",A8:AB56,22,FALSE),4),0)</f>
        <v>0</v>
      </c>
      <c r="W22" s="3">
        <f>IF(ISNUMBER(VLOOKUP("1.3.1",A8:AB56,23,FALSE)),ROUND(VLOOKUP("1.3.1",A8:AB56,23,FALSE),4),0) + IF(ISNUMBER(VLOOKUP("1.3.2",A8:AB56,23,FALSE)),ROUND(VLOOKUP("1.3.2",A8:AB56,23,FALSE),4),0)</f>
        <v>0</v>
      </c>
      <c r="X22" s="3">
        <f>IF(ISNUMBER(VLOOKUP("1.3.1",A8:AB56,24,FALSE)),ROUND(VLOOKUP("1.3.1",A8:AB56,24,FALSE),4),0) + IF(ISNUMBER(VLOOKUP("1.3.2",A8:AB56,24,FALSE)),ROUND(VLOOKUP("1.3.2",A8:AB56,24,FALSE),4),0)</f>
        <v>0</v>
      </c>
      <c r="Y22" s="3">
        <f>IF(ISNUMBER(VLOOKUP("1.3.1",A8:AB56,25,FALSE)),ROUND(VLOOKUP("1.3.1",A8:AB56,25,FALSE),4),0) + IF(ISNUMBER(VLOOKUP("1.3.2",A8:AB56,25,FALSE)),ROUND(VLOOKUP("1.3.2",A8:AB56,25,FALSE),4),0)</f>
        <v>0</v>
      </c>
      <c r="Z22" s="3">
        <f>IF(ISNUMBER(VLOOKUP("1.3.1",A8:AB56,26,FALSE)),ROUND(VLOOKUP("1.3.1",A8:AB56,26,FALSE),4),0) + IF(ISNUMBER(VLOOKUP("1.3.2",A8:AB56,26,FALSE)),ROUND(VLOOKUP("1.3.2",A8:AB56,26,FALSE),4),0)</f>
        <v>0</v>
      </c>
      <c r="AA22" s="3">
        <f>IF(ISNUMBER(VLOOKUP("1.3.1",A8:AB56,27,FALSE)),ROUND(VLOOKUP("1.3.1",A8:AB56,27,FALSE),4),0) + IF(ISNUMBER(VLOOKUP("1.3.2",A8:AB56,27,FALSE)),ROUND(VLOOKUP("1.3.2",A8:AB56,27,FALSE),4),0)</f>
        <v>0</v>
      </c>
      <c r="AB22" s="3">
        <f>IF(ISNUMBER(VLOOKUP("1.3.1",A8:AB56,28,FALSE)),ROUND(VLOOKUP("1.3.1",A8:AB56,28,FALSE),4),0) + IF(ISNUMBER(VLOOKUP("1.3.2",A8:AB56,28,FALSE)),ROUND(VLOOKUP("1.3.2",A8:AB56,28,FALSE),4),0)</f>
        <v>89387180.579999998</v>
      </c>
    </row>
    <row r="23" spans="1:28" x14ac:dyDescent="0.25">
      <c r="A23" s="1" t="s">
        <v>56</v>
      </c>
      <c r="B23" s="2" t="s">
        <v>31</v>
      </c>
      <c r="C23" s="11"/>
      <c r="D23" s="4"/>
      <c r="E23" s="4"/>
      <c r="F23" s="3">
        <f>SUMIF(A24:A56, "1.3.1.*", F24:F56)</f>
        <v>3744831</v>
      </c>
      <c r="G23" s="3">
        <f>SUMIF(A24:A56, "1.3.1.*", G24:G56)</f>
        <v>818909</v>
      </c>
      <c r="H23" s="3">
        <f>SUMIF(A24:A56, "1.3.1.*", H24:H56)</f>
        <v>422180</v>
      </c>
      <c r="I23" s="3">
        <f>SUMIF(A24:A56, "1.3.1.*", I24:I56)</f>
        <v>0</v>
      </c>
      <c r="J23" s="3">
        <f>SUMIF(A24:A56, "1.3.1.*", J24:J56)</f>
        <v>0</v>
      </c>
      <c r="K23" s="3">
        <f>SUMIF(A24:A56, "1.3.1.*", K24:K56)</f>
        <v>0</v>
      </c>
      <c r="L23" s="3">
        <f>SUMIF(A24:A56, "1.3.1.*", L24:L56)</f>
        <v>0</v>
      </c>
      <c r="M23" s="3">
        <f>SUMIF(A24:A56, "1.3.1.*", M24:M56)</f>
        <v>0</v>
      </c>
      <c r="N23" s="3">
        <f>SUMIF(A24:A56, "1.3.1.*", N24:N56)</f>
        <v>0</v>
      </c>
      <c r="O23" s="3">
        <f>SUMIF(A24:A56, "1.3.1.*", O24:O56)</f>
        <v>0</v>
      </c>
      <c r="P23" s="3">
        <f>SUMIF(A24:A56, "1.3.1.*", P24:P56)</f>
        <v>0</v>
      </c>
      <c r="Q23" s="3">
        <f>SUMIF(A24:A56, "1.3.1.*", Q24:Q56)</f>
        <v>0</v>
      </c>
      <c r="R23" s="3">
        <f>SUMIF(A24:A56, "1.3.1.*", R24:R56)</f>
        <v>0</v>
      </c>
      <c r="S23" s="3">
        <f>SUMIF(A24:A56, "1.3.1.*", S24:S56)</f>
        <v>0</v>
      </c>
      <c r="T23" s="3">
        <f>SUMIF(A24:A56, "1.3.1.*", T24:T56)</f>
        <v>0</v>
      </c>
      <c r="U23" s="3">
        <f>SUMIF(A24:A56, "1.3.1.*", U24:U56)</f>
        <v>0</v>
      </c>
      <c r="V23" s="3">
        <f>SUMIF(A24:A56, "1.3.1.*", V24:V56)</f>
        <v>0</v>
      </c>
      <c r="W23" s="3">
        <f>SUMIF(A24:A56, "1.3.1.*", W24:W56)</f>
        <v>0</v>
      </c>
      <c r="X23" s="3">
        <f>SUMIF(A24:A56, "1.3.1.*", X24:X56)</f>
        <v>0</v>
      </c>
      <c r="Y23" s="3">
        <f>SUMIF(A24:A56, "1.3.1.*", Y24:Y56)</f>
        <v>0</v>
      </c>
      <c r="Z23" s="3">
        <f>SUMIF(A24:A56, "1.3.1.*", Z24:Z56)</f>
        <v>0</v>
      </c>
      <c r="AA23" s="3">
        <f>SUMIF(A24:A56, "1.3.1.*", AA24:AA56)</f>
        <v>0</v>
      </c>
      <c r="AB23" s="3">
        <f>SUMIF(A24:A56, "1.3.1.*", AB24:AB56)</f>
        <v>1241089</v>
      </c>
    </row>
    <row r="24" spans="1:28" ht="67.5" x14ac:dyDescent="0.25">
      <c r="A24" s="5" t="s">
        <v>57</v>
      </c>
      <c r="B24" s="6" t="s">
        <v>58</v>
      </c>
      <c r="C24" s="10" t="s">
        <v>42</v>
      </c>
      <c r="D24" s="8">
        <v>2017</v>
      </c>
      <c r="E24" s="8">
        <v>2025</v>
      </c>
      <c r="F24" s="7">
        <v>1727079</v>
      </c>
      <c r="G24" s="7">
        <v>396729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7">
        <v>396729</v>
      </c>
    </row>
    <row r="25" spans="1:28" ht="67.5" x14ac:dyDescent="0.25">
      <c r="A25" s="5" t="s">
        <v>59</v>
      </c>
      <c r="B25" s="6" t="s">
        <v>60</v>
      </c>
      <c r="C25" s="10" t="s">
        <v>61</v>
      </c>
      <c r="D25" s="8">
        <v>2022</v>
      </c>
      <c r="E25" s="8">
        <v>2026</v>
      </c>
      <c r="F25" s="7">
        <v>2017752</v>
      </c>
      <c r="G25" s="7">
        <v>422180</v>
      </c>
      <c r="H25" s="7">
        <v>422180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7">
        <v>844360</v>
      </c>
    </row>
    <row r="26" spans="1:28" x14ac:dyDescent="0.25">
      <c r="A26" s="1" t="s">
        <v>62</v>
      </c>
      <c r="B26" s="2" t="s">
        <v>33</v>
      </c>
      <c r="C26" s="11"/>
      <c r="D26" s="4"/>
      <c r="E26" s="4"/>
      <c r="F26" s="3">
        <f>SUMIF(A27:A56, "1.3.2.*", F27:F56)</f>
        <v>104854776</v>
      </c>
      <c r="G26" s="3">
        <f>SUMIF(A27:A56, "1.3.2.*", G27:G56)</f>
        <v>48549108.579999998</v>
      </c>
      <c r="H26" s="3">
        <f>SUMIF(A27:A56, "1.3.2.*", H27:H56)</f>
        <v>31096983</v>
      </c>
      <c r="I26" s="3">
        <f>SUMIF(A27:A56, "1.3.2.*", I27:I56)</f>
        <v>7500000</v>
      </c>
      <c r="J26" s="3">
        <f>SUMIF(A27:A56, "1.3.2.*", J27:J56)</f>
        <v>1000000</v>
      </c>
      <c r="K26" s="3">
        <f>SUMIF(A27:A56, "1.3.2.*", K27:K56)</f>
        <v>0</v>
      </c>
      <c r="L26" s="3">
        <f>SUMIF(A27:A56, "1.3.2.*", L27:L56)</f>
        <v>0</v>
      </c>
      <c r="M26" s="3">
        <f>SUMIF(A27:A56, "1.3.2.*", M27:M56)</f>
        <v>0</v>
      </c>
      <c r="N26" s="3">
        <f>SUMIF(A27:A56, "1.3.2.*", N27:N56)</f>
        <v>0</v>
      </c>
      <c r="O26" s="3">
        <f>SUMIF(A27:A56, "1.3.2.*", O27:O56)</f>
        <v>0</v>
      </c>
      <c r="P26" s="3">
        <f>SUMIF(A27:A56, "1.3.2.*", P27:P56)</f>
        <v>0</v>
      </c>
      <c r="Q26" s="3">
        <f>SUMIF(A27:A56, "1.3.2.*", Q27:Q56)</f>
        <v>0</v>
      </c>
      <c r="R26" s="3">
        <f>SUMIF(A27:A56, "1.3.2.*", R27:R56)</f>
        <v>0</v>
      </c>
      <c r="S26" s="3">
        <f>SUMIF(A27:A56, "1.3.2.*", S27:S56)</f>
        <v>0</v>
      </c>
      <c r="T26" s="3">
        <f>SUMIF(A27:A56, "1.3.2.*", T27:T56)</f>
        <v>0</v>
      </c>
      <c r="U26" s="3">
        <f>SUMIF(A27:A56, "1.3.2.*", U27:U56)</f>
        <v>0</v>
      </c>
      <c r="V26" s="3">
        <f>SUMIF(A27:A56, "1.3.2.*", V27:V56)</f>
        <v>0</v>
      </c>
      <c r="W26" s="3">
        <f>SUMIF(A27:A56, "1.3.2.*", W27:W56)</f>
        <v>0</v>
      </c>
      <c r="X26" s="3">
        <f>SUMIF(A27:A56, "1.3.2.*", X27:X56)</f>
        <v>0</v>
      </c>
      <c r="Y26" s="3">
        <f>SUMIF(A27:A56, "1.3.2.*", Y27:Y56)</f>
        <v>0</v>
      </c>
      <c r="Z26" s="3">
        <f>SUMIF(A27:A56, "1.3.2.*", Z27:Z56)</f>
        <v>0</v>
      </c>
      <c r="AA26" s="3">
        <f>SUMIF(A27:A56, "1.3.2.*", AA27:AA56)</f>
        <v>0</v>
      </c>
      <c r="AB26" s="3">
        <f>SUMIF(A27:A56, "1.3.2.*", AB27:AB56)</f>
        <v>88146091.580000013</v>
      </c>
    </row>
    <row r="27" spans="1:28" ht="67.5" x14ac:dyDescent="0.25">
      <c r="A27" s="5" t="s">
        <v>63</v>
      </c>
      <c r="B27" s="6" t="s">
        <v>64</v>
      </c>
      <c r="C27" s="10" t="s">
        <v>65</v>
      </c>
      <c r="D27" s="8">
        <v>2023</v>
      </c>
      <c r="E27" s="8">
        <v>2026</v>
      </c>
      <c r="F27" s="7">
        <v>7748850</v>
      </c>
      <c r="G27" s="7">
        <v>2994425</v>
      </c>
      <c r="H27" s="7">
        <v>4494425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7">
        <v>7488850</v>
      </c>
    </row>
    <row r="28" spans="1:28" ht="48.75" x14ac:dyDescent="0.25">
      <c r="A28" s="5" t="s">
        <v>66</v>
      </c>
      <c r="B28" s="6" t="s">
        <v>67</v>
      </c>
      <c r="C28" s="10" t="s">
        <v>65</v>
      </c>
      <c r="D28" s="8">
        <v>2017</v>
      </c>
      <c r="E28" s="8">
        <v>2025</v>
      </c>
      <c r="F28" s="7">
        <v>945000</v>
      </c>
      <c r="G28" s="7">
        <v>650000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7">
        <v>650000</v>
      </c>
    </row>
    <row r="29" spans="1:28" ht="56.25" x14ac:dyDescent="0.25">
      <c r="A29" s="5" t="s">
        <v>68</v>
      </c>
      <c r="B29" s="6" t="s">
        <v>69</v>
      </c>
      <c r="C29" s="10" t="s">
        <v>70</v>
      </c>
      <c r="D29" s="8">
        <v>2018</v>
      </c>
      <c r="E29" s="8">
        <v>2026</v>
      </c>
      <c r="F29" s="7">
        <v>19102248</v>
      </c>
      <c r="G29" s="7">
        <v>9962376</v>
      </c>
      <c r="H29" s="7">
        <v>7209312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7">
        <v>17171688</v>
      </c>
    </row>
    <row r="30" spans="1:28" ht="67.5" x14ac:dyDescent="0.25">
      <c r="A30" s="5" t="s">
        <v>71</v>
      </c>
      <c r="B30" s="6" t="s">
        <v>72</v>
      </c>
      <c r="C30" s="10" t="s">
        <v>65</v>
      </c>
      <c r="D30" s="8">
        <v>2021</v>
      </c>
      <c r="E30" s="8">
        <v>2025</v>
      </c>
      <c r="F30" s="7">
        <v>4466657</v>
      </c>
      <c r="G30" s="7">
        <v>2277776.69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7">
        <v>2277776.69</v>
      </c>
    </row>
    <row r="31" spans="1:28" ht="56.25" x14ac:dyDescent="0.25">
      <c r="A31" s="5" t="s">
        <v>73</v>
      </c>
      <c r="B31" s="6" t="s">
        <v>74</v>
      </c>
      <c r="C31" s="10" t="s">
        <v>65</v>
      </c>
      <c r="D31" s="8">
        <v>2022</v>
      </c>
      <c r="E31" s="8">
        <v>2025</v>
      </c>
      <c r="F31" s="7">
        <v>14024558</v>
      </c>
      <c r="G31" s="7">
        <v>7013491.8600000003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7">
        <v>7013491.8600000003</v>
      </c>
    </row>
    <row r="32" spans="1:28" ht="48.75" x14ac:dyDescent="0.25">
      <c r="A32" s="5" t="s">
        <v>75</v>
      </c>
      <c r="B32" s="6" t="s">
        <v>76</v>
      </c>
      <c r="C32" s="10" t="s">
        <v>65</v>
      </c>
      <c r="D32" s="8">
        <v>2023</v>
      </c>
      <c r="E32" s="8">
        <v>2027</v>
      </c>
      <c r="F32" s="7">
        <v>2149992</v>
      </c>
      <c r="G32" s="7">
        <v>480000</v>
      </c>
      <c r="H32" s="7">
        <v>500000</v>
      </c>
      <c r="I32" s="7">
        <v>200000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7">
        <v>1180000</v>
      </c>
    </row>
    <row r="33" spans="1:28" ht="56.25" x14ac:dyDescent="0.25">
      <c r="A33" s="5" t="s">
        <v>77</v>
      </c>
      <c r="B33" s="6" t="s">
        <v>78</v>
      </c>
      <c r="C33" s="10" t="s">
        <v>65</v>
      </c>
      <c r="D33" s="8">
        <v>2024</v>
      </c>
      <c r="E33" s="8">
        <v>2025</v>
      </c>
      <c r="F33" s="7">
        <v>145140</v>
      </c>
      <c r="G33" s="7">
        <v>95140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7">
        <v>95140</v>
      </c>
    </row>
    <row r="34" spans="1:28" ht="56.25" x14ac:dyDescent="0.25">
      <c r="A34" s="5" t="s">
        <v>79</v>
      </c>
      <c r="B34" s="6" t="s">
        <v>80</v>
      </c>
      <c r="C34" s="10" t="s">
        <v>65</v>
      </c>
      <c r="D34" s="8">
        <v>2024</v>
      </c>
      <c r="E34" s="8">
        <v>2025</v>
      </c>
      <c r="F34" s="7">
        <v>107010</v>
      </c>
      <c r="G34" s="7">
        <v>57010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7">
        <v>57010</v>
      </c>
    </row>
    <row r="35" spans="1:28" ht="56.25" x14ac:dyDescent="0.25">
      <c r="A35" s="5" t="s">
        <v>81</v>
      </c>
      <c r="B35" s="6" t="s">
        <v>82</v>
      </c>
      <c r="C35" s="10" t="s">
        <v>65</v>
      </c>
      <c r="D35" s="8">
        <v>2024</v>
      </c>
      <c r="E35" s="8">
        <v>2025</v>
      </c>
      <c r="F35" s="7">
        <v>113160</v>
      </c>
      <c r="G35" s="7">
        <v>63160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7">
        <v>63160</v>
      </c>
    </row>
    <row r="36" spans="1:28" ht="56.25" x14ac:dyDescent="0.25">
      <c r="A36" s="5" t="s">
        <v>83</v>
      </c>
      <c r="B36" s="6" t="s">
        <v>84</v>
      </c>
      <c r="C36" s="10" t="s">
        <v>65</v>
      </c>
      <c r="D36" s="8">
        <v>2024</v>
      </c>
      <c r="E36" s="8">
        <v>2025</v>
      </c>
      <c r="F36" s="7">
        <v>145140</v>
      </c>
      <c r="G36" s="7">
        <v>95140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7">
        <v>95140</v>
      </c>
    </row>
    <row r="37" spans="1:28" ht="67.5" x14ac:dyDescent="0.25">
      <c r="A37" s="5" t="s">
        <v>85</v>
      </c>
      <c r="B37" s="6" t="s">
        <v>86</v>
      </c>
      <c r="C37" s="10" t="s">
        <v>65</v>
      </c>
      <c r="D37" s="8">
        <v>2022</v>
      </c>
      <c r="E37" s="8">
        <v>2025</v>
      </c>
      <c r="F37" s="7">
        <v>4447054</v>
      </c>
      <c r="G37" s="7">
        <v>4210353.7300000004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7">
        <v>4210353.7300000004</v>
      </c>
    </row>
    <row r="38" spans="1:28" ht="135" x14ac:dyDescent="0.25">
      <c r="A38" s="5" t="s">
        <v>87</v>
      </c>
      <c r="B38" s="6" t="s">
        <v>88</v>
      </c>
      <c r="C38" s="10" t="s">
        <v>42</v>
      </c>
      <c r="D38" s="8">
        <v>2024</v>
      </c>
      <c r="E38" s="8">
        <v>2025</v>
      </c>
      <c r="F38" s="7">
        <v>121000</v>
      </c>
      <c r="G38" s="7">
        <v>121000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7">
        <v>121000</v>
      </c>
    </row>
    <row r="39" spans="1:28" ht="78" x14ac:dyDescent="0.25">
      <c r="A39" s="5" t="s">
        <v>89</v>
      </c>
      <c r="B39" s="6" t="s">
        <v>90</v>
      </c>
      <c r="C39" s="10" t="s">
        <v>91</v>
      </c>
      <c r="D39" s="8">
        <v>2024</v>
      </c>
      <c r="E39" s="8">
        <v>2026</v>
      </c>
      <c r="F39" s="7">
        <v>3316441</v>
      </c>
      <c r="G39" s="7">
        <v>5000</v>
      </c>
      <c r="H39" s="7">
        <v>3217346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7">
        <v>3222346</v>
      </c>
    </row>
    <row r="40" spans="1:28" ht="101.25" x14ac:dyDescent="0.25">
      <c r="A40" s="5" t="s">
        <v>92</v>
      </c>
      <c r="B40" s="6" t="s">
        <v>93</v>
      </c>
      <c r="C40" s="10" t="s">
        <v>94</v>
      </c>
      <c r="D40" s="8">
        <v>2024</v>
      </c>
      <c r="E40" s="8">
        <v>2026</v>
      </c>
      <c r="F40" s="7">
        <v>2520343</v>
      </c>
      <c r="G40" s="7">
        <v>817000</v>
      </c>
      <c r="H40" s="7">
        <v>800000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7">
        <v>1617000</v>
      </c>
    </row>
    <row r="41" spans="1:28" ht="56.25" x14ac:dyDescent="0.25">
      <c r="A41" s="5" t="s">
        <v>95</v>
      </c>
      <c r="B41" s="6" t="s">
        <v>96</v>
      </c>
      <c r="C41" s="10" t="s">
        <v>42</v>
      </c>
      <c r="D41" s="8">
        <v>2024</v>
      </c>
      <c r="E41" s="8">
        <v>2025</v>
      </c>
      <c r="F41" s="7">
        <v>1000000</v>
      </c>
      <c r="G41" s="7">
        <v>1000000</v>
      </c>
      <c r="H41" s="7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7">
        <v>1000000</v>
      </c>
    </row>
    <row r="42" spans="1:28" ht="56.25" x14ac:dyDescent="0.25">
      <c r="A42" s="5" t="s">
        <v>97</v>
      </c>
      <c r="B42" s="6" t="s">
        <v>98</v>
      </c>
      <c r="C42" s="10" t="s">
        <v>65</v>
      </c>
      <c r="D42" s="8">
        <v>2020</v>
      </c>
      <c r="E42" s="8">
        <v>2028</v>
      </c>
      <c r="F42" s="7">
        <v>3350000</v>
      </c>
      <c r="G42" s="7">
        <v>0</v>
      </c>
      <c r="H42" s="7">
        <v>900000</v>
      </c>
      <c r="I42" s="7">
        <v>1300000</v>
      </c>
      <c r="J42" s="7">
        <v>1000000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7">
        <v>3200000</v>
      </c>
    </row>
    <row r="43" spans="1:28" ht="90" x14ac:dyDescent="0.25">
      <c r="A43" s="5" t="s">
        <v>99</v>
      </c>
      <c r="B43" s="6" t="s">
        <v>100</v>
      </c>
      <c r="C43" s="10" t="s">
        <v>65</v>
      </c>
      <c r="D43" s="8">
        <v>2025</v>
      </c>
      <c r="E43" s="8">
        <v>2026</v>
      </c>
      <c r="F43" s="7">
        <v>420000</v>
      </c>
      <c r="G43" s="7">
        <v>200000</v>
      </c>
      <c r="H43" s="7">
        <v>220000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7">
        <v>420000</v>
      </c>
    </row>
    <row r="44" spans="1:28" ht="67.5" x14ac:dyDescent="0.25">
      <c r="A44" s="5" t="s">
        <v>101</v>
      </c>
      <c r="B44" s="6" t="s">
        <v>102</v>
      </c>
      <c r="C44" s="10" t="s">
        <v>65</v>
      </c>
      <c r="D44" s="8">
        <v>2025</v>
      </c>
      <c r="E44" s="8">
        <v>2026</v>
      </c>
      <c r="F44" s="7">
        <v>1100000</v>
      </c>
      <c r="G44" s="7">
        <v>500000</v>
      </c>
      <c r="H44" s="7">
        <v>600000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7">
        <v>1100000</v>
      </c>
    </row>
    <row r="45" spans="1:28" ht="112.5" x14ac:dyDescent="0.25">
      <c r="A45" s="5" t="s">
        <v>103</v>
      </c>
      <c r="B45" s="6" t="s">
        <v>104</v>
      </c>
      <c r="C45" s="10" t="s">
        <v>65</v>
      </c>
      <c r="D45" s="8">
        <v>2024</v>
      </c>
      <c r="E45" s="8">
        <v>2027</v>
      </c>
      <c r="F45" s="7">
        <v>9349320</v>
      </c>
      <c r="G45" s="7">
        <v>279456</v>
      </c>
      <c r="H45" s="7">
        <v>3000000</v>
      </c>
      <c r="I45" s="7">
        <v>6000000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7">
        <v>9279456</v>
      </c>
    </row>
    <row r="46" spans="1:28" ht="101.25" x14ac:dyDescent="0.25">
      <c r="A46" s="5" t="s">
        <v>105</v>
      </c>
      <c r="B46" s="6" t="s">
        <v>106</v>
      </c>
      <c r="C46" s="10" t="s">
        <v>42</v>
      </c>
      <c r="D46" s="8">
        <v>2021</v>
      </c>
      <c r="E46" s="8">
        <v>2026</v>
      </c>
      <c r="F46" s="7">
        <v>638010</v>
      </c>
      <c r="G46" s="7">
        <v>100000</v>
      </c>
      <c r="H46" s="7">
        <v>400000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7">
        <v>500000</v>
      </c>
    </row>
    <row r="47" spans="1:28" ht="48.75" x14ac:dyDescent="0.25">
      <c r="A47" s="5" t="s">
        <v>107</v>
      </c>
      <c r="B47" s="6" t="s">
        <v>108</v>
      </c>
      <c r="C47" s="10" t="s">
        <v>65</v>
      </c>
      <c r="D47" s="8">
        <v>2024</v>
      </c>
      <c r="E47" s="8">
        <v>2026</v>
      </c>
      <c r="F47" s="7">
        <v>9000000</v>
      </c>
      <c r="G47" s="7">
        <v>1000000</v>
      </c>
      <c r="H47" s="7">
        <v>8000000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7">
        <v>9000000</v>
      </c>
    </row>
    <row r="48" spans="1:28" ht="48.75" x14ac:dyDescent="0.25">
      <c r="A48" s="5" t="s">
        <v>109</v>
      </c>
      <c r="B48" s="6" t="s">
        <v>110</v>
      </c>
      <c r="C48" s="10" t="s">
        <v>65</v>
      </c>
      <c r="D48" s="8">
        <v>2024</v>
      </c>
      <c r="E48" s="8">
        <v>2025</v>
      </c>
      <c r="F48" s="7">
        <v>5494957</v>
      </c>
      <c r="G48" s="7">
        <v>4695852.68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7">
        <v>4695852.68</v>
      </c>
    </row>
    <row r="49" spans="1:28" ht="56.25" x14ac:dyDescent="0.25">
      <c r="A49" s="5" t="s">
        <v>111</v>
      </c>
      <c r="B49" s="6" t="s">
        <v>112</v>
      </c>
      <c r="C49" s="10" t="s">
        <v>65</v>
      </c>
      <c r="D49" s="8">
        <v>2024</v>
      </c>
      <c r="E49" s="8">
        <v>2025</v>
      </c>
      <c r="F49" s="7">
        <v>11812776</v>
      </c>
      <c r="G49" s="7">
        <v>10510926.619999999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7">
        <v>10510926.619999999</v>
      </c>
    </row>
    <row r="50" spans="1:28" ht="48.75" x14ac:dyDescent="0.25">
      <c r="A50" s="5" t="s">
        <v>113</v>
      </c>
      <c r="B50" s="6" t="s">
        <v>114</v>
      </c>
      <c r="C50" s="10" t="s">
        <v>65</v>
      </c>
      <c r="D50" s="8">
        <v>2025</v>
      </c>
      <c r="E50" s="8">
        <v>2026</v>
      </c>
      <c r="F50" s="7">
        <v>500000</v>
      </c>
      <c r="G50" s="7">
        <v>250000</v>
      </c>
      <c r="H50" s="7">
        <v>250000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7">
        <v>500000</v>
      </c>
    </row>
    <row r="51" spans="1:28" ht="48.75" x14ac:dyDescent="0.25">
      <c r="A51" s="5" t="s">
        <v>115</v>
      </c>
      <c r="B51" s="6" t="s">
        <v>116</v>
      </c>
      <c r="C51" s="10" t="s">
        <v>65</v>
      </c>
      <c r="D51" s="8">
        <v>2025</v>
      </c>
      <c r="E51" s="8">
        <v>2026</v>
      </c>
      <c r="F51" s="7">
        <v>159900</v>
      </c>
      <c r="G51" s="7">
        <v>75000</v>
      </c>
      <c r="H51" s="7">
        <v>84900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7">
        <v>159900</v>
      </c>
    </row>
    <row r="52" spans="1:28" ht="48.75" x14ac:dyDescent="0.25">
      <c r="A52" s="5" t="s">
        <v>117</v>
      </c>
      <c r="B52" s="6" t="s">
        <v>118</v>
      </c>
      <c r="C52" s="10" t="s">
        <v>65</v>
      </c>
      <c r="D52" s="8">
        <v>2024</v>
      </c>
      <c r="E52" s="8">
        <v>2025</v>
      </c>
      <c r="F52" s="7">
        <v>869000</v>
      </c>
      <c r="G52" s="7">
        <v>746000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7">
        <v>746000</v>
      </c>
    </row>
    <row r="53" spans="1:28" ht="45" x14ac:dyDescent="0.25">
      <c r="A53" s="5" t="s">
        <v>119</v>
      </c>
      <c r="B53" s="6" t="s">
        <v>120</v>
      </c>
      <c r="C53" s="10" t="s">
        <v>121</v>
      </c>
      <c r="D53" s="8">
        <v>2024</v>
      </c>
      <c r="E53" s="8">
        <v>2025</v>
      </c>
      <c r="F53" s="7">
        <v>20000</v>
      </c>
      <c r="G53" s="7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7">
        <v>0</v>
      </c>
    </row>
    <row r="54" spans="1:28" ht="56.25" x14ac:dyDescent="0.25">
      <c r="A54" s="5" t="s">
        <v>122</v>
      </c>
      <c r="B54" s="6" t="s">
        <v>123</v>
      </c>
      <c r="C54" s="10" t="s">
        <v>124</v>
      </c>
      <c r="D54" s="8">
        <v>2024</v>
      </c>
      <c r="E54" s="8">
        <v>2025</v>
      </c>
      <c r="F54" s="7">
        <v>17220</v>
      </c>
      <c r="G54" s="7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7">
        <v>0</v>
      </c>
    </row>
    <row r="55" spans="1:28" ht="48.75" x14ac:dyDescent="0.25">
      <c r="A55" s="5" t="s">
        <v>125</v>
      </c>
      <c r="B55" s="6" t="s">
        <v>126</v>
      </c>
      <c r="C55" s="10" t="s">
        <v>65</v>
      </c>
      <c r="D55" s="8">
        <v>2025</v>
      </c>
      <c r="E55" s="8">
        <v>2026</v>
      </c>
      <c r="F55" s="7">
        <v>1771000</v>
      </c>
      <c r="G55" s="7">
        <v>350000</v>
      </c>
      <c r="H55" s="7">
        <v>1421000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7">
        <v>1771000</v>
      </c>
    </row>
  </sheetData>
  <mergeCells count="1">
    <mergeCell ref="B4:J4"/>
  </mergeCells>
  <conditionalFormatting sqref="B12:AB12">
    <cfRule type="beginsWith" dxfId="9" priority="1" operator="beginsWith" text="Tak">
      <formula>LEFT(B12,LEN("Tak"))="Tak"</formula>
    </cfRule>
    <cfRule type="beginsWith" dxfId="8" priority="2" operator="beginsWith" text="Nie">
      <formula>LEFT(B12,LEN("Nie"))="Nie"</formula>
    </cfRule>
  </conditionalFormatting>
  <conditionalFormatting sqref="B17:AB17">
    <cfRule type="beginsWith" dxfId="7" priority="3" operator="beginsWith" text="Tak">
      <formula>LEFT(B17,LEN("Tak"))="Tak"</formula>
    </cfRule>
    <cfRule type="beginsWith" dxfId="6" priority="4" operator="beginsWith" text="Nie">
      <formula>LEFT(B17,LEN("Nie"))="Nie"</formula>
    </cfRule>
  </conditionalFormatting>
  <conditionalFormatting sqref="B20:AB21">
    <cfRule type="beginsWith" dxfId="5" priority="5" operator="beginsWith" text="Tak">
      <formula>LEFT(B20,LEN("Tak"))="Tak"</formula>
    </cfRule>
    <cfRule type="beginsWith" dxfId="4" priority="6" operator="beginsWith" text="Nie">
      <formula>LEFT(B20,LEN("Nie"))="Nie"</formula>
    </cfRule>
  </conditionalFormatting>
  <conditionalFormatting sqref="B23:AB23">
    <cfRule type="beginsWith" dxfId="3" priority="9" operator="beginsWith" text="Tak">
      <formula>LEFT(B23,LEN("Tak"))="Tak"</formula>
    </cfRule>
    <cfRule type="beginsWith" dxfId="2" priority="10" operator="beginsWith" text="Nie">
      <formula>LEFT(B23,LEN("Nie"))="Nie"</formula>
    </cfRule>
  </conditionalFormatting>
  <conditionalFormatting sqref="B26:AB26">
    <cfRule type="beginsWith" dxfId="1" priority="11" operator="beginsWith" text="Tak">
      <formula>LEFT(B26,LEN("Tak"))="Tak"</formula>
    </cfRule>
    <cfRule type="beginsWith" dxfId="0" priority="12" operator="beginsWith" text="Nie">
      <formula>LEFT(B26,LEN("Nie"))="Nie"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2</dc:subject>
  <dc:creator>http://www.publink.com/</dc:creator>
  <cp:keywords>wpf, wieloletnia prognoza finansowa, wpf asystent</cp:keywords>
  <cp:lastModifiedBy>Renata Gos</cp:lastModifiedBy>
  <cp:lastPrinted>2025-11-18T13:11:21Z</cp:lastPrinted>
  <dcterms:created xsi:type="dcterms:W3CDTF">2025-11-18T13:05:11Z</dcterms:created>
  <dcterms:modified xsi:type="dcterms:W3CDTF">2025-11-18T13:12:12Z</dcterms:modified>
</cp:coreProperties>
</file>