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os\Desktop\WPF 19-11-2025 —\"/>
    </mc:Choice>
  </mc:AlternateContent>
  <xr:revisionPtr revIDLastSave="0" documentId="13_ncr:1_{ABFBF9B4-308A-4347-A505-FA01B6863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2" sheetId="1" r:id="rId1"/>
  </sheets>
  <calcPr calcId="191029"/>
</workbook>
</file>

<file path=xl/calcChain.xml><?xml version="1.0" encoding="utf-8"?>
<calcChain xmlns="http://schemas.openxmlformats.org/spreadsheetml/2006/main">
  <c r="Z8" i="1" l="1"/>
  <c r="Z13" i="1"/>
  <c r="Z16" i="1"/>
  <c r="Z15" i="1" s="1"/>
  <c r="Z17" i="1"/>
  <c r="Z19" i="1"/>
  <c r="Z22" i="1"/>
  <c r="AA8" i="1"/>
  <c r="AA13" i="1"/>
  <c r="AA16" i="1"/>
  <c r="AA17" i="1"/>
  <c r="AA19" i="1"/>
  <c r="AA22" i="1"/>
  <c r="R8" i="1"/>
  <c r="S8" i="1"/>
  <c r="T8" i="1"/>
  <c r="U8" i="1"/>
  <c r="V8" i="1"/>
  <c r="W8" i="1"/>
  <c r="X8" i="1"/>
  <c r="Y8" i="1"/>
  <c r="R13" i="1"/>
  <c r="S13" i="1"/>
  <c r="T13" i="1"/>
  <c r="U13" i="1"/>
  <c r="V13" i="1"/>
  <c r="W13" i="1"/>
  <c r="X13" i="1"/>
  <c r="Y13" i="1"/>
  <c r="R16" i="1"/>
  <c r="S16" i="1"/>
  <c r="T16" i="1"/>
  <c r="U16" i="1"/>
  <c r="V16" i="1"/>
  <c r="W16" i="1"/>
  <c r="X16" i="1"/>
  <c r="Y16" i="1"/>
  <c r="R17" i="1"/>
  <c r="S17" i="1"/>
  <c r="T17" i="1"/>
  <c r="U17" i="1"/>
  <c r="V17" i="1"/>
  <c r="W17" i="1"/>
  <c r="X17" i="1"/>
  <c r="Y17" i="1"/>
  <c r="R19" i="1"/>
  <c r="R18" i="1" s="1"/>
  <c r="S19" i="1"/>
  <c r="T19" i="1"/>
  <c r="U19" i="1"/>
  <c r="V19" i="1"/>
  <c r="W19" i="1"/>
  <c r="X19" i="1"/>
  <c r="Y19" i="1"/>
  <c r="R22" i="1"/>
  <c r="S22" i="1"/>
  <c r="T22" i="1"/>
  <c r="U22" i="1"/>
  <c r="V22" i="1"/>
  <c r="W22" i="1"/>
  <c r="X22" i="1"/>
  <c r="Y22" i="1"/>
  <c r="L8" i="1"/>
  <c r="M8" i="1"/>
  <c r="N8" i="1"/>
  <c r="O8" i="1"/>
  <c r="P8" i="1"/>
  <c r="Q8" i="1"/>
  <c r="L13" i="1"/>
  <c r="M13" i="1"/>
  <c r="N13" i="1"/>
  <c r="O13" i="1"/>
  <c r="P13" i="1"/>
  <c r="Q13" i="1"/>
  <c r="L16" i="1"/>
  <c r="M16" i="1"/>
  <c r="N16" i="1"/>
  <c r="O16" i="1"/>
  <c r="P16" i="1"/>
  <c r="Q16" i="1"/>
  <c r="L17" i="1"/>
  <c r="M17" i="1"/>
  <c r="N17" i="1"/>
  <c r="O17" i="1"/>
  <c r="P17" i="1"/>
  <c r="Q17" i="1"/>
  <c r="L19" i="1"/>
  <c r="M19" i="1"/>
  <c r="N19" i="1"/>
  <c r="O19" i="1"/>
  <c r="P19" i="1"/>
  <c r="Q19" i="1"/>
  <c r="L22" i="1"/>
  <c r="M22" i="1"/>
  <c r="N22" i="1"/>
  <c r="O22" i="1"/>
  <c r="P22" i="1"/>
  <c r="Q22" i="1"/>
  <c r="Z18" i="1" l="1"/>
  <c r="Z6" i="1"/>
  <c r="Z5" i="1"/>
  <c r="X18" i="1"/>
  <c r="Z7" i="1"/>
  <c r="Z4" i="1" s="1"/>
  <c r="L15" i="1"/>
  <c r="L7" i="1"/>
  <c r="L18" i="1"/>
  <c r="T18" i="1"/>
  <c r="U15" i="1"/>
  <c r="R6" i="1"/>
  <c r="N18" i="1"/>
  <c r="N15" i="1"/>
  <c r="V15" i="1"/>
  <c r="S15" i="1"/>
  <c r="Y7" i="1"/>
  <c r="W18" i="1"/>
  <c r="S18" i="1"/>
  <c r="Y15" i="1"/>
  <c r="S7" i="1"/>
  <c r="O18" i="1"/>
  <c r="O15" i="1"/>
  <c r="S6" i="1"/>
  <c r="Y18" i="1"/>
  <c r="W15" i="1"/>
  <c r="T15" i="1"/>
  <c r="U6" i="1"/>
  <c r="R15" i="1"/>
  <c r="X7" i="1"/>
  <c r="V18" i="1"/>
  <c r="W5" i="1"/>
  <c r="U18" i="1"/>
  <c r="Y6" i="1"/>
  <c r="V5" i="1"/>
  <c r="N6" i="1"/>
  <c r="X6" i="1"/>
  <c r="U5" i="1"/>
  <c r="W6" i="1"/>
  <c r="T5" i="1"/>
  <c r="V6" i="1"/>
  <c r="X15" i="1"/>
  <c r="X4" i="1" s="1"/>
  <c r="R7" i="1"/>
  <c r="P15" i="1"/>
  <c r="T6" i="1"/>
  <c r="W7" i="1"/>
  <c r="W4" i="1" s="1"/>
  <c r="S5" i="1"/>
  <c r="P6" i="1"/>
  <c r="V7" i="1"/>
  <c r="R5" i="1"/>
  <c r="U7" i="1"/>
  <c r="T7" i="1"/>
  <c r="Q15" i="1"/>
  <c r="Y5" i="1"/>
  <c r="X5" i="1"/>
  <c r="M18" i="1"/>
  <c r="M7" i="1"/>
  <c r="O6" i="1"/>
  <c r="P18" i="1"/>
  <c r="M6" i="1"/>
  <c r="L6" i="1"/>
  <c r="Q5" i="1"/>
  <c r="P5" i="1"/>
  <c r="O5" i="1"/>
  <c r="Q18" i="1"/>
  <c r="M15" i="1"/>
  <c r="N7" i="1"/>
  <c r="Q6" i="1"/>
  <c r="M5" i="1"/>
  <c r="N5" i="1"/>
  <c r="L5" i="1"/>
  <c r="Q7" i="1"/>
  <c r="P7" i="1"/>
  <c r="O7" i="1"/>
  <c r="AB22" i="1"/>
  <c r="K22" i="1"/>
  <c r="J22" i="1"/>
  <c r="I22" i="1"/>
  <c r="H22" i="1"/>
  <c r="G22" i="1"/>
  <c r="F22" i="1"/>
  <c r="AB19" i="1"/>
  <c r="AB18" i="1" s="1"/>
  <c r="K19" i="1"/>
  <c r="J19" i="1"/>
  <c r="I19" i="1"/>
  <c r="H19" i="1"/>
  <c r="G19" i="1"/>
  <c r="F19" i="1"/>
  <c r="AB17" i="1"/>
  <c r="K17" i="1"/>
  <c r="J17" i="1"/>
  <c r="I17" i="1"/>
  <c r="H17" i="1"/>
  <c r="G17" i="1"/>
  <c r="F17" i="1"/>
  <c r="AB16" i="1"/>
  <c r="AA15" i="1" s="1"/>
  <c r="K16" i="1"/>
  <c r="J16" i="1"/>
  <c r="I16" i="1"/>
  <c r="H16" i="1"/>
  <c r="G16" i="1"/>
  <c r="F16" i="1"/>
  <c r="AB13" i="1"/>
  <c r="AA6" i="1" s="1"/>
  <c r="K13" i="1"/>
  <c r="J13" i="1"/>
  <c r="I13" i="1"/>
  <c r="H13" i="1"/>
  <c r="G13" i="1"/>
  <c r="F13" i="1"/>
  <c r="AB8" i="1"/>
  <c r="K8" i="1"/>
  <c r="J8" i="1"/>
  <c r="I8" i="1"/>
  <c r="H8" i="1"/>
  <c r="G8" i="1"/>
  <c r="F8" i="1"/>
  <c r="L4" i="1" l="1"/>
  <c r="Y4" i="1"/>
  <c r="H7" i="1"/>
  <c r="AB5" i="1"/>
  <c r="U4" i="1"/>
  <c r="S4" i="1"/>
  <c r="K15" i="1"/>
  <c r="AA5" i="1"/>
  <c r="M4" i="1"/>
  <c r="F18" i="1"/>
  <c r="G18" i="1"/>
  <c r="T4" i="1"/>
  <c r="AA7" i="1"/>
  <c r="AA18" i="1"/>
  <c r="O4" i="1"/>
  <c r="H18" i="1"/>
  <c r="F6" i="1"/>
  <c r="P4" i="1"/>
  <c r="AB6" i="1"/>
  <c r="F15" i="1"/>
  <c r="N4" i="1"/>
  <c r="V4" i="1"/>
  <c r="R4" i="1"/>
  <c r="Q4" i="1"/>
  <c r="K18" i="1"/>
  <c r="F5" i="1"/>
  <c r="K6" i="1"/>
  <c r="J18" i="1"/>
  <c r="G5" i="1"/>
  <c r="AB15" i="1"/>
  <c r="J5" i="1"/>
  <c r="K5" i="1"/>
  <c r="G6" i="1"/>
  <c r="J6" i="1"/>
  <c r="I5" i="1"/>
  <c r="J15" i="1"/>
  <c r="H6" i="1"/>
  <c r="K7" i="1"/>
  <c r="H15" i="1"/>
  <c r="H4" i="1" s="1"/>
  <c r="I18" i="1"/>
  <c r="I6" i="1"/>
  <c r="I15" i="1"/>
  <c r="G15" i="1"/>
  <c r="J7" i="1"/>
  <c r="I7" i="1"/>
  <c r="H5" i="1"/>
  <c r="AB7" i="1"/>
  <c r="F7" i="1"/>
  <c r="G7" i="1"/>
  <c r="AA4" i="1" l="1"/>
  <c r="AB4" i="1"/>
  <c r="K4" i="1"/>
  <c r="G4" i="1"/>
  <c r="F4" i="1"/>
  <c r="J4" i="1"/>
  <c r="I4" i="1"/>
</calcChain>
</file>

<file path=xl/sharedStrings.xml><?xml version="1.0" encoding="utf-8"?>
<sst xmlns="http://schemas.openxmlformats.org/spreadsheetml/2006/main" count="161" uniqueCount="128">
  <si>
    <t>Lp.</t>
  </si>
  <si>
    <t>Nazwa i cel</t>
  </si>
  <si>
    <t>Jednostka</t>
  </si>
  <si>
    <t>Od</t>
  </si>
  <si>
    <t>Do</t>
  </si>
  <si>
    <t>Nakłady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</si>
  <si>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</si>
  <si>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</si>
  <si>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</si>
  <si>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</si>
  <si>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</si>
  <si>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</si>
  <si>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</si>
  <si>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</si>
  <si>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</si>
  <si>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</si>
  <si>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</si>
  <si>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</si>
  <si>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</si>
  <si>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</si>
  <si>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</si>
  <si>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</si>
  <si>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</si>
  <si>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</si>
  <si>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</si>
  <si>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</si>
  <si>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</si>
  <si>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</si>
  <si>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</si>
  <si>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</si>
  <si>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</si>
  <si>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</si>
  <si>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</si>
  <si>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</si>
  <si>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</si>
  <si>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</si>
  <si>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</si>
  <si>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</si>
  <si>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>W Rodzinie - Usługi społeczne na rzecz rodzin</t>
  </si>
  <si>
    <t>POWIATOWE CENTRUM POMOCY RODZINIE</t>
  </si>
  <si>
    <t>1.1.1.2</t>
  </si>
  <si>
    <t>Poprawa cyberbezpieczeństwa w Starostwie Powiatowym w Otwocku - Poprawa cyberbezpieczeństwa w Starostwie Powiatowym w Otwocku</t>
  </si>
  <si>
    <t>STAROSTWO POWIATOWE W OTWOCKU</t>
  </si>
  <si>
    <t>1.1.1.3</t>
  </si>
  <si>
    <t xml:space="preserve">Rozwiązania cyfrowe dla mazowieckiej administracji - </t>
  </si>
  <si>
    <t>1.1.1.4</t>
  </si>
  <si>
    <t xml:space="preserve">Nukleonik stawia na jakość kształcenia zawodowego - </t>
  </si>
  <si>
    <t>ZESPÓŁ SZKÓŁ NR 2 IM. MARII SKŁODOWSKIEJ-CURIE W OTWOCKU</t>
  </si>
  <si>
    <t>1.1.2</t>
  </si>
  <si>
    <t>1.1.2.1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</si>
  <si>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</si>
  <si>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</si>
  <si>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</si>
  <si>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</si>
  <si>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</si>
  <si>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</si>
  <si>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</si>
  <si>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</si>
  <si>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>Dotacja na zadania z zakresu prowadzenia centrum interwencji kryzysowej - wspieranie zadań z zakresu prowadzenia centrum interwencji kryzysowej</t>
  </si>
  <si>
    <t>1.3.1.2</t>
  </si>
  <si>
    <t>Ośrodek koordynacyjno-rehabilitacyjno-opiekuńczy w ramach programu "Za życiem" - prowadzenie ośrodka koordynacyjno-rehabilitacyjno-opiekuńczego</t>
  </si>
  <si>
    <t>POWIATOWA PORADNIA PSYCHOLOGICZNO-PEDAGOGICZNA W OTWOCKU</t>
  </si>
  <si>
    <t>1.3.2</t>
  </si>
  <si>
    <t>1.3.2.1</t>
  </si>
  <si>
    <t>Rozbudowa dróg powiatowych Nr 2715W i Nr 2716W w miejsc. Dyzin, Jatne i Celestynów, gm. Celestynów, powiat otwocki  - poprawa stanu infrastruktury drogowej</t>
  </si>
  <si>
    <t>ZARZĄD DRÓG POWIATOWYCH W OTWOCKU Z/S W KARCZEWIE</t>
  </si>
  <si>
    <t>1.3.2.2</t>
  </si>
  <si>
    <t>Modernizacja drogi powiatowej Nr 1303W we wsi Śniadków Dolny - Poprawa stanu dróg powiatowych</t>
  </si>
  <si>
    <t>1.3.2.3</t>
  </si>
  <si>
    <t xml:space="preserve">Rozbudowa i modernizacja Domu Pomocy Społecznej Wrzos w Otwocku - Budowa Domu Pomocy Społecznej "Wrzos" </t>
  </si>
  <si>
    <t>DOM POMOCY SPOŁECZNEJ "WRZOS"</t>
  </si>
  <si>
    <t>1.3.2.4</t>
  </si>
  <si>
    <t>Modernizacja infrastruktury dróg powiatowych Powiatu Otwockiego polegająca na modernizacji przepraw przez cieki - poprawa infrastruktury drogowej</t>
  </si>
  <si>
    <t>1.3.2.5</t>
  </si>
  <si>
    <t>Modernizacja infrastruktury drogowej i mostowej na terenie Powiatu Otwockiego  - poprawa infrastruktury drogowej</t>
  </si>
  <si>
    <t>1.3.2.6</t>
  </si>
  <si>
    <t>Przebudowa drogi powiatowej Nr 2730W Nadbrzeż - Glinki - poprawa infrastruktury drogowej</t>
  </si>
  <si>
    <t>1.3.2.7</t>
  </si>
  <si>
    <t>Przebudowa/modernizacja mostu w ciągu drogi powiatowej Nr 2739W  w m. Radachówka gm. Kołbiel - poprawa infrastruktury</t>
  </si>
  <si>
    <t>1.3.2.8</t>
  </si>
  <si>
    <t>Przebudowa/modernizacja mostu w ciągu drogi powiatowej Nr 2724W   w m. Brzezinka gm. Karczew - poprawa infrastruktury</t>
  </si>
  <si>
    <t>1.3.2.9</t>
  </si>
  <si>
    <t>Przebudowa/modernizacja mostu w ciągu drogi powiatowej Nr 2730W  w m. Nadbrzeż gm. Karczew - poprawa infrastruktury</t>
  </si>
  <si>
    <t>1.3.2.10</t>
  </si>
  <si>
    <t>Przebudowa/modernizacja mostu w ciągu drogi powiatowej Nr 2746W w m. Grabianka gm. Osieck - poprawa infrastruktury</t>
  </si>
  <si>
    <t>1.3.2.11</t>
  </si>
  <si>
    <t>Modernizacja infrastruktury drogowej Powiatu Otwockiego polegająca na modernizacji przepraw przez cieki wodne  - etap II - poprawa infrastruktury drogowej</t>
  </si>
  <si>
    <t>1.3.2.12</t>
  </si>
  <si>
    <t>Opracowanie Audytu energetycznego wraz z Projektem Termomodernizacji budynku Urzędu Starostwa Powiatowego w Otwocku przy ul. Komunardów 10 - Wmiana źródeł ciepła i poprawa efektywności energetycznej w budynkach użytecznosci publicznej - audyt energetyczny</t>
  </si>
  <si>
    <t>1.3.2.13</t>
  </si>
  <si>
    <t>Budowa  hali sportowej  na terenie Specjalnego Ośrodka Szkolno-Wychowawczego Nr 1 im. Marii Konopnickiej w Otwocku
 - budowa hali sportowej</t>
  </si>
  <si>
    <t>SPECJALNY OŚRODEK SZKOLNO-WYCHOWAWCZY NR 1 IM. MARII KONOPNICKIEJ W OTWOCKU</t>
  </si>
  <si>
    <t>1.3.2.14</t>
  </si>
  <si>
    <t>Dostosowanie obiektu Specjalnego Ośrodka Szkolno-Wychowawczego Nr 2 w Otwocku do zaleceń p.poż. pokontrolnych, zgodnie z ekspertyzą techniczną dotyczącą stanu ochrony p.poż. - dostosowanie obiektu do zaleceń p.poż.</t>
  </si>
  <si>
    <t>SPECJALNY OŚRODEK SZKOLNO-WYCHOWAWCZY NR 2 W OTWOCKU</t>
  </si>
  <si>
    <t>1.3.2.15</t>
  </si>
  <si>
    <t>Prace konserwatorskie i restauratorskie budynku Kościoła p.w.Św.Wita Męczennika w Karczewie - odnowienie budynku Kościoła</t>
  </si>
  <si>
    <t>1.3.2.16</t>
  </si>
  <si>
    <t xml:space="preserve">Budowa chodnika w drodze powiatowej Nr 2709W w  Bolesławowie  - Budowa chodnika w drodze powiatowej Nr 2709W w  Bolesławowie </t>
  </si>
  <si>
    <t>1.3.2.17</t>
  </si>
  <si>
    <t>Budowa ścieżki rowerowej i chodnika w drodze powiatowej Nr 2759W ul. Narutowicza od ul. Stawowej w kikerunku S17 - Budowa ścieżki rowerowej i chodnika w drodze powiatowej Nr 2759W ul. Narutowicza od ul. Stawowej w kikerunku S17</t>
  </si>
  <si>
    <t>1.3.2.18</t>
  </si>
  <si>
    <t>Poprawa bezpieczeństwa na drodze powiatowej Nr 1315W w m. Augustówka Gm. Osieck - Poprawa bezpieczeństwa na drodze powiatowej Nr 1315W w m. Augustówka Gm. Osieck</t>
  </si>
  <si>
    <t>1.3.2.19</t>
  </si>
  <si>
    <t>Budowa ciągu pieszo-rowerowego w drodze powiatowej 2764W ul. Żeromskiego na odcinku od ul. Jałowcowej do ul. Laskowej - Budowa ciągu pieszo-rowerowego w drodze powiatowej 2764W ul. Żeromskiego na odcinku od ul. Jałowcowej do ul. Laskowej</t>
  </si>
  <si>
    <t>1.3.2.20</t>
  </si>
  <si>
    <t xml:space="preserve">Budowa budynku siedziby Starostwa Powiatowego w Otwocku oraz wybranych powiatowych jednostek organizacyjnych i wybranych służb powiatowych wraz z zagospodarowaniem terenu - poprawa warunków lokalowych </t>
  </si>
  <si>
    <t>1.3.2.21</t>
  </si>
  <si>
    <t>Rozbudowa i przebudowa drogi powiatowej Nr 2759W ul. Poniatowskiego w Otwocku - Przebudowa dróg powiatowych</t>
  </si>
  <si>
    <t>1.3.2.22</t>
  </si>
  <si>
    <t>Modernizacja drogi 2765W ul. Kołłątaja - Modernizacja drog</t>
  </si>
  <si>
    <t>1.3.2.23</t>
  </si>
  <si>
    <t>Modernizacja infrastruktury drogowej na terenie Miasta Otwocka - Modernizacja infrastruktury drogowej na terenie Miasta Otwocka</t>
  </si>
  <si>
    <t>1.3.2.24</t>
  </si>
  <si>
    <t xml:space="preserve">Projekt przebudowy ul. Warszawskiej i ul. Świderskiej obejmujący projekty kablowania sieci - </t>
  </si>
  <si>
    <t>1.3.2.25</t>
  </si>
  <si>
    <t xml:space="preserve">Projekt przebudowy DP2729W ul. Zamkowej w Otwocku Wielkim (przy jeziorze Rokola) - </t>
  </si>
  <si>
    <t>1.3.2.26</t>
  </si>
  <si>
    <t xml:space="preserve">Rozbudowa drogi powiatowej Nr 2701W w gm. Wiązowna - </t>
  </si>
  <si>
    <t>1.3.2.27</t>
  </si>
  <si>
    <t>Poprawa efektywności energetycznej budynków DPS Anielin - poprawa efektywności</t>
  </si>
  <si>
    <t>DOM POMOCY SPOŁECZNEJ "ANIELIN"</t>
  </si>
  <si>
    <t>1.3.2.28</t>
  </si>
  <si>
    <t>Poprawa efektywności energetycznej budynku DPS w Otwocku, ul. Konopnickiej 17 - Poprawa efektywności energetycznej</t>
  </si>
  <si>
    <t>DOM POMOCY SPOŁECZNEJ</t>
  </si>
  <si>
    <t>1.3.2.29</t>
  </si>
  <si>
    <t>Przebudowa DP2765W ul. Staszica od ul. Świderskiej do Ronda Sybiraków wraz z rondem - poprawa stanu dróg</t>
  </si>
  <si>
    <t>Załącznik nr 2 do Uchwały nr …........ Rady Powiatu Otwockiego z dnia 19.11.2025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</si>
</sst>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8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"/>
  <sheetViews>
    <sheetView tabSelected="1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G12" sqref="F12:G12"/>
    </sheetView>
  </sheetViews>
  <sheetFormatPr defaultRowHeight="15" x14ac:dyDescent="0.25"/>
  <cols>
    <col min="1" max="1" width="7.140625" customWidth="1"/>
    <col min="2" max="2" width="39.42578125" customWidth="1"/>
    <col min="3" max="3" width="43" customWidth="1"/>
    <col min="4" max="5" width="11.42578125" customWidth="1"/>
    <col min="6" max="11" width="14.28515625" customWidth="1"/>
    <col min="12" max="27" width="14.28515625" hidden="1" customWidth="1"/>
    <col min="28" max="28" width="14.28515625" customWidth="1"/>
  </cols>
  <sheetData>
    <row r="1" spans="1:28" x14ac:dyDescent="0.25">
      <c r="A1" t="s">
        <v>127</v>
      </c>
    </row>
    <row r="3" spans="1:2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</row>
    <row r="4" spans="1:28" ht="14.25" customHeight="1" x14ac:dyDescent="0.25">
      <c r="A4" s="2" t="s">
        <v>28</v>
      </c>
      <c r="B4" s="3" t="s">
        <v>29</v>
      </c>
      <c r="C4" s="3"/>
      <c r="D4" s="5"/>
      <c r="E4" s="5"/>
      <c r="F4" s="4">
        <f>IF(ISNUMBER(VLOOKUP("1.1",A4:AB52,6,FALSE)),ROUND(VLOOKUP("1.1",A4:AB52,6,FALSE),4),0) + IF(ISNUMBER(VLOOKUP("1.2",A4:AB52,6,FALSE)),ROUND(VLOOKUP("1.2",A4:AB52,6,FALSE),4),0) + IF(ISNUMBER(VLOOKUP("1.3",A4:AB52,6,FALSE)),ROUND(VLOOKUP("1.3",A4:AB52,6,FALSE),4),0)</f>
        <v>111727195.58</v>
      </c>
      <c r="G4" s="4">
        <f>IF(ISNUMBER(VLOOKUP("1.1",A4:AB52,7,FALSE)),ROUND(VLOOKUP("1.1",A4:AB52,7,FALSE),4),0) + IF(ISNUMBER(VLOOKUP("1.2",A4:AB52,7,FALSE)),ROUND(VLOOKUP("1.2",A4:AB52,7,FALSE),4),0) + IF(ISNUMBER(VLOOKUP("1.3",A4:AB52,7,FALSE)),ROUND(VLOOKUP("1.3",A4:AB52,7,FALSE),4),0)</f>
        <v>54584867.989999995</v>
      </c>
      <c r="H4" s="4">
        <f>IF(ISNUMBER(VLOOKUP("1.1",A4:AB52,8,FALSE)),ROUND(VLOOKUP("1.1",A4:AB52,8,FALSE),4),0) + IF(ISNUMBER(VLOOKUP("1.2",A4:AB52,8,FALSE)),ROUND(VLOOKUP("1.2",A4:AB52,8,FALSE),4),0) + IF(ISNUMBER(VLOOKUP("1.3",A4:AB52,8,FALSE)),ROUND(VLOOKUP("1.3",A4:AB52,8,FALSE),4),0)</f>
        <v>28717096</v>
      </c>
      <c r="I4" s="4">
        <f>IF(ISNUMBER(VLOOKUP("1.1",A4:AB52,9,FALSE)),ROUND(VLOOKUP("1.1",A4:AB52,9,FALSE),4),0) + IF(ISNUMBER(VLOOKUP("1.2",A4:AB52,9,FALSE)),ROUND(VLOOKUP("1.2",A4:AB52,9,FALSE),4),0) + IF(ISNUMBER(VLOOKUP("1.3",A4:AB52,9,FALSE)),ROUND(VLOOKUP("1.3",A4:AB52,9,FALSE),4),0)</f>
        <v>7886000</v>
      </c>
      <c r="J4" s="4">
        <f>IF(ISNUMBER(VLOOKUP("1.1",A4:AB52,10,FALSE)),ROUND(VLOOKUP("1.1",A4:AB52,10,FALSE),4),0) + IF(ISNUMBER(VLOOKUP("1.2",A4:AB52,10,FALSE)),ROUND(VLOOKUP("1.2",A4:AB52,10,FALSE),4),0) + IF(ISNUMBER(VLOOKUP("1.3",A4:AB52,10,FALSE)),ROUND(VLOOKUP("1.3",A4:AB52,10,FALSE),4),0)</f>
        <v>1000000</v>
      </c>
      <c r="K4" s="4">
        <f>IF(ISNUMBER(VLOOKUP("1.1",A4:AB52,11,FALSE)),ROUND(VLOOKUP("1.1",A4:AB52,11,FALSE),4),0) + IF(ISNUMBER(VLOOKUP("1.2",A4:AB52,11,FALSE)),ROUND(VLOOKUP("1.2",A4:AB52,11,FALSE),4),0) + IF(ISNUMBER(VLOOKUP("1.3",A4:AB52,11,FALSE)),ROUND(VLOOKUP("1.3",A4:AB52,11,FALSE),4),0)</f>
        <v>0</v>
      </c>
      <c r="L4" s="4">
        <f>IF(ISNUMBER(VLOOKUP("1.1",A4:AB52,12,FALSE)),ROUND(VLOOKUP("1.1",A4:AB52,12,FALSE),4),0) + IF(ISNUMBER(VLOOKUP("1.2",A4:AB52,12,FALSE)),ROUND(VLOOKUP("1.2",A4:AB52,12,FALSE),4),0) + IF(ISNUMBER(VLOOKUP("1.3",A4:AB52,12,FALSE)),ROUND(VLOOKUP("1.3",A4:AB52,12,FALSE),4),0)</f>
        <v>0</v>
      </c>
      <c r="M4" s="4">
        <f>IF(ISNUMBER(VLOOKUP("1.1",A4:AB52,13,FALSE)),ROUND(VLOOKUP("1.1",A4:AB52,13,FALSE),4),0) + IF(ISNUMBER(VLOOKUP("1.2",A4:AB52,13,FALSE)),ROUND(VLOOKUP("1.2",A4:AB52,13,FALSE),4),0) + IF(ISNUMBER(VLOOKUP("1.3",A4:AB52,13,FALSE)),ROUND(VLOOKUP("1.3",A4:AB52,13,FALSE),4),0)</f>
        <v>0</v>
      </c>
      <c r="N4" s="4">
        <f>IF(ISNUMBER(VLOOKUP("1.1",A4:AB52,14,FALSE)),ROUND(VLOOKUP("1.1",A4:AB52,14,FALSE),4),0) + IF(ISNUMBER(VLOOKUP("1.2",A4:AB52,14,FALSE)),ROUND(VLOOKUP("1.2",A4:AB52,14,FALSE),4),0) + IF(ISNUMBER(VLOOKUP("1.3",A4:AB52,14,FALSE)),ROUND(VLOOKUP("1.3",A4:AB52,14,FALSE),4),0)</f>
        <v>0</v>
      </c>
      <c r="O4" s="4">
        <f>IF(ISNUMBER(VLOOKUP("1.1",A4:AB52,15,FALSE)),ROUND(VLOOKUP("1.1",A4:AB52,15,FALSE),4),0) + IF(ISNUMBER(VLOOKUP("1.2",A4:AB52,15,FALSE)),ROUND(VLOOKUP("1.2",A4:AB52,15,FALSE),4),0) + IF(ISNUMBER(VLOOKUP("1.3",A4:AB52,15,FALSE)),ROUND(VLOOKUP("1.3",A4:AB52,15,FALSE),4),0)</f>
        <v>0</v>
      </c>
      <c r="P4" s="4">
        <f>IF(ISNUMBER(VLOOKUP("1.1",A4:AB52,16,FALSE)),ROUND(VLOOKUP("1.1",A4:AB52,16,FALSE),4),0) + IF(ISNUMBER(VLOOKUP("1.2",A4:AB52,16,FALSE)),ROUND(VLOOKUP("1.2",A4:AB52,16,FALSE),4),0) + IF(ISNUMBER(VLOOKUP("1.3",A4:AB52,16,FALSE)),ROUND(VLOOKUP("1.3",A4:AB52,16,FALSE),4),0)</f>
        <v>0</v>
      </c>
      <c r="Q4" s="4">
        <f>IF(ISNUMBER(VLOOKUP("1.1",A4:AB52,17,FALSE)),ROUND(VLOOKUP("1.1",A4:AB52,17,FALSE),4),0) + IF(ISNUMBER(VLOOKUP("1.2",A4:AB52,17,FALSE)),ROUND(VLOOKUP("1.2",A4:AB52,17,FALSE),4),0) + IF(ISNUMBER(VLOOKUP("1.3",A4:AB52,17,FALSE)),ROUND(VLOOKUP("1.3",A4:AB52,17,FALSE),4),0)</f>
        <v>0</v>
      </c>
      <c r="R4" s="4">
        <f>IF(ISNUMBER(VLOOKUP("1.1",A4:AB52,18,FALSE)),ROUND(VLOOKUP("1.1",A4:AB52,18,FALSE),4),0) + IF(ISNUMBER(VLOOKUP("1.2",A4:AB52,18,FALSE)),ROUND(VLOOKUP("1.2",A4:AB52,18,FALSE),4),0) + IF(ISNUMBER(VLOOKUP("1.3",A4:AB52,18,FALSE)),ROUND(VLOOKUP("1.3",A4:AB52,18,FALSE),4),0)</f>
        <v>0</v>
      </c>
      <c r="S4" s="4">
        <f>IF(ISNUMBER(VLOOKUP("1.1",A4:AB52,19,FALSE)),ROUND(VLOOKUP("1.1",A4:AB52,19,FALSE),4),0) + IF(ISNUMBER(VLOOKUP("1.2",A4:AB52,19,FALSE)),ROUND(VLOOKUP("1.2",A4:AB52,19,FALSE),4),0) + IF(ISNUMBER(VLOOKUP("1.3",A4:AB52,19,FALSE)),ROUND(VLOOKUP("1.3",A4:AB52,19,FALSE),4),0)</f>
        <v>0</v>
      </c>
      <c r="T4" s="4">
        <f>IF(ISNUMBER(VLOOKUP("1.1",A4:AB52,20,FALSE)),ROUND(VLOOKUP("1.1",A4:AB52,20,FALSE),4),0) + IF(ISNUMBER(VLOOKUP("1.2",A4:AB52,20,FALSE)),ROUND(VLOOKUP("1.2",A4:AB52,20,FALSE),4),0) + IF(ISNUMBER(VLOOKUP("1.3",A4:AB52,20,FALSE)),ROUND(VLOOKUP("1.3",A4:AB52,20,FALSE),4),0)</f>
        <v>0</v>
      </c>
      <c r="U4" s="4">
        <f>IF(ISNUMBER(VLOOKUP("1.1",A4:AB52,21,FALSE)),ROUND(VLOOKUP("1.1",A4:AB52,21,FALSE),4),0) + IF(ISNUMBER(VLOOKUP("1.2",A4:AB52,21,FALSE)),ROUND(VLOOKUP("1.2",A4:AB52,21,FALSE),4),0) + IF(ISNUMBER(VLOOKUP("1.3",A4:AB52,21,FALSE)),ROUND(VLOOKUP("1.3",A4:AB52,21,FALSE),4),0)</f>
        <v>0</v>
      </c>
      <c r="V4" s="4">
        <f>IF(ISNUMBER(VLOOKUP("1.1",A4:AB52,22,FALSE)),ROUND(VLOOKUP("1.1",A4:AB52,22,FALSE),4),0) + IF(ISNUMBER(VLOOKUP("1.2",A4:AB52,22,FALSE)),ROUND(VLOOKUP("1.2",A4:AB52,22,FALSE),4),0) + IF(ISNUMBER(VLOOKUP("1.3",A4:AB52,22,FALSE)),ROUND(VLOOKUP("1.3",A4:AB52,22,FALSE),4),0)</f>
        <v>0</v>
      </c>
      <c r="W4" s="4">
        <f>IF(ISNUMBER(VLOOKUP("1.1",A4:AB52,23,FALSE)),ROUND(VLOOKUP("1.1",A4:AB52,23,FALSE),4),0) + IF(ISNUMBER(VLOOKUP("1.2",A4:AB52,23,FALSE)),ROUND(VLOOKUP("1.2",A4:AB52,23,FALSE),4),0) + IF(ISNUMBER(VLOOKUP("1.3",A4:AB52,23,FALSE)),ROUND(VLOOKUP("1.3",A4:AB52,23,FALSE),4),0)</f>
        <v>0</v>
      </c>
      <c r="X4" s="4">
        <f>IF(ISNUMBER(VLOOKUP("1.1",A4:AB52,24,FALSE)),ROUND(VLOOKUP("1.1",A4:AB52,24,FALSE),4),0) + IF(ISNUMBER(VLOOKUP("1.2",A4:AB52,24,FALSE)),ROUND(VLOOKUP("1.2",A4:AB52,24,FALSE),4),0) + IF(ISNUMBER(VLOOKUP("1.3",A4:AB52,24,FALSE)),ROUND(VLOOKUP("1.3",A4:AB52,24,FALSE),4),0)</f>
        <v>0</v>
      </c>
      <c r="Y4" s="4">
        <f>IF(ISNUMBER(VLOOKUP("1.1",A4:AB52,25,FALSE)),ROUND(VLOOKUP("1.1",A4:AB52,25,FALSE),4),0) + IF(ISNUMBER(VLOOKUP("1.2",A4:AB52,25,FALSE)),ROUND(VLOOKUP("1.2",A4:AB52,25,FALSE),4),0) + IF(ISNUMBER(VLOOKUP("1.3",A4:AB52,25,FALSE)),ROUND(VLOOKUP("1.3",A4:AB52,25,FALSE),4),0)</f>
        <v>0</v>
      </c>
      <c r="Z4" s="4">
        <f>IF(ISNUMBER(VLOOKUP("1.1",A4:AB52,26,FALSE)),ROUND(VLOOKUP("1.1",A4:AB52,26,FALSE),4),0) + IF(ISNUMBER(VLOOKUP("1.2",A4:AB52,26,FALSE)),ROUND(VLOOKUP("1.2",A4:AB52,26,FALSE),4),0) + IF(ISNUMBER(VLOOKUP("1.3",A4:AB52,26,FALSE)),ROUND(VLOOKUP("1.3",A4:AB52,26,FALSE),4),0)</f>
        <v>0</v>
      </c>
      <c r="AA4" s="4">
        <f>IF(ISNUMBER(VLOOKUP("1.1",A4:AB52,27,FALSE)),ROUND(VLOOKUP("1.1",A4:AB52,27,FALSE),4),0) + IF(ISNUMBER(VLOOKUP("1.2",A4:AB52,27,FALSE)),ROUND(VLOOKUP("1.2",A4:AB52,27,FALSE),4),0) + IF(ISNUMBER(VLOOKUP("1.3",A4:AB52,27,FALSE)),ROUND(VLOOKUP("1.3",A4:AB52,27,FALSE),4),0)</f>
        <v>0</v>
      </c>
      <c r="AB4" s="4">
        <f>IF(ISNUMBER(VLOOKUP("1.1",A4:AB52,28,FALSE)),ROUND(VLOOKUP("1.1",A4:AB52,28,FALSE),4),0) + IF(ISNUMBER(VLOOKUP("1.2",A4:AB52,28,FALSE)),ROUND(VLOOKUP("1.2",A4:AB52,28,FALSE),4),0) + IF(ISNUMBER(VLOOKUP("1.3",A4:AB52,28,FALSE)),ROUND(VLOOKUP("1.3",A4:AB52,28,FALSE),4),0)</f>
        <v>92187963.989999995</v>
      </c>
    </row>
    <row r="5" spans="1:28" ht="14.25" customHeight="1" x14ac:dyDescent="0.25">
      <c r="A5" s="2" t="s">
        <v>30</v>
      </c>
      <c r="B5" s="3" t="s">
        <v>31</v>
      </c>
      <c r="C5" s="3"/>
      <c r="D5" s="5"/>
      <c r="E5" s="5"/>
      <c r="F5" s="4">
        <f>IF(ISNUMBER(VLOOKUP("1.1.1",A4:AB52,6,FALSE)),ROUND(VLOOKUP("1.1.1",A4:AB52,6,FALSE),4),0) + IF(ISNUMBER(VLOOKUP("1.2.1",A4:AB52,6,FALSE)),ROUND(VLOOKUP("1.2.1",A4:AB52,6,FALSE),4),0) + IF(ISNUMBER(VLOOKUP("1.3.1",A4:AB52,6,FALSE)),ROUND(VLOOKUP("1.3.1",A4:AB52,6,FALSE),4),0)</f>
        <v>6021456.3799999999</v>
      </c>
      <c r="G5" s="4">
        <f>IF(ISNUMBER(VLOOKUP("1.1.1",A4:AB52,7,FALSE)),ROUND(VLOOKUP("1.1.1",A4:AB52,7,FALSE),4),0) + IF(ISNUMBER(VLOOKUP("1.2.1",A4:AB52,7,FALSE)),ROUND(VLOOKUP("1.2.1",A4:AB52,7,FALSE),4),0) + IF(ISNUMBER(VLOOKUP("1.3.1",A4:AB52,7,FALSE)),ROUND(VLOOKUP("1.3.1",A4:AB52,7,FALSE),4),0)</f>
        <v>1965797.09</v>
      </c>
      <c r="H5" s="4">
        <f>IF(ISNUMBER(VLOOKUP("1.1.1",A4:AB52,8,FALSE)),ROUND(VLOOKUP("1.1.1",A4:AB52,8,FALSE),4),0) + IF(ISNUMBER(VLOOKUP("1.2.1",A4:AB52,8,FALSE)),ROUND(VLOOKUP("1.2.1",A4:AB52,8,FALSE),4),0) + IF(ISNUMBER(VLOOKUP("1.3.1",A4:AB52,8,FALSE)),ROUND(VLOOKUP("1.3.1",A4:AB52,8,FALSE),4),0)</f>
        <v>1120113</v>
      </c>
      <c r="I5" s="4">
        <f>IF(ISNUMBER(VLOOKUP("1.1.1",A4:AB52,9,FALSE)),ROUND(VLOOKUP("1.1.1",A4:AB52,9,FALSE),4),0) + IF(ISNUMBER(VLOOKUP("1.2.1",A4:AB52,9,FALSE)),ROUND(VLOOKUP("1.2.1",A4:AB52,9,FALSE),4),0) + IF(ISNUMBER(VLOOKUP("1.3.1",A4:AB52,9,FALSE)),ROUND(VLOOKUP("1.3.1",A4:AB52,9,FALSE),4),0)</f>
        <v>386000</v>
      </c>
      <c r="J5" s="4">
        <f>IF(ISNUMBER(VLOOKUP("1.1.1",A4:AB52,10,FALSE)),ROUND(VLOOKUP("1.1.1",A4:AB52,10,FALSE),4),0) + IF(ISNUMBER(VLOOKUP("1.2.1",A4:AB52,10,FALSE)),ROUND(VLOOKUP("1.2.1",A4:AB52,10,FALSE),4),0) + IF(ISNUMBER(VLOOKUP("1.3.1",A4:AB52,10,FALSE)),ROUND(VLOOKUP("1.3.1",A4:AB52,10,FALSE),4),0)</f>
        <v>0</v>
      </c>
      <c r="K5" s="4">
        <f>IF(ISNUMBER(VLOOKUP("1.1.1",A4:AB52,11,FALSE)),ROUND(VLOOKUP("1.1.1",A4:AB52,11,FALSE),4),0) + IF(ISNUMBER(VLOOKUP("1.2.1",A4:AB52,11,FALSE)),ROUND(VLOOKUP("1.2.1",A4:AB52,11,FALSE),4),0) + IF(ISNUMBER(VLOOKUP("1.3.1",A4:AB52,11,FALSE)),ROUND(VLOOKUP("1.3.1",A4:AB52,11,FALSE),4),0)</f>
        <v>0</v>
      </c>
      <c r="L5" s="4">
        <f>IF(ISNUMBER(VLOOKUP("1.1.1",A4:AB52,12,FALSE)),ROUND(VLOOKUP("1.1.1",A4:AB52,12,FALSE),4),0) + IF(ISNUMBER(VLOOKUP("1.2.1",A4:AB52,12,FALSE)),ROUND(VLOOKUP("1.2.1",A4:AB52,12,FALSE),4),0) + IF(ISNUMBER(VLOOKUP("1.3.1",A4:AB52,12,FALSE)),ROUND(VLOOKUP("1.3.1",A4:AB52,12,FALSE),4),0)</f>
        <v>0</v>
      </c>
      <c r="M5" s="4">
        <f>IF(ISNUMBER(VLOOKUP("1.1.1",A4:AB52,13,FALSE)),ROUND(VLOOKUP("1.1.1",A4:AB52,13,FALSE),4),0) + IF(ISNUMBER(VLOOKUP("1.2.1",A4:AB52,13,FALSE)),ROUND(VLOOKUP("1.2.1",A4:AB52,13,FALSE),4),0) + IF(ISNUMBER(VLOOKUP("1.3.1",A4:AB52,13,FALSE)),ROUND(VLOOKUP("1.3.1",A4:AB52,13,FALSE),4),0)</f>
        <v>0</v>
      </c>
      <c r="N5" s="4">
        <f>IF(ISNUMBER(VLOOKUP("1.1.1",A4:AB52,14,FALSE)),ROUND(VLOOKUP("1.1.1",A4:AB52,14,FALSE),4),0) + IF(ISNUMBER(VLOOKUP("1.2.1",A4:AB52,14,FALSE)),ROUND(VLOOKUP("1.2.1",A4:AB52,14,FALSE),4),0) + IF(ISNUMBER(VLOOKUP("1.3.1",A4:AB52,14,FALSE)),ROUND(VLOOKUP("1.3.1",A4:AB52,14,FALSE),4),0)</f>
        <v>0</v>
      </c>
      <c r="O5" s="4">
        <f>IF(ISNUMBER(VLOOKUP("1.1.1",A4:AB52,15,FALSE)),ROUND(VLOOKUP("1.1.1",A4:AB52,15,FALSE),4),0) + IF(ISNUMBER(VLOOKUP("1.2.1",A4:AB52,15,FALSE)),ROUND(VLOOKUP("1.2.1",A4:AB52,15,FALSE),4),0) + IF(ISNUMBER(VLOOKUP("1.3.1",A4:AB52,15,FALSE)),ROUND(VLOOKUP("1.3.1",A4:AB52,15,FALSE),4),0)</f>
        <v>0</v>
      </c>
      <c r="P5" s="4">
        <f>IF(ISNUMBER(VLOOKUP("1.1.1",A4:AB52,16,FALSE)),ROUND(VLOOKUP("1.1.1",A4:AB52,16,FALSE),4),0) + IF(ISNUMBER(VLOOKUP("1.2.1",A4:AB52,16,FALSE)),ROUND(VLOOKUP("1.2.1",A4:AB52,16,FALSE),4),0) + IF(ISNUMBER(VLOOKUP("1.3.1",A4:AB52,16,FALSE)),ROUND(VLOOKUP("1.3.1",A4:AB52,16,FALSE),4),0)</f>
        <v>0</v>
      </c>
      <c r="Q5" s="4">
        <f>IF(ISNUMBER(VLOOKUP("1.1.1",A4:AB52,17,FALSE)),ROUND(VLOOKUP("1.1.1",A4:AB52,17,FALSE),4),0) + IF(ISNUMBER(VLOOKUP("1.2.1",A4:AB52,17,FALSE)),ROUND(VLOOKUP("1.2.1",A4:AB52,17,FALSE),4),0) + IF(ISNUMBER(VLOOKUP("1.3.1",A4:AB52,17,FALSE)),ROUND(VLOOKUP("1.3.1",A4:AB52,17,FALSE),4),0)</f>
        <v>0</v>
      </c>
      <c r="R5" s="4">
        <f>IF(ISNUMBER(VLOOKUP("1.1.1",A4:AB52,18,FALSE)),ROUND(VLOOKUP("1.1.1",A4:AB52,18,FALSE),4),0) + IF(ISNUMBER(VLOOKUP("1.2.1",A4:AB52,18,FALSE)),ROUND(VLOOKUP("1.2.1",A4:AB52,18,FALSE),4),0) + IF(ISNUMBER(VLOOKUP("1.3.1",A4:AB52,18,FALSE)),ROUND(VLOOKUP("1.3.1",A4:AB52,18,FALSE),4),0)</f>
        <v>0</v>
      </c>
      <c r="S5" s="4">
        <f>IF(ISNUMBER(VLOOKUP("1.1.1",A4:AB52,19,FALSE)),ROUND(VLOOKUP("1.1.1",A4:AB52,19,FALSE),4),0) + IF(ISNUMBER(VLOOKUP("1.2.1",A4:AB52,19,FALSE)),ROUND(VLOOKUP("1.2.1",A4:AB52,19,FALSE),4),0) + IF(ISNUMBER(VLOOKUP("1.3.1",A4:AB52,19,FALSE)),ROUND(VLOOKUP("1.3.1",A4:AB52,19,FALSE),4),0)</f>
        <v>0</v>
      </c>
      <c r="T5" s="4">
        <f>IF(ISNUMBER(VLOOKUP("1.1.1",A4:AB52,20,FALSE)),ROUND(VLOOKUP("1.1.1",A4:AB52,20,FALSE),4),0) + IF(ISNUMBER(VLOOKUP("1.2.1",A4:AB52,20,FALSE)),ROUND(VLOOKUP("1.2.1",A4:AB52,20,FALSE),4),0) + IF(ISNUMBER(VLOOKUP("1.3.1",A4:AB52,20,FALSE)),ROUND(VLOOKUP("1.3.1",A4:AB52,20,FALSE),4),0)</f>
        <v>0</v>
      </c>
      <c r="U5" s="4">
        <f>IF(ISNUMBER(VLOOKUP("1.1.1",A4:AB52,21,FALSE)),ROUND(VLOOKUP("1.1.1",A4:AB52,21,FALSE),4),0) + IF(ISNUMBER(VLOOKUP("1.2.1",A4:AB52,21,FALSE)),ROUND(VLOOKUP("1.2.1",A4:AB52,21,FALSE),4),0) + IF(ISNUMBER(VLOOKUP("1.3.1",A4:AB52,21,FALSE)),ROUND(VLOOKUP("1.3.1",A4:AB52,21,FALSE),4),0)</f>
        <v>0</v>
      </c>
      <c r="V5" s="4">
        <f>IF(ISNUMBER(VLOOKUP("1.1.1",A4:AB52,22,FALSE)),ROUND(VLOOKUP("1.1.1",A4:AB52,22,FALSE),4),0) + IF(ISNUMBER(VLOOKUP("1.2.1",A4:AB52,22,FALSE)),ROUND(VLOOKUP("1.2.1",A4:AB52,22,FALSE),4),0) + IF(ISNUMBER(VLOOKUP("1.3.1",A4:AB52,22,FALSE)),ROUND(VLOOKUP("1.3.1",A4:AB52,22,FALSE),4),0)</f>
        <v>0</v>
      </c>
      <c r="W5" s="4">
        <f>IF(ISNUMBER(VLOOKUP("1.1.1",A4:AB52,23,FALSE)),ROUND(VLOOKUP("1.1.1",A4:AB52,23,FALSE),4),0) + IF(ISNUMBER(VLOOKUP("1.2.1",A4:AB52,23,FALSE)),ROUND(VLOOKUP("1.2.1",A4:AB52,23,FALSE),4),0) + IF(ISNUMBER(VLOOKUP("1.3.1",A4:AB52,23,FALSE)),ROUND(VLOOKUP("1.3.1",A4:AB52,23,FALSE),4),0)</f>
        <v>0</v>
      </c>
      <c r="X5" s="4">
        <f>IF(ISNUMBER(VLOOKUP("1.1.1",A4:AB52,24,FALSE)),ROUND(VLOOKUP("1.1.1",A4:AB52,24,FALSE),4),0) + IF(ISNUMBER(VLOOKUP("1.2.1",A4:AB52,24,FALSE)),ROUND(VLOOKUP("1.2.1",A4:AB52,24,FALSE),4),0) + IF(ISNUMBER(VLOOKUP("1.3.1",A4:AB52,24,FALSE)),ROUND(VLOOKUP("1.3.1",A4:AB52,24,FALSE),4),0)</f>
        <v>0</v>
      </c>
      <c r="Y5" s="4">
        <f>IF(ISNUMBER(VLOOKUP("1.1.1",A4:AB52,25,FALSE)),ROUND(VLOOKUP("1.1.1",A4:AB52,25,FALSE),4),0) + IF(ISNUMBER(VLOOKUP("1.2.1",A4:AB52,25,FALSE)),ROUND(VLOOKUP("1.2.1",A4:AB52,25,FALSE),4),0) + IF(ISNUMBER(VLOOKUP("1.3.1",A4:AB52,25,FALSE)),ROUND(VLOOKUP("1.3.1",A4:AB52,25,FALSE),4),0)</f>
        <v>0</v>
      </c>
      <c r="Z5" s="4">
        <f>IF(ISNUMBER(VLOOKUP("1.1.1",A4:AB52,26,FALSE)),ROUND(VLOOKUP("1.1.1",A4:AB52,26,FALSE),4),0) + IF(ISNUMBER(VLOOKUP("1.2.1",A4:AB52,26,FALSE)),ROUND(VLOOKUP("1.2.1",A4:AB52,26,FALSE),4),0) + IF(ISNUMBER(VLOOKUP("1.3.1",A4:AB52,26,FALSE)),ROUND(VLOOKUP("1.3.1",A4:AB52,26,FALSE),4),0)</f>
        <v>0</v>
      </c>
      <c r="AA5" s="4">
        <f>IF(ISNUMBER(VLOOKUP("1.1.1",A4:AB52,27,FALSE)),ROUND(VLOOKUP("1.1.1",A4:AB52,27,FALSE),4),0) + IF(ISNUMBER(VLOOKUP("1.2.1",A4:AB52,27,FALSE)),ROUND(VLOOKUP("1.2.1",A4:AB52,27,FALSE),4),0) + IF(ISNUMBER(VLOOKUP("1.3.1",A4:AB52,27,FALSE)),ROUND(VLOOKUP("1.3.1",A4:AB52,27,FALSE),4),0)</f>
        <v>0</v>
      </c>
      <c r="AB5" s="4">
        <f>IF(ISNUMBER(VLOOKUP("1.1.1",A4:AB52,28,FALSE)),ROUND(VLOOKUP("1.1.1",A4:AB52,28,FALSE),4),0) + IF(ISNUMBER(VLOOKUP("1.2.1",A4:AB52,28,FALSE)),ROUND(VLOOKUP("1.2.1",A4:AB52,28,FALSE),4),0) + IF(ISNUMBER(VLOOKUP("1.3.1",A4:AB52,28,FALSE)),ROUND(VLOOKUP("1.3.1",A4:AB52,28,FALSE),4),0)</f>
        <v>3471910.09</v>
      </c>
    </row>
    <row r="6" spans="1:28" ht="14.25" customHeight="1" x14ac:dyDescent="0.25">
      <c r="A6" s="2" t="s">
        <v>32</v>
      </c>
      <c r="B6" s="3" t="s">
        <v>33</v>
      </c>
      <c r="C6" s="3"/>
      <c r="D6" s="5"/>
      <c r="E6" s="5"/>
      <c r="F6" s="4">
        <f>IF(ISNUMBER(VLOOKUP("1.1.2",A4:AB52,6,FALSE)),ROUND(VLOOKUP("1.1.2",A4:AB52,6,FALSE),4),0) + IF(ISNUMBER(VLOOKUP("1.2.2",A4:AB52,6,FALSE)),ROUND(VLOOKUP("1.2.2",A4:AB52,6,FALSE),4),0) + IF(ISNUMBER(VLOOKUP("1.3.2",A4:AB52,6,FALSE)),ROUND(VLOOKUP("1.3.2",A4:AB52,6,FALSE),4),0)</f>
        <v>105705739.2</v>
      </c>
      <c r="G6" s="4">
        <f>IF(ISNUMBER(VLOOKUP("1.1.2",A4:AB52,7,FALSE)),ROUND(VLOOKUP("1.1.2",A4:AB52,7,FALSE),4),0) + IF(ISNUMBER(VLOOKUP("1.2.2",A4:AB52,7,FALSE)),ROUND(VLOOKUP("1.2.2",A4:AB52,7,FALSE),4),0) + IF(ISNUMBER(VLOOKUP("1.3.2",A4:AB52,7,FALSE)),ROUND(VLOOKUP("1.3.2",A4:AB52,7,FALSE),4),0)</f>
        <v>52619070.899999999</v>
      </c>
      <c r="H6" s="4">
        <f>IF(ISNUMBER(VLOOKUP("1.1.2",A4:AB52,8,FALSE)),ROUND(VLOOKUP("1.1.2",A4:AB52,8,FALSE),4),0) + IF(ISNUMBER(VLOOKUP("1.2.2",A4:AB52,8,FALSE)),ROUND(VLOOKUP("1.2.2",A4:AB52,8,FALSE),4),0) + IF(ISNUMBER(VLOOKUP("1.3.2",A4:AB52,8,FALSE)),ROUND(VLOOKUP("1.3.2",A4:AB52,8,FALSE),4),0)</f>
        <v>27596983</v>
      </c>
      <c r="I6" s="4">
        <f>IF(ISNUMBER(VLOOKUP("1.1.2",A4:AB52,9,FALSE)),ROUND(VLOOKUP("1.1.2",A4:AB52,9,FALSE),4),0) + IF(ISNUMBER(VLOOKUP("1.2.2",A4:AB52,9,FALSE)),ROUND(VLOOKUP("1.2.2",A4:AB52,9,FALSE),4),0) + IF(ISNUMBER(VLOOKUP("1.3.2",A4:AB52,9,FALSE)),ROUND(VLOOKUP("1.3.2",A4:AB52,9,FALSE),4),0)</f>
        <v>7500000</v>
      </c>
      <c r="J6" s="4">
        <f>IF(ISNUMBER(VLOOKUP("1.1.2",A4:AB52,10,FALSE)),ROUND(VLOOKUP("1.1.2",A4:AB52,10,FALSE),4),0) + IF(ISNUMBER(VLOOKUP("1.2.2",A4:AB52,10,FALSE)),ROUND(VLOOKUP("1.2.2",A4:AB52,10,FALSE),4),0) + IF(ISNUMBER(VLOOKUP("1.3.2",A4:AB52,10,FALSE)),ROUND(VLOOKUP("1.3.2",A4:AB52,10,FALSE),4),0)</f>
        <v>1000000</v>
      </c>
      <c r="K6" s="4">
        <f>IF(ISNUMBER(VLOOKUP("1.1.2",A4:AB52,11,FALSE)),ROUND(VLOOKUP("1.1.2",A4:AB52,11,FALSE),4),0) + IF(ISNUMBER(VLOOKUP("1.2.2",A4:AB52,11,FALSE)),ROUND(VLOOKUP("1.2.2",A4:AB52,11,FALSE),4),0) + IF(ISNUMBER(VLOOKUP("1.3.2",A4:AB52,11,FALSE)),ROUND(VLOOKUP("1.3.2",A4:AB52,11,FALSE),4),0)</f>
        <v>0</v>
      </c>
      <c r="L6" s="4">
        <f>IF(ISNUMBER(VLOOKUP("1.1.2",A4:AB52,12,FALSE)),ROUND(VLOOKUP("1.1.2",A4:AB52,12,FALSE),4),0) + IF(ISNUMBER(VLOOKUP("1.2.2",A4:AB52,12,FALSE)),ROUND(VLOOKUP("1.2.2",A4:AB52,12,FALSE),4),0) + IF(ISNUMBER(VLOOKUP("1.3.2",A4:AB52,12,FALSE)),ROUND(VLOOKUP("1.3.2",A4:AB52,12,FALSE),4),0)</f>
        <v>0</v>
      </c>
      <c r="M6" s="4">
        <f>IF(ISNUMBER(VLOOKUP("1.1.2",A4:AB52,13,FALSE)),ROUND(VLOOKUP("1.1.2",A4:AB52,13,FALSE),4),0) + IF(ISNUMBER(VLOOKUP("1.2.2",A4:AB52,13,FALSE)),ROUND(VLOOKUP("1.2.2",A4:AB52,13,FALSE),4),0) + IF(ISNUMBER(VLOOKUP("1.3.2",A4:AB52,13,FALSE)),ROUND(VLOOKUP("1.3.2",A4:AB52,13,FALSE),4),0)</f>
        <v>0</v>
      </c>
      <c r="N6" s="4">
        <f>IF(ISNUMBER(VLOOKUP("1.1.2",A4:AB52,14,FALSE)),ROUND(VLOOKUP("1.1.2",A4:AB52,14,FALSE),4),0) + IF(ISNUMBER(VLOOKUP("1.2.2",A4:AB52,14,FALSE)),ROUND(VLOOKUP("1.2.2",A4:AB52,14,FALSE),4),0) + IF(ISNUMBER(VLOOKUP("1.3.2",A4:AB52,14,FALSE)),ROUND(VLOOKUP("1.3.2",A4:AB52,14,FALSE),4),0)</f>
        <v>0</v>
      </c>
      <c r="O6" s="4">
        <f>IF(ISNUMBER(VLOOKUP("1.1.2",A4:AB52,15,FALSE)),ROUND(VLOOKUP("1.1.2",A4:AB52,15,FALSE),4),0) + IF(ISNUMBER(VLOOKUP("1.2.2",A4:AB52,15,FALSE)),ROUND(VLOOKUP("1.2.2",A4:AB52,15,FALSE),4),0) + IF(ISNUMBER(VLOOKUP("1.3.2",A4:AB52,15,FALSE)),ROUND(VLOOKUP("1.3.2",A4:AB52,15,FALSE),4),0)</f>
        <v>0</v>
      </c>
      <c r="P6" s="4">
        <f>IF(ISNUMBER(VLOOKUP("1.1.2",A4:AB52,16,FALSE)),ROUND(VLOOKUP("1.1.2",A4:AB52,16,FALSE),4),0) + IF(ISNUMBER(VLOOKUP("1.2.2",A4:AB52,16,FALSE)),ROUND(VLOOKUP("1.2.2",A4:AB52,16,FALSE),4),0) + IF(ISNUMBER(VLOOKUP("1.3.2",A4:AB52,16,FALSE)),ROUND(VLOOKUP("1.3.2",A4:AB52,16,FALSE),4),0)</f>
        <v>0</v>
      </c>
      <c r="Q6" s="4">
        <f>IF(ISNUMBER(VLOOKUP("1.1.2",A4:AB52,17,FALSE)),ROUND(VLOOKUP("1.1.2",A4:AB52,17,FALSE),4),0) + IF(ISNUMBER(VLOOKUP("1.2.2",A4:AB52,17,FALSE)),ROUND(VLOOKUP("1.2.2",A4:AB52,17,FALSE),4),0) + IF(ISNUMBER(VLOOKUP("1.3.2",A4:AB52,17,FALSE)),ROUND(VLOOKUP("1.3.2",A4:AB52,17,FALSE),4),0)</f>
        <v>0</v>
      </c>
      <c r="R6" s="4">
        <f>IF(ISNUMBER(VLOOKUP("1.1.2",A4:AB52,18,FALSE)),ROUND(VLOOKUP("1.1.2",A4:AB52,18,FALSE),4),0) + IF(ISNUMBER(VLOOKUP("1.2.2",A4:AB52,18,FALSE)),ROUND(VLOOKUP("1.2.2",A4:AB52,18,FALSE),4),0) + IF(ISNUMBER(VLOOKUP("1.3.2",A4:AB52,18,FALSE)),ROUND(VLOOKUP("1.3.2",A4:AB52,18,FALSE),4),0)</f>
        <v>0</v>
      </c>
      <c r="S6" s="4">
        <f>IF(ISNUMBER(VLOOKUP("1.1.2",A4:AB52,19,FALSE)),ROUND(VLOOKUP("1.1.2",A4:AB52,19,FALSE),4),0) + IF(ISNUMBER(VLOOKUP("1.2.2",A4:AB52,19,FALSE)),ROUND(VLOOKUP("1.2.2",A4:AB52,19,FALSE),4),0) + IF(ISNUMBER(VLOOKUP("1.3.2",A4:AB52,19,FALSE)),ROUND(VLOOKUP("1.3.2",A4:AB52,19,FALSE),4),0)</f>
        <v>0</v>
      </c>
      <c r="T6" s="4">
        <f>IF(ISNUMBER(VLOOKUP("1.1.2",A4:AB52,20,FALSE)),ROUND(VLOOKUP("1.1.2",A4:AB52,20,FALSE),4),0) + IF(ISNUMBER(VLOOKUP("1.2.2",A4:AB52,20,FALSE)),ROUND(VLOOKUP("1.2.2",A4:AB52,20,FALSE),4),0) + IF(ISNUMBER(VLOOKUP("1.3.2",A4:AB52,20,FALSE)),ROUND(VLOOKUP("1.3.2",A4:AB52,20,FALSE),4),0)</f>
        <v>0</v>
      </c>
      <c r="U6" s="4">
        <f>IF(ISNUMBER(VLOOKUP("1.1.2",A4:AB52,21,FALSE)),ROUND(VLOOKUP("1.1.2",A4:AB52,21,FALSE),4),0) + IF(ISNUMBER(VLOOKUP("1.2.2",A4:AB52,21,FALSE)),ROUND(VLOOKUP("1.2.2",A4:AB52,21,FALSE),4),0) + IF(ISNUMBER(VLOOKUP("1.3.2",A4:AB52,21,FALSE)),ROUND(VLOOKUP("1.3.2",A4:AB52,21,FALSE),4),0)</f>
        <v>0</v>
      </c>
      <c r="V6" s="4">
        <f>IF(ISNUMBER(VLOOKUP("1.1.2",A4:AB52,22,FALSE)),ROUND(VLOOKUP("1.1.2",A4:AB52,22,FALSE),4),0) + IF(ISNUMBER(VLOOKUP("1.2.2",A4:AB52,22,FALSE)),ROUND(VLOOKUP("1.2.2",A4:AB52,22,FALSE),4),0) + IF(ISNUMBER(VLOOKUP("1.3.2",A4:AB52,22,FALSE)),ROUND(VLOOKUP("1.3.2",A4:AB52,22,FALSE),4),0)</f>
        <v>0</v>
      </c>
      <c r="W6" s="4">
        <f>IF(ISNUMBER(VLOOKUP("1.1.2",A4:AB52,23,FALSE)),ROUND(VLOOKUP("1.1.2",A4:AB52,23,FALSE),4),0) + IF(ISNUMBER(VLOOKUP("1.2.2",A4:AB52,23,FALSE)),ROUND(VLOOKUP("1.2.2",A4:AB52,23,FALSE),4),0) + IF(ISNUMBER(VLOOKUP("1.3.2",A4:AB52,23,FALSE)),ROUND(VLOOKUP("1.3.2",A4:AB52,23,FALSE),4),0)</f>
        <v>0</v>
      </c>
      <c r="X6" s="4">
        <f>IF(ISNUMBER(VLOOKUP("1.1.2",A4:AB52,24,FALSE)),ROUND(VLOOKUP("1.1.2",A4:AB52,24,FALSE),4),0) + IF(ISNUMBER(VLOOKUP("1.2.2",A4:AB52,24,FALSE)),ROUND(VLOOKUP("1.2.2",A4:AB52,24,FALSE),4),0) + IF(ISNUMBER(VLOOKUP("1.3.2",A4:AB52,24,FALSE)),ROUND(VLOOKUP("1.3.2",A4:AB52,24,FALSE),4),0)</f>
        <v>0</v>
      </c>
      <c r="Y6" s="4">
        <f>IF(ISNUMBER(VLOOKUP("1.1.2",A4:AB52,25,FALSE)),ROUND(VLOOKUP("1.1.2",A4:AB52,25,FALSE),4),0) + IF(ISNUMBER(VLOOKUP("1.2.2",A4:AB52,25,FALSE)),ROUND(VLOOKUP("1.2.2",A4:AB52,25,FALSE),4),0) + IF(ISNUMBER(VLOOKUP("1.3.2",A4:AB52,25,FALSE)),ROUND(VLOOKUP("1.3.2",A4:AB52,25,FALSE),4),0)</f>
        <v>0</v>
      </c>
      <c r="Z6" s="4">
        <f>IF(ISNUMBER(VLOOKUP("1.1.2",A4:AB52,26,FALSE)),ROUND(VLOOKUP("1.1.2",A4:AB52,26,FALSE),4),0) + IF(ISNUMBER(VLOOKUP("1.2.2",A4:AB52,26,FALSE)),ROUND(VLOOKUP("1.2.2",A4:AB52,26,FALSE),4),0) + IF(ISNUMBER(VLOOKUP("1.3.2",A4:AB52,26,FALSE)),ROUND(VLOOKUP("1.3.2",A4:AB52,26,FALSE),4),0)</f>
        <v>0</v>
      </c>
      <c r="AA6" s="4">
        <f>IF(ISNUMBER(VLOOKUP("1.1.2",A4:AB52,27,FALSE)),ROUND(VLOOKUP("1.1.2",A4:AB52,27,FALSE),4),0) + IF(ISNUMBER(VLOOKUP("1.2.2",A4:AB52,27,FALSE)),ROUND(VLOOKUP("1.2.2",A4:AB52,27,FALSE),4),0) + IF(ISNUMBER(VLOOKUP("1.3.2",A4:AB52,27,FALSE)),ROUND(VLOOKUP("1.3.2",A4:AB52,27,FALSE),4),0)</f>
        <v>0</v>
      </c>
      <c r="AB6" s="4">
        <f>IF(ISNUMBER(VLOOKUP("1.1.2",A4:AB52,28,FALSE)),ROUND(VLOOKUP("1.1.2",A4:AB52,28,FALSE),4),0) + IF(ISNUMBER(VLOOKUP("1.2.2",A4:AB52,28,FALSE)),ROUND(VLOOKUP("1.2.2",A4:AB52,28,FALSE),4),0) + IF(ISNUMBER(VLOOKUP("1.3.2",A4:AB52,28,FALSE)),ROUND(VLOOKUP("1.3.2",A4:AB52,28,FALSE),4),0)</f>
        <v>88716053.899999991</v>
      </c>
    </row>
    <row r="7" spans="1:28" ht="65.650000000000006" customHeight="1" x14ac:dyDescent="0.25">
      <c r="A7" s="2" t="s">
        <v>34</v>
      </c>
      <c r="B7" s="3" t="s">
        <v>35</v>
      </c>
      <c r="C7" s="3"/>
      <c r="D7" s="5"/>
      <c r="E7" s="5"/>
      <c r="F7" s="4">
        <f>IF(ISNUMBER(VLOOKUP("1.1.1",A4:AB52,6,FALSE)),ROUND(VLOOKUP("1.1.1",A4:AB52,6,FALSE),4),0) + IF(ISNUMBER(VLOOKUP("1.1.2",A4:AB52,6,FALSE)),ROUND(VLOOKUP("1.1.2",A4:AB52,6,FALSE),4),0)</f>
        <v>3127588.58</v>
      </c>
      <c r="G7" s="4">
        <f>IF(ISNUMBER(VLOOKUP("1.1.1",A4:AB52,7,FALSE)),ROUND(VLOOKUP("1.1.1",A4:AB52,7,FALSE),4),0) + IF(ISNUMBER(VLOOKUP("1.1.2",A4:AB52,7,FALSE)),ROUND(VLOOKUP("1.1.2",A4:AB52,7,FALSE),4),0)</f>
        <v>1716850.4100000001</v>
      </c>
      <c r="H7" s="4">
        <f>IF(ISNUMBER(VLOOKUP("1.1.1",A4:AB52,8,FALSE)),ROUND(VLOOKUP("1.1.1",A4:AB52,8,FALSE),4),0) + IF(ISNUMBER(VLOOKUP("1.1.2",A4:AB52,8,FALSE)),ROUND(VLOOKUP("1.1.2",A4:AB52,8,FALSE),4),0)</f>
        <v>697933</v>
      </c>
      <c r="I7" s="4">
        <f>IF(ISNUMBER(VLOOKUP("1.1.1",A4:AB52,9,FALSE)),ROUND(VLOOKUP("1.1.1",A4:AB52,9,FALSE),4),0) + IF(ISNUMBER(VLOOKUP("1.1.2",A4:AB52,9,FALSE)),ROUND(VLOOKUP("1.1.2",A4:AB52,9,FALSE),4),0)</f>
        <v>386000</v>
      </c>
      <c r="J7" s="4">
        <f>IF(ISNUMBER(VLOOKUP("1.1.1",A4:AB52,10,FALSE)),ROUND(VLOOKUP("1.1.1",A4:AB52,10,FALSE),4),0) + IF(ISNUMBER(VLOOKUP("1.1.2",A4:AB52,10,FALSE)),ROUND(VLOOKUP("1.1.2",A4:AB52,10,FALSE),4),0)</f>
        <v>0</v>
      </c>
      <c r="K7" s="4">
        <f>IF(ISNUMBER(VLOOKUP("1.1.1",A4:AB52,11,FALSE)),ROUND(VLOOKUP("1.1.1",A4:AB52,11,FALSE),4),0) + IF(ISNUMBER(VLOOKUP("1.1.2",A4:AB52,11,FALSE)),ROUND(VLOOKUP("1.1.2",A4:AB52,11,FALSE),4),0)</f>
        <v>0</v>
      </c>
      <c r="L7" s="4">
        <f>IF(ISNUMBER(VLOOKUP("1.1.1",A4:AB52,12,FALSE)),ROUND(VLOOKUP("1.1.1",A4:AB52,12,FALSE),4),0) + IF(ISNUMBER(VLOOKUP("1.1.2",A4:AB52,12,FALSE)),ROUND(VLOOKUP("1.1.2",A4:AB52,12,FALSE),4),0)</f>
        <v>0</v>
      </c>
      <c r="M7" s="4">
        <f>IF(ISNUMBER(VLOOKUP("1.1.1",A4:AB52,13,FALSE)),ROUND(VLOOKUP("1.1.1",A4:AB52,13,FALSE),4),0) + IF(ISNUMBER(VLOOKUP("1.1.2",A4:AB52,13,FALSE)),ROUND(VLOOKUP("1.1.2",A4:AB52,13,FALSE),4),0)</f>
        <v>0</v>
      </c>
      <c r="N7" s="4">
        <f>IF(ISNUMBER(VLOOKUP("1.1.1",A4:AB52,14,FALSE)),ROUND(VLOOKUP("1.1.1",A4:AB52,14,FALSE),4),0) + IF(ISNUMBER(VLOOKUP("1.1.2",A4:AB52,14,FALSE)),ROUND(VLOOKUP("1.1.2",A4:AB52,14,FALSE),4),0)</f>
        <v>0</v>
      </c>
      <c r="O7" s="4">
        <f>IF(ISNUMBER(VLOOKUP("1.1.1",A4:AB52,15,FALSE)),ROUND(VLOOKUP("1.1.1",A4:AB52,15,FALSE),4),0) + IF(ISNUMBER(VLOOKUP("1.1.2",A4:AB52,15,FALSE)),ROUND(VLOOKUP("1.1.2",A4:AB52,15,FALSE),4),0)</f>
        <v>0</v>
      </c>
      <c r="P7" s="4">
        <f>IF(ISNUMBER(VLOOKUP("1.1.1",A4:AB52,16,FALSE)),ROUND(VLOOKUP("1.1.1",A4:AB52,16,FALSE),4),0) + IF(ISNUMBER(VLOOKUP("1.1.2",A4:AB52,16,FALSE)),ROUND(VLOOKUP("1.1.2",A4:AB52,16,FALSE),4),0)</f>
        <v>0</v>
      </c>
      <c r="Q7" s="4">
        <f>IF(ISNUMBER(VLOOKUP("1.1.1",A4:AB52,17,FALSE)),ROUND(VLOOKUP("1.1.1",A4:AB52,17,FALSE),4),0) + IF(ISNUMBER(VLOOKUP("1.1.2",A4:AB52,17,FALSE)),ROUND(VLOOKUP("1.1.2",A4:AB52,17,FALSE),4),0)</f>
        <v>0</v>
      </c>
      <c r="R7" s="4">
        <f>IF(ISNUMBER(VLOOKUP("1.1.1",A4:AB52,18,FALSE)),ROUND(VLOOKUP("1.1.1",A4:AB52,18,FALSE),4),0) + IF(ISNUMBER(VLOOKUP("1.1.2",A4:AB52,18,FALSE)),ROUND(VLOOKUP("1.1.2",A4:AB52,18,FALSE),4),0)</f>
        <v>0</v>
      </c>
      <c r="S7" s="4">
        <f>IF(ISNUMBER(VLOOKUP("1.1.1",A4:AB52,19,FALSE)),ROUND(VLOOKUP("1.1.1",A4:AB52,19,FALSE),4),0) + IF(ISNUMBER(VLOOKUP("1.1.2",A4:AB52,19,FALSE)),ROUND(VLOOKUP("1.1.2",A4:AB52,19,FALSE),4),0)</f>
        <v>0</v>
      </c>
      <c r="T7" s="4">
        <f>IF(ISNUMBER(VLOOKUP("1.1.1",A4:AB52,20,FALSE)),ROUND(VLOOKUP("1.1.1",A4:AB52,20,FALSE),4),0) + IF(ISNUMBER(VLOOKUP("1.1.2",A4:AB52,20,FALSE)),ROUND(VLOOKUP("1.1.2",A4:AB52,20,FALSE),4),0)</f>
        <v>0</v>
      </c>
      <c r="U7" s="4">
        <f>IF(ISNUMBER(VLOOKUP("1.1.1",A4:AB52,21,FALSE)),ROUND(VLOOKUP("1.1.1",A4:AB52,21,FALSE),4),0) + IF(ISNUMBER(VLOOKUP("1.1.2",A4:AB52,21,FALSE)),ROUND(VLOOKUP("1.1.2",A4:AB52,21,FALSE),4),0)</f>
        <v>0</v>
      </c>
      <c r="V7" s="4">
        <f>IF(ISNUMBER(VLOOKUP("1.1.1",A4:AB52,22,FALSE)),ROUND(VLOOKUP("1.1.1",A4:AB52,22,FALSE),4),0) + IF(ISNUMBER(VLOOKUP("1.1.2",A4:AB52,22,FALSE)),ROUND(VLOOKUP("1.1.2",A4:AB52,22,FALSE),4),0)</f>
        <v>0</v>
      </c>
      <c r="W7" s="4">
        <f>IF(ISNUMBER(VLOOKUP("1.1.1",A4:AB52,23,FALSE)),ROUND(VLOOKUP("1.1.1",A4:AB52,23,FALSE),4),0) + IF(ISNUMBER(VLOOKUP("1.1.2",A4:AB52,23,FALSE)),ROUND(VLOOKUP("1.1.2",A4:AB52,23,FALSE),4),0)</f>
        <v>0</v>
      </c>
      <c r="X7" s="4">
        <f>IF(ISNUMBER(VLOOKUP("1.1.1",A4:AB52,24,FALSE)),ROUND(VLOOKUP("1.1.1",A4:AB52,24,FALSE),4),0) + IF(ISNUMBER(VLOOKUP("1.1.2",A4:AB52,24,FALSE)),ROUND(VLOOKUP("1.1.2",A4:AB52,24,FALSE),4),0)</f>
        <v>0</v>
      </c>
      <c r="Y7" s="4">
        <f>IF(ISNUMBER(VLOOKUP("1.1.1",A4:AB52,25,FALSE)),ROUND(VLOOKUP("1.1.1",A4:AB52,25,FALSE),4),0) + IF(ISNUMBER(VLOOKUP("1.1.2",A4:AB52,25,FALSE)),ROUND(VLOOKUP("1.1.2",A4:AB52,25,FALSE),4),0)</f>
        <v>0</v>
      </c>
      <c r="Z7" s="4">
        <f>IF(ISNUMBER(VLOOKUP("1.1.1",A4:AB52,26,FALSE)),ROUND(VLOOKUP("1.1.1",A4:AB52,26,FALSE),4),0) + IF(ISNUMBER(VLOOKUP("1.1.2",A4:AB52,26,FALSE)),ROUND(VLOOKUP("1.1.2",A4:AB52,26,FALSE),4),0)</f>
        <v>0</v>
      </c>
      <c r="AA7" s="4">
        <f>IF(ISNUMBER(VLOOKUP("1.1.1",A4:AB52,27,FALSE)),ROUND(VLOOKUP("1.1.1",A4:AB52,27,FALSE),4),0) + IF(ISNUMBER(VLOOKUP("1.1.2",A4:AB52,27,FALSE)),ROUND(VLOOKUP("1.1.2",A4:AB52,27,FALSE),4),0)</f>
        <v>0</v>
      </c>
      <c r="AB7" s="4">
        <f>IF(ISNUMBER(VLOOKUP("1.1.1",A4:AB52,28,FALSE)),ROUND(VLOOKUP("1.1.1",A4:AB52,28,FALSE),4),0) + IF(ISNUMBER(VLOOKUP("1.1.2",A4:AB52,28,FALSE)),ROUND(VLOOKUP("1.1.2",A4:AB52,28,FALSE),4),0)</f>
        <v>2800783.4099999997</v>
      </c>
    </row>
    <row r="8" spans="1:28" ht="14.25" customHeight="1" x14ac:dyDescent="0.25">
      <c r="A8" s="2" t="s">
        <v>36</v>
      </c>
      <c r="B8" s="3" t="s">
        <v>31</v>
      </c>
      <c r="C8" s="3"/>
      <c r="D8" s="5"/>
      <c r="E8" s="5"/>
      <c r="F8" s="4">
        <f>SUMIF(A9:A52, "1.1.1.*", F9:F52)</f>
        <v>2276625.38</v>
      </c>
      <c r="G8" s="4">
        <f>SUMIF(A9:A52, "1.1.1.*", G9:G52)</f>
        <v>1146888.0899999999</v>
      </c>
      <c r="H8" s="4">
        <f>SUMIF(A9:A52, "1.1.1.*", H9:H52)</f>
        <v>697933</v>
      </c>
      <c r="I8" s="4">
        <f>SUMIF(A9:A52, "1.1.1.*", I9:I52)</f>
        <v>386000</v>
      </c>
      <c r="J8" s="4">
        <f>SUMIF(A9:A52, "1.1.1.*", J9:J52)</f>
        <v>0</v>
      </c>
      <c r="K8" s="4">
        <f>SUMIF(A9:A52, "1.1.1.*", K9:K52)</f>
        <v>0</v>
      </c>
      <c r="L8" s="4">
        <f>SUMIF(A9:A52, "1.1.1.*", L9:L52)</f>
        <v>0</v>
      </c>
      <c r="M8" s="4">
        <f>SUMIF(A9:A52, "1.1.1.*", M9:M52)</f>
        <v>0</v>
      </c>
      <c r="N8" s="4">
        <f>SUMIF(A9:A52, "1.1.1.*", N9:N52)</f>
        <v>0</v>
      </c>
      <c r="O8" s="4">
        <f>SUMIF(A9:A52, "1.1.1.*", O9:O52)</f>
        <v>0</v>
      </c>
      <c r="P8" s="4">
        <f>SUMIF(A9:A52, "1.1.1.*", P9:P52)</f>
        <v>0</v>
      </c>
      <c r="Q8" s="4">
        <f>SUMIF(A9:A52, "1.1.1.*", Q9:Q52)</f>
        <v>0</v>
      </c>
      <c r="R8" s="4">
        <f>SUMIF(A9:A52, "1.1.1.*", R9:R52)</f>
        <v>0</v>
      </c>
      <c r="S8" s="4">
        <f>SUMIF(A9:A52, "1.1.1.*", S9:S52)</f>
        <v>0</v>
      </c>
      <c r="T8" s="4">
        <f>SUMIF(A9:A52, "1.1.1.*", T9:T52)</f>
        <v>0</v>
      </c>
      <c r="U8" s="4">
        <f>SUMIF(A9:A52, "1.1.1.*", U9:U52)</f>
        <v>0</v>
      </c>
      <c r="V8" s="4">
        <f>SUMIF(A9:A52, "1.1.1.*", V9:V52)</f>
        <v>0</v>
      </c>
      <c r="W8" s="4">
        <f>SUMIF(A9:A52, "1.1.1.*", W9:W52)</f>
        <v>0</v>
      </c>
      <c r="X8" s="4">
        <f>SUMIF(A9:A52, "1.1.1.*", X9:X52)</f>
        <v>0</v>
      </c>
      <c r="Y8" s="4">
        <f>SUMIF(A9:A52, "1.1.1.*", Y9:Y52)</f>
        <v>0</v>
      </c>
      <c r="Z8" s="4">
        <f>SUMIF(A9:A52, "1.1.1.*", Z9:Z52)</f>
        <v>0</v>
      </c>
      <c r="AA8" s="4">
        <f>SUMIF(A9:A52, "1.1.1.*", AA9:AA52)</f>
        <v>0</v>
      </c>
      <c r="AB8" s="4">
        <f>SUMIF(A9:A52, "1.1.1.*", AB9:AB52)</f>
        <v>2230821.09</v>
      </c>
    </row>
    <row r="9" spans="1:28" ht="14.25" customHeight="1" x14ac:dyDescent="0.25">
      <c r="A9" s="6" t="s">
        <v>37</v>
      </c>
      <c r="B9" s="7" t="s">
        <v>38</v>
      </c>
      <c r="C9" s="8" t="s">
        <v>39</v>
      </c>
      <c r="D9" s="10">
        <v>2024</v>
      </c>
      <c r="E9" s="10">
        <v>2026</v>
      </c>
      <c r="F9" s="9">
        <v>1178844</v>
      </c>
      <c r="G9" s="9">
        <v>682366.75</v>
      </c>
      <c r="H9" s="9">
        <v>463032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9">
        <v>1145398.75</v>
      </c>
    </row>
    <row r="10" spans="1:28" ht="52.9" customHeight="1" x14ac:dyDescent="0.25">
      <c r="A10" s="6" t="s">
        <v>40</v>
      </c>
      <c r="B10" s="7" t="s">
        <v>41</v>
      </c>
      <c r="C10" s="8" t="s">
        <v>42</v>
      </c>
      <c r="D10" s="10">
        <v>2024</v>
      </c>
      <c r="E10" s="10">
        <v>2026</v>
      </c>
      <c r="F10" s="9">
        <v>227870</v>
      </c>
      <c r="G10" s="9">
        <v>173260.96</v>
      </c>
      <c r="H10" s="9">
        <v>42250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9">
        <v>215510.96</v>
      </c>
    </row>
    <row r="11" spans="1:28" ht="14.25" customHeight="1" x14ac:dyDescent="0.25">
      <c r="A11" s="6" t="s">
        <v>43</v>
      </c>
      <c r="B11" s="7" t="s">
        <v>44</v>
      </c>
      <c r="C11" s="8" t="s">
        <v>42</v>
      </c>
      <c r="D11" s="10">
        <v>2026</v>
      </c>
      <c r="E11" s="10">
        <v>2027</v>
      </c>
      <c r="F11" s="9">
        <v>500000</v>
      </c>
      <c r="G11" s="11">
        <v>0</v>
      </c>
      <c r="H11" s="9">
        <v>114000</v>
      </c>
      <c r="I11" s="9">
        <v>386000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9">
        <v>500000</v>
      </c>
    </row>
    <row r="12" spans="1:28" ht="27" customHeight="1" x14ac:dyDescent="0.25">
      <c r="A12" s="6" t="s">
        <v>45</v>
      </c>
      <c r="B12" s="7" t="s">
        <v>46</v>
      </c>
      <c r="C12" s="8" t="s">
        <v>47</v>
      </c>
      <c r="D12" s="10">
        <v>2025</v>
      </c>
      <c r="E12" s="10">
        <v>2026</v>
      </c>
      <c r="F12" s="9">
        <v>369911.38</v>
      </c>
      <c r="G12" s="9">
        <v>291260.38</v>
      </c>
      <c r="H12" s="9">
        <v>78651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9">
        <v>369911.38</v>
      </c>
    </row>
    <row r="13" spans="1:28" ht="14.25" customHeight="1" x14ac:dyDescent="0.25">
      <c r="A13" s="2" t="s">
        <v>48</v>
      </c>
      <c r="B13" s="3" t="s">
        <v>33</v>
      </c>
      <c r="C13" s="3"/>
      <c r="D13" s="5"/>
      <c r="E13" s="5"/>
      <c r="F13" s="4">
        <f>SUMIF(A14:A52, "1.1.2.*", F14:F52)</f>
        <v>850963.2</v>
      </c>
      <c r="G13" s="4">
        <f>SUMIF(A14:A52, "1.1.2.*", G14:G52)</f>
        <v>569962.31999999995</v>
      </c>
      <c r="H13" s="4">
        <f>SUMIF(A14:A52, "1.1.2.*", H14:H52)</f>
        <v>0</v>
      </c>
      <c r="I13" s="4">
        <f>SUMIF(A14:A52, "1.1.2.*", I14:I52)</f>
        <v>0</v>
      </c>
      <c r="J13" s="4">
        <f>SUMIF(A14:A52, "1.1.2.*", J14:J52)</f>
        <v>0</v>
      </c>
      <c r="K13" s="4">
        <f>SUMIF(A14:A52, "1.1.2.*", K14:K52)</f>
        <v>0</v>
      </c>
      <c r="L13" s="4">
        <f>SUMIF(A14:A52, "1.1.2.*", L14:L52)</f>
        <v>0</v>
      </c>
      <c r="M13" s="4">
        <f>SUMIF(A14:A52, "1.1.2.*", M14:M52)</f>
        <v>0</v>
      </c>
      <c r="N13" s="4">
        <f>SUMIF(A14:A52, "1.1.2.*", N14:N52)</f>
        <v>0</v>
      </c>
      <c r="O13" s="4">
        <f>SUMIF(A14:A52, "1.1.2.*", O14:O52)</f>
        <v>0</v>
      </c>
      <c r="P13" s="4">
        <f>SUMIF(A14:A52, "1.1.2.*", P14:P52)</f>
        <v>0</v>
      </c>
      <c r="Q13" s="4">
        <f>SUMIF(A14:A52, "1.1.2.*", Q14:Q52)</f>
        <v>0</v>
      </c>
      <c r="R13" s="4">
        <f>SUMIF(A14:A52, "1.1.2.*", R14:R52)</f>
        <v>0</v>
      </c>
      <c r="S13" s="4">
        <f>SUMIF(A14:A52, "1.1.2.*", S14:S52)</f>
        <v>0</v>
      </c>
      <c r="T13" s="4">
        <f>SUMIF(A14:A52, "1.1.2.*", T14:T52)</f>
        <v>0</v>
      </c>
      <c r="U13" s="4">
        <f>SUMIF(A14:A52, "1.1.2.*", U14:U52)</f>
        <v>0</v>
      </c>
      <c r="V13" s="4">
        <f>SUMIF(A14:A52, "1.1.2.*", V14:V52)</f>
        <v>0</v>
      </c>
      <c r="W13" s="4">
        <f>SUMIF(A14:A52, "1.1.2.*", W14:W52)</f>
        <v>0</v>
      </c>
      <c r="X13" s="4">
        <f>SUMIF(A14:A52, "1.1.2.*", X14:X52)</f>
        <v>0</v>
      </c>
      <c r="Y13" s="4">
        <f>SUMIF(A14:A52, "1.1.2.*", Y14:Y52)</f>
        <v>0</v>
      </c>
      <c r="Z13" s="4">
        <f>SUMIF(A14:A52, "1.1.2.*", Z14:Z52)</f>
        <v>0</v>
      </c>
      <c r="AA13" s="4">
        <f>SUMIF(A14:A52, "1.1.2.*", AA14:AA52)</f>
        <v>0</v>
      </c>
      <c r="AB13" s="4">
        <f>SUMIF(A14:A52, "1.1.2.*", AB14:AB52)</f>
        <v>569962.31999999995</v>
      </c>
    </row>
    <row r="14" spans="1:28" ht="52.9" customHeight="1" x14ac:dyDescent="0.25">
      <c r="A14" s="6" t="s">
        <v>49</v>
      </c>
      <c r="B14" s="7" t="s">
        <v>41</v>
      </c>
      <c r="C14" s="8" t="s">
        <v>42</v>
      </c>
      <c r="D14" s="10">
        <v>2024</v>
      </c>
      <c r="E14" s="10">
        <v>2026</v>
      </c>
      <c r="F14" s="9">
        <v>850963.2</v>
      </c>
      <c r="G14" s="9">
        <v>569962.31999999995</v>
      </c>
      <c r="H14" s="9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9">
        <v>569962.31999999995</v>
      </c>
    </row>
    <row r="15" spans="1:28" ht="27" customHeight="1" x14ac:dyDescent="0.25">
      <c r="A15" s="2" t="s">
        <v>50</v>
      </c>
      <c r="B15" s="3" t="s">
        <v>51</v>
      </c>
      <c r="C15" s="3"/>
      <c r="D15" s="5"/>
      <c r="E15" s="5"/>
      <c r="F15" s="4">
        <f>IF(ISNUMBER(VLOOKUP("1.2.1",A4:AB52,6,FALSE)),ROUND(VLOOKUP("1.2.1",A4:AB52,6,FALSE),4),0) + IF(ISNUMBER(VLOOKUP("1.2.2",A4:AB52,6,FALSE)),ROUND(VLOOKUP("1.2.2",A4:AB52,6,FALSE),4),0)</f>
        <v>0</v>
      </c>
      <c r="G15" s="4">
        <f>IF(ISNUMBER(VLOOKUP("1.2.1",A4:AB52,7,FALSE)),ROUND(VLOOKUP("1.2.1",A4:AB52,7,FALSE),4),0) + IF(ISNUMBER(VLOOKUP("1.2.2",A4:AB52,7,FALSE)),ROUND(VLOOKUP("1.2.2",A4:AB52,7,FALSE),4),0)</f>
        <v>0</v>
      </c>
      <c r="H15" s="4">
        <f>IF(ISNUMBER(VLOOKUP("1.2.1",A4:AB52,8,FALSE)),ROUND(VLOOKUP("1.2.1",A4:AB52,8,FALSE),4),0) + IF(ISNUMBER(VLOOKUP("1.2.2",A4:AB52,8,FALSE)),ROUND(VLOOKUP("1.2.2",A4:AB52,8,FALSE),4),0)</f>
        <v>0</v>
      </c>
      <c r="I15" s="4">
        <f>IF(ISNUMBER(VLOOKUP("1.2.1",A4:AB52,9,FALSE)),ROUND(VLOOKUP("1.2.1",A4:AB52,9,FALSE),4),0) + IF(ISNUMBER(VLOOKUP("1.2.2",A4:AB52,9,FALSE)),ROUND(VLOOKUP("1.2.2",A4:AB52,9,FALSE),4),0)</f>
        <v>0</v>
      </c>
      <c r="J15" s="4">
        <f>IF(ISNUMBER(VLOOKUP("1.2.1",A4:AB52,10,FALSE)),ROUND(VLOOKUP("1.2.1",A4:AB52,10,FALSE),4),0) + IF(ISNUMBER(VLOOKUP("1.2.2",A4:AB52,10,FALSE)),ROUND(VLOOKUP("1.2.2",A4:AB52,10,FALSE),4),0)</f>
        <v>0</v>
      </c>
      <c r="K15" s="4">
        <f>IF(ISNUMBER(VLOOKUP("1.2.1",A4:AB52,11,FALSE)),ROUND(VLOOKUP("1.2.1",A4:AB52,11,FALSE),4),0) + IF(ISNUMBER(VLOOKUP("1.2.2",A4:AB52,11,FALSE)),ROUND(VLOOKUP("1.2.2",A4:AB52,11,FALSE),4),0)</f>
        <v>0</v>
      </c>
      <c r="L15" s="4">
        <f>IF(ISNUMBER(VLOOKUP("1.2.1",A4:AB52,12,FALSE)),ROUND(VLOOKUP("1.2.1",A4:AB52,12,FALSE),4),0) + IF(ISNUMBER(VLOOKUP("1.2.2",A4:AB52,12,FALSE)),ROUND(VLOOKUP("1.2.2",A4:AB52,12,FALSE),4),0)</f>
        <v>0</v>
      </c>
      <c r="M15" s="4">
        <f>IF(ISNUMBER(VLOOKUP("1.2.1",A4:AB52,13,FALSE)),ROUND(VLOOKUP("1.2.1",A4:AB52,13,FALSE),4),0) + IF(ISNUMBER(VLOOKUP("1.2.2",A4:AB52,13,FALSE)),ROUND(VLOOKUP("1.2.2",A4:AB52,13,FALSE),4),0)</f>
        <v>0</v>
      </c>
      <c r="N15" s="4">
        <f>IF(ISNUMBER(VLOOKUP("1.2.1",A4:AB52,14,FALSE)),ROUND(VLOOKUP("1.2.1",A4:AB52,14,FALSE),4),0) + IF(ISNUMBER(VLOOKUP("1.2.2",A4:AB52,14,FALSE)),ROUND(VLOOKUP("1.2.2",A4:AB52,14,FALSE),4),0)</f>
        <v>0</v>
      </c>
      <c r="O15" s="4">
        <f>IF(ISNUMBER(VLOOKUP("1.2.1",A4:AB52,15,FALSE)),ROUND(VLOOKUP("1.2.1",A4:AB52,15,FALSE),4),0) + IF(ISNUMBER(VLOOKUP("1.2.2",A4:AB52,15,FALSE)),ROUND(VLOOKUP("1.2.2",A4:AB52,15,FALSE),4),0)</f>
        <v>0</v>
      </c>
      <c r="P15" s="4">
        <f>IF(ISNUMBER(VLOOKUP("1.2.1",A4:AB52,16,FALSE)),ROUND(VLOOKUP("1.2.1",A4:AB52,16,FALSE),4),0) + IF(ISNUMBER(VLOOKUP("1.2.2",A4:AB52,16,FALSE)),ROUND(VLOOKUP("1.2.2",A4:AB52,16,FALSE),4),0)</f>
        <v>0</v>
      </c>
      <c r="Q15" s="4">
        <f>IF(ISNUMBER(VLOOKUP("1.2.1",A4:AB52,17,FALSE)),ROUND(VLOOKUP("1.2.1",A4:AB52,17,FALSE),4),0) + IF(ISNUMBER(VLOOKUP("1.2.2",A4:AB52,17,FALSE)),ROUND(VLOOKUP("1.2.2",A4:AB52,17,FALSE),4),0)</f>
        <v>0</v>
      </c>
      <c r="R15" s="4">
        <f>IF(ISNUMBER(VLOOKUP("1.2.1",A4:AB52,18,FALSE)),ROUND(VLOOKUP("1.2.1",A4:AB52,18,FALSE),4),0) + IF(ISNUMBER(VLOOKUP("1.2.2",A4:AB52,18,FALSE)),ROUND(VLOOKUP("1.2.2",A4:AB52,18,FALSE),4),0)</f>
        <v>0</v>
      </c>
      <c r="S15" s="4">
        <f>IF(ISNUMBER(VLOOKUP("1.2.1",A4:AB52,19,FALSE)),ROUND(VLOOKUP("1.2.1",A4:AB52,19,FALSE),4),0) + IF(ISNUMBER(VLOOKUP("1.2.2",A4:AB52,19,FALSE)),ROUND(VLOOKUP("1.2.2",A4:AB52,19,FALSE),4),0)</f>
        <v>0</v>
      </c>
      <c r="T15" s="4">
        <f>IF(ISNUMBER(VLOOKUP("1.2.1",A4:AB52,20,FALSE)),ROUND(VLOOKUP("1.2.1",A4:AB52,20,FALSE),4),0) + IF(ISNUMBER(VLOOKUP("1.2.2",A4:AB52,20,FALSE)),ROUND(VLOOKUP("1.2.2",A4:AB52,20,FALSE),4),0)</f>
        <v>0</v>
      </c>
      <c r="U15" s="4">
        <f>IF(ISNUMBER(VLOOKUP("1.2.1",A4:AB52,21,FALSE)),ROUND(VLOOKUP("1.2.1",A4:AB52,21,FALSE),4),0) + IF(ISNUMBER(VLOOKUP("1.2.2",A4:AB52,21,FALSE)),ROUND(VLOOKUP("1.2.2",A4:AB52,21,FALSE),4),0)</f>
        <v>0</v>
      </c>
      <c r="V15" s="4">
        <f>IF(ISNUMBER(VLOOKUP("1.2.1",A4:AB52,22,FALSE)),ROUND(VLOOKUP("1.2.1",A4:AB52,22,FALSE),4),0) + IF(ISNUMBER(VLOOKUP("1.2.2",A4:AB52,22,FALSE)),ROUND(VLOOKUP("1.2.2",A4:AB52,22,FALSE),4),0)</f>
        <v>0</v>
      </c>
      <c r="W15" s="4">
        <f>IF(ISNUMBER(VLOOKUP("1.2.1",A4:AB52,23,FALSE)),ROUND(VLOOKUP("1.2.1",A4:AB52,23,FALSE),4),0) + IF(ISNUMBER(VLOOKUP("1.2.2",A4:AB52,23,FALSE)),ROUND(VLOOKUP("1.2.2",A4:AB52,23,FALSE),4),0)</f>
        <v>0</v>
      </c>
      <c r="X15" s="4">
        <f>IF(ISNUMBER(VLOOKUP("1.2.1",A4:AB52,24,FALSE)),ROUND(VLOOKUP("1.2.1",A4:AB52,24,FALSE),4),0) + IF(ISNUMBER(VLOOKUP("1.2.2",A4:AB52,24,FALSE)),ROUND(VLOOKUP("1.2.2",A4:AB52,24,FALSE),4),0)</f>
        <v>0</v>
      </c>
      <c r="Y15" s="4">
        <f>IF(ISNUMBER(VLOOKUP("1.2.1",A4:AB52,25,FALSE)),ROUND(VLOOKUP("1.2.1",A4:AB52,25,FALSE),4),0) + IF(ISNUMBER(VLOOKUP("1.2.2",A4:AB52,25,FALSE)),ROUND(VLOOKUP("1.2.2",A4:AB52,25,FALSE),4),0)</f>
        <v>0</v>
      </c>
      <c r="Z15" s="4">
        <f>IF(ISNUMBER(VLOOKUP("1.2.1",A4:AB52,26,FALSE)),ROUND(VLOOKUP("1.2.1",A4:AB52,26,FALSE),4),0) + IF(ISNUMBER(VLOOKUP("1.2.2",A4:AB52,26,FALSE)),ROUND(VLOOKUP("1.2.2",A4:AB52,26,FALSE),4),0)</f>
        <v>0</v>
      </c>
      <c r="AA15" s="4">
        <f>IF(ISNUMBER(VLOOKUP("1.2.1",A4:AB52,27,FALSE)),ROUND(VLOOKUP("1.2.1",A4:AB52,27,FALSE),4),0) + IF(ISNUMBER(VLOOKUP("1.2.2",A4:AB52,27,FALSE)),ROUND(VLOOKUP("1.2.2",A4:AB52,27,FALSE),4),0)</f>
        <v>0</v>
      </c>
      <c r="AB15" s="4">
        <f>IF(ISNUMBER(VLOOKUP("1.2.1",A4:AB52,28,FALSE)),ROUND(VLOOKUP("1.2.1",A4:AB52,28,FALSE),4),0) + IF(ISNUMBER(VLOOKUP("1.2.2",A4:AB52,28,FALSE)),ROUND(VLOOKUP("1.2.2",A4:AB52,28,FALSE),4),0)</f>
        <v>0</v>
      </c>
    </row>
    <row r="16" spans="1:28" ht="14.25" customHeight="1" x14ac:dyDescent="0.25">
      <c r="A16" s="2" t="s">
        <v>52</v>
      </c>
      <c r="B16" s="3" t="s">
        <v>31</v>
      </c>
      <c r="C16" s="3"/>
      <c r="D16" s="5"/>
      <c r="E16" s="5"/>
      <c r="F16" s="4">
        <f>SUMIF(A17:A52, "1.2.1.*", F17:F52)</f>
        <v>0</v>
      </c>
      <c r="G16" s="4">
        <f>SUMIF(A17:A52, "1.2.1.*", G17:G52)</f>
        <v>0</v>
      </c>
      <c r="H16" s="4">
        <f>SUMIF(A17:A52, "1.2.1.*", H17:H52)</f>
        <v>0</v>
      </c>
      <c r="I16" s="4">
        <f>SUMIF(A17:A52, "1.2.1.*", I17:I52)</f>
        <v>0</v>
      </c>
      <c r="J16" s="4">
        <f>SUMIF(A17:A52, "1.2.1.*", J17:J52)</f>
        <v>0</v>
      </c>
      <c r="K16" s="4">
        <f>SUMIF(A17:A52, "1.2.1.*", K17:K52)</f>
        <v>0</v>
      </c>
      <c r="L16" s="4">
        <f>SUMIF(A17:A52, "1.2.1.*", L17:L52)</f>
        <v>0</v>
      </c>
      <c r="M16" s="4">
        <f>SUMIF(A17:A52, "1.2.1.*", M17:M52)</f>
        <v>0</v>
      </c>
      <c r="N16" s="4">
        <f>SUMIF(A17:A52, "1.2.1.*", N17:N52)</f>
        <v>0</v>
      </c>
      <c r="O16" s="4">
        <f>SUMIF(A17:A52, "1.2.1.*", O17:O52)</f>
        <v>0</v>
      </c>
      <c r="P16" s="4">
        <f>SUMIF(A17:A52, "1.2.1.*", P17:P52)</f>
        <v>0</v>
      </c>
      <c r="Q16" s="4">
        <f>SUMIF(A17:A52, "1.2.1.*", Q17:Q52)</f>
        <v>0</v>
      </c>
      <c r="R16" s="4">
        <f>SUMIF(A17:A52, "1.2.1.*", R17:R52)</f>
        <v>0</v>
      </c>
      <c r="S16" s="4">
        <f>SUMIF(A17:A52, "1.2.1.*", S17:S52)</f>
        <v>0</v>
      </c>
      <c r="T16" s="4">
        <f>SUMIF(A17:A52, "1.2.1.*", T17:T52)</f>
        <v>0</v>
      </c>
      <c r="U16" s="4">
        <f>SUMIF(A17:A52, "1.2.1.*", U17:U52)</f>
        <v>0</v>
      </c>
      <c r="V16" s="4">
        <f>SUMIF(A17:A52, "1.2.1.*", V17:V52)</f>
        <v>0</v>
      </c>
      <c r="W16" s="4">
        <f>SUMIF(A17:A52, "1.2.1.*", W17:W52)</f>
        <v>0</v>
      </c>
      <c r="X16" s="4">
        <f>SUMIF(A17:A52, "1.2.1.*", X17:X52)</f>
        <v>0</v>
      </c>
      <c r="Y16" s="4">
        <f>SUMIF(A17:A52, "1.2.1.*", Y17:Y52)</f>
        <v>0</v>
      </c>
      <c r="Z16" s="4">
        <f>SUMIF(A17:A52, "1.2.1.*", Z17:Z52)</f>
        <v>0</v>
      </c>
      <c r="AA16" s="4">
        <f>SUMIF(A17:A52, "1.2.1.*", AA17:AA52)</f>
        <v>0</v>
      </c>
      <c r="AB16" s="4">
        <f>SUMIF(A17:A52, "1.2.1.*", AB17:AB52)</f>
        <v>0</v>
      </c>
    </row>
    <row r="17" spans="1:28" ht="14.25" customHeight="1" x14ac:dyDescent="0.25">
      <c r="A17" s="2" t="s">
        <v>53</v>
      </c>
      <c r="B17" s="3" t="s">
        <v>33</v>
      </c>
      <c r="C17" s="3"/>
      <c r="D17" s="5"/>
      <c r="E17" s="5"/>
      <c r="F17" s="4">
        <f>SUMIF(A18:A52, "1.2.2.*", F18:F52)</f>
        <v>0</v>
      </c>
      <c r="G17" s="4">
        <f>SUMIF(A18:A52, "1.2.2.*", G18:G52)</f>
        <v>0</v>
      </c>
      <c r="H17" s="4">
        <f>SUMIF(A18:A52, "1.2.2.*", H18:H52)</f>
        <v>0</v>
      </c>
      <c r="I17" s="4">
        <f>SUMIF(A18:A52, "1.2.2.*", I18:I52)</f>
        <v>0</v>
      </c>
      <c r="J17" s="4">
        <f>SUMIF(A18:A52, "1.2.2.*", J18:J52)</f>
        <v>0</v>
      </c>
      <c r="K17" s="4">
        <f>SUMIF(A18:A52, "1.2.2.*", K18:K52)</f>
        <v>0</v>
      </c>
      <c r="L17" s="4">
        <f>SUMIF(A18:A52, "1.2.2.*", L18:L52)</f>
        <v>0</v>
      </c>
      <c r="M17" s="4">
        <f>SUMIF(A18:A52, "1.2.2.*", M18:M52)</f>
        <v>0</v>
      </c>
      <c r="N17" s="4">
        <f>SUMIF(A18:A52, "1.2.2.*", N18:N52)</f>
        <v>0</v>
      </c>
      <c r="O17" s="4">
        <f>SUMIF(A18:A52, "1.2.2.*", O18:O52)</f>
        <v>0</v>
      </c>
      <c r="P17" s="4">
        <f>SUMIF(A18:A52, "1.2.2.*", P18:P52)</f>
        <v>0</v>
      </c>
      <c r="Q17" s="4">
        <f>SUMIF(A18:A52, "1.2.2.*", Q18:Q52)</f>
        <v>0</v>
      </c>
      <c r="R17" s="4">
        <f>SUMIF(A18:A52, "1.2.2.*", R18:R52)</f>
        <v>0</v>
      </c>
      <c r="S17" s="4">
        <f>SUMIF(A18:A52, "1.2.2.*", S18:S52)</f>
        <v>0</v>
      </c>
      <c r="T17" s="4">
        <f>SUMIF(A18:A52, "1.2.2.*", T18:T52)</f>
        <v>0</v>
      </c>
      <c r="U17" s="4">
        <f>SUMIF(A18:A52, "1.2.2.*", U18:U52)</f>
        <v>0</v>
      </c>
      <c r="V17" s="4">
        <f>SUMIF(A18:A52, "1.2.2.*", V18:V52)</f>
        <v>0</v>
      </c>
      <c r="W17" s="4">
        <f>SUMIF(A18:A52, "1.2.2.*", W18:W52)</f>
        <v>0</v>
      </c>
      <c r="X17" s="4">
        <f>SUMIF(A18:A52, "1.2.2.*", X18:X52)</f>
        <v>0</v>
      </c>
      <c r="Y17" s="4">
        <f>SUMIF(A18:A52, "1.2.2.*", Y18:Y52)</f>
        <v>0</v>
      </c>
      <c r="Z17" s="4">
        <f>SUMIF(A18:A52, "1.2.2.*", Z18:Z52)</f>
        <v>0</v>
      </c>
      <c r="AA17" s="4">
        <f>SUMIF(A18:A52, "1.2.2.*", AA18:AA52)</f>
        <v>0</v>
      </c>
      <c r="AB17" s="4">
        <f>SUMIF(A18:A52, "1.2.2.*", AB18:AB52)</f>
        <v>0</v>
      </c>
    </row>
    <row r="18" spans="1:28" ht="27" customHeight="1" x14ac:dyDescent="0.25">
      <c r="A18" s="2" t="s">
        <v>54</v>
      </c>
      <c r="B18" s="3" t="s">
        <v>55</v>
      </c>
      <c r="C18" s="3"/>
      <c r="D18" s="5"/>
      <c r="E18" s="5"/>
      <c r="F18" s="4">
        <f>IF(ISNUMBER(VLOOKUP("1.3.1",A4:AB52,6,FALSE)),ROUND(VLOOKUP("1.3.1",A4:AB52,6,FALSE),4),0) + IF(ISNUMBER(VLOOKUP("1.3.2",A4:AB52,6,FALSE)),ROUND(VLOOKUP("1.3.2",A4:AB52,6,FALSE),4),0)</f>
        <v>108599607</v>
      </c>
      <c r="G18" s="4">
        <f>IF(ISNUMBER(VLOOKUP("1.3.1",A4:AB52,7,FALSE)),ROUND(VLOOKUP("1.3.1",A4:AB52,7,FALSE),4),0) + IF(ISNUMBER(VLOOKUP("1.3.2",A4:AB52,7,FALSE)),ROUND(VLOOKUP("1.3.2",A4:AB52,7,FALSE),4),0)</f>
        <v>52868017.579999998</v>
      </c>
      <c r="H18" s="4">
        <f>IF(ISNUMBER(VLOOKUP("1.3.1",A4:AB52,8,FALSE)),ROUND(VLOOKUP("1.3.1",A4:AB52,8,FALSE),4),0) + IF(ISNUMBER(VLOOKUP("1.3.2",A4:AB52,8,FALSE)),ROUND(VLOOKUP("1.3.2",A4:AB52,8,FALSE),4),0)</f>
        <v>28019163</v>
      </c>
      <c r="I18" s="4">
        <f>IF(ISNUMBER(VLOOKUP("1.3.1",A4:AB52,9,FALSE)),ROUND(VLOOKUP("1.3.1",A4:AB52,9,FALSE),4),0) + IF(ISNUMBER(VLOOKUP("1.3.2",A4:AB52,9,FALSE)),ROUND(VLOOKUP("1.3.2",A4:AB52,9,FALSE),4),0)</f>
        <v>7500000</v>
      </c>
      <c r="J18" s="4">
        <f>IF(ISNUMBER(VLOOKUP("1.3.1",A4:AB52,10,FALSE)),ROUND(VLOOKUP("1.3.1",A4:AB52,10,FALSE),4),0) + IF(ISNUMBER(VLOOKUP("1.3.2",A4:AB52,10,FALSE)),ROUND(VLOOKUP("1.3.2",A4:AB52,10,FALSE),4),0)</f>
        <v>1000000</v>
      </c>
      <c r="K18" s="4">
        <f>IF(ISNUMBER(VLOOKUP("1.3.1",A4:AB52,11,FALSE)),ROUND(VLOOKUP("1.3.1",A4:AB52,11,FALSE),4),0) + IF(ISNUMBER(VLOOKUP("1.3.2",A4:AB52,11,FALSE)),ROUND(VLOOKUP("1.3.2",A4:AB52,11,FALSE),4),0)</f>
        <v>0</v>
      </c>
      <c r="L18" s="4">
        <f>IF(ISNUMBER(VLOOKUP("1.3.1",A4:AB52,12,FALSE)),ROUND(VLOOKUP("1.3.1",A4:AB52,12,FALSE),4),0) + IF(ISNUMBER(VLOOKUP("1.3.2",A4:AB52,12,FALSE)),ROUND(VLOOKUP("1.3.2",A4:AB52,12,FALSE),4),0)</f>
        <v>0</v>
      </c>
      <c r="M18" s="4">
        <f>IF(ISNUMBER(VLOOKUP("1.3.1",A4:AB52,13,FALSE)),ROUND(VLOOKUP("1.3.1",A4:AB52,13,FALSE),4),0) + IF(ISNUMBER(VLOOKUP("1.3.2",A4:AB52,13,FALSE)),ROUND(VLOOKUP("1.3.2",A4:AB52,13,FALSE),4),0)</f>
        <v>0</v>
      </c>
      <c r="N18" s="4">
        <f>IF(ISNUMBER(VLOOKUP("1.3.1",A4:AB52,14,FALSE)),ROUND(VLOOKUP("1.3.1",A4:AB52,14,FALSE),4),0) + IF(ISNUMBER(VLOOKUP("1.3.2",A4:AB52,14,FALSE)),ROUND(VLOOKUP("1.3.2",A4:AB52,14,FALSE),4),0)</f>
        <v>0</v>
      </c>
      <c r="O18" s="4">
        <f>IF(ISNUMBER(VLOOKUP("1.3.1",A4:AB52,15,FALSE)),ROUND(VLOOKUP("1.3.1",A4:AB52,15,FALSE),4),0) + IF(ISNUMBER(VLOOKUP("1.3.2",A4:AB52,15,FALSE)),ROUND(VLOOKUP("1.3.2",A4:AB52,15,FALSE),4),0)</f>
        <v>0</v>
      </c>
      <c r="P18" s="4">
        <f>IF(ISNUMBER(VLOOKUP("1.3.1",A4:AB52,16,FALSE)),ROUND(VLOOKUP("1.3.1",A4:AB52,16,FALSE),4),0) + IF(ISNUMBER(VLOOKUP("1.3.2",A4:AB52,16,FALSE)),ROUND(VLOOKUP("1.3.2",A4:AB52,16,FALSE),4),0)</f>
        <v>0</v>
      </c>
      <c r="Q18" s="4">
        <f>IF(ISNUMBER(VLOOKUP("1.3.1",A4:AB52,17,FALSE)),ROUND(VLOOKUP("1.3.1",A4:AB52,17,FALSE),4),0) + IF(ISNUMBER(VLOOKUP("1.3.2",A4:AB52,17,FALSE)),ROUND(VLOOKUP("1.3.2",A4:AB52,17,FALSE),4),0)</f>
        <v>0</v>
      </c>
      <c r="R18" s="4">
        <f>IF(ISNUMBER(VLOOKUP("1.3.1",A4:AB52,18,FALSE)),ROUND(VLOOKUP("1.3.1",A4:AB52,18,FALSE),4),0) + IF(ISNUMBER(VLOOKUP("1.3.2",A4:AB52,18,FALSE)),ROUND(VLOOKUP("1.3.2",A4:AB52,18,FALSE),4),0)</f>
        <v>0</v>
      </c>
      <c r="S18" s="4">
        <f>IF(ISNUMBER(VLOOKUP("1.3.1",A4:AB52,19,FALSE)),ROUND(VLOOKUP("1.3.1",A4:AB52,19,FALSE),4),0) + IF(ISNUMBER(VLOOKUP("1.3.2",A4:AB52,19,FALSE)),ROUND(VLOOKUP("1.3.2",A4:AB52,19,FALSE),4),0)</f>
        <v>0</v>
      </c>
      <c r="T18" s="4">
        <f>IF(ISNUMBER(VLOOKUP("1.3.1",A4:AB52,20,FALSE)),ROUND(VLOOKUP("1.3.1",A4:AB52,20,FALSE),4),0) + IF(ISNUMBER(VLOOKUP("1.3.2",A4:AB52,20,FALSE)),ROUND(VLOOKUP("1.3.2",A4:AB52,20,FALSE),4),0)</f>
        <v>0</v>
      </c>
      <c r="U18" s="4">
        <f>IF(ISNUMBER(VLOOKUP("1.3.1",A4:AB52,21,FALSE)),ROUND(VLOOKUP("1.3.1",A4:AB52,21,FALSE),4),0) + IF(ISNUMBER(VLOOKUP("1.3.2",A4:AB52,21,FALSE)),ROUND(VLOOKUP("1.3.2",A4:AB52,21,FALSE),4),0)</f>
        <v>0</v>
      </c>
      <c r="V18" s="4">
        <f>IF(ISNUMBER(VLOOKUP("1.3.1",A4:AB52,22,FALSE)),ROUND(VLOOKUP("1.3.1",A4:AB52,22,FALSE),4),0) + IF(ISNUMBER(VLOOKUP("1.3.2",A4:AB52,22,FALSE)),ROUND(VLOOKUP("1.3.2",A4:AB52,22,FALSE),4),0)</f>
        <v>0</v>
      </c>
      <c r="W18" s="4">
        <f>IF(ISNUMBER(VLOOKUP("1.3.1",A4:AB52,23,FALSE)),ROUND(VLOOKUP("1.3.1",A4:AB52,23,FALSE),4),0) + IF(ISNUMBER(VLOOKUP("1.3.2",A4:AB52,23,FALSE)),ROUND(VLOOKUP("1.3.2",A4:AB52,23,FALSE),4),0)</f>
        <v>0</v>
      </c>
      <c r="X18" s="4">
        <f>IF(ISNUMBER(VLOOKUP("1.3.1",A4:AB52,24,FALSE)),ROUND(VLOOKUP("1.3.1",A4:AB52,24,FALSE),4),0) + IF(ISNUMBER(VLOOKUP("1.3.2",A4:AB52,24,FALSE)),ROUND(VLOOKUP("1.3.2",A4:AB52,24,FALSE),4),0)</f>
        <v>0</v>
      </c>
      <c r="Y18" s="4">
        <f>IF(ISNUMBER(VLOOKUP("1.3.1",A4:AB52,25,FALSE)),ROUND(VLOOKUP("1.3.1",A4:AB52,25,FALSE),4),0) + IF(ISNUMBER(VLOOKUP("1.3.2",A4:AB52,25,FALSE)),ROUND(VLOOKUP("1.3.2",A4:AB52,25,FALSE),4),0)</f>
        <v>0</v>
      </c>
      <c r="Z18" s="4">
        <f>IF(ISNUMBER(VLOOKUP("1.3.1",A4:AB52,26,FALSE)),ROUND(VLOOKUP("1.3.1",A4:AB52,26,FALSE),4),0) + IF(ISNUMBER(VLOOKUP("1.3.2",A4:AB52,26,FALSE)),ROUND(VLOOKUP("1.3.2",A4:AB52,26,FALSE),4),0)</f>
        <v>0</v>
      </c>
      <c r="AA18" s="4">
        <f>IF(ISNUMBER(VLOOKUP("1.3.1",A4:AB52,27,FALSE)),ROUND(VLOOKUP("1.3.1",A4:AB52,27,FALSE),4),0) + IF(ISNUMBER(VLOOKUP("1.3.2",A4:AB52,27,FALSE)),ROUND(VLOOKUP("1.3.2",A4:AB52,27,FALSE),4),0)</f>
        <v>0</v>
      </c>
      <c r="AB18" s="4">
        <f>IF(ISNUMBER(VLOOKUP("1.3.1",A4:AB52,28,FALSE)),ROUND(VLOOKUP("1.3.1",A4:AB52,28,FALSE),4),0) + IF(ISNUMBER(VLOOKUP("1.3.2",A4:AB52,28,FALSE)),ROUND(VLOOKUP("1.3.2",A4:AB52,28,FALSE),4),0)</f>
        <v>89387180.579999998</v>
      </c>
    </row>
    <row r="19" spans="1:28" ht="14.25" customHeight="1" x14ac:dyDescent="0.25">
      <c r="A19" s="2" t="s">
        <v>56</v>
      </c>
      <c r="B19" s="3" t="s">
        <v>31</v>
      </c>
      <c r="C19" s="3"/>
      <c r="D19" s="5"/>
      <c r="E19" s="5"/>
      <c r="F19" s="4">
        <f>SUMIF(A20:A52, "1.3.1.*", F20:F52)</f>
        <v>3744831</v>
      </c>
      <c r="G19" s="4">
        <f>SUMIF(A20:A52, "1.3.1.*", G20:G52)</f>
        <v>818909</v>
      </c>
      <c r="H19" s="4">
        <f>SUMIF(A20:A52, "1.3.1.*", H20:H52)</f>
        <v>422180</v>
      </c>
      <c r="I19" s="4">
        <f>SUMIF(A20:A52, "1.3.1.*", I20:I52)</f>
        <v>0</v>
      </c>
      <c r="J19" s="4">
        <f>SUMIF(A20:A52, "1.3.1.*", J20:J52)</f>
        <v>0</v>
      </c>
      <c r="K19" s="4">
        <f>SUMIF(A20:A52, "1.3.1.*", K20:K52)</f>
        <v>0</v>
      </c>
      <c r="L19" s="4">
        <f>SUMIF(A20:A52, "1.3.1.*", L20:L52)</f>
        <v>0</v>
      </c>
      <c r="M19" s="4">
        <f>SUMIF(A20:A52, "1.3.1.*", M20:M52)</f>
        <v>0</v>
      </c>
      <c r="N19" s="4">
        <f>SUMIF(A20:A52, "1.3.1.*", N20:N52)</f>
        <v>0</v>
      </c>
      <c r="O19" s="4">
        <f>SUMIF(A20:A52, "1.3.1.*", O20:O52)</f>
        <v>0</v>
      </c>
      <c r="P19" s="4">
        <f>SUMIF(A20:A52, "1.3.1.*", P20:P52)</f>
        <v>0</v>
      </c>
      <c r="Q19" s="4">
        <f>SUMIF(A20:A52, "1.3.1.*", Q20:Q52)</f>
        <v>0</v>
      </c>
      <c r="R19" s="4">
        <f>SUMIF(A20:A52, "1.3.1.*", R20:R52)</f>
        <v>0</v>
      </c>
      <c r="S19" s="4">
        <f>SUMIF(A20:A52, "1.3.1.*", S20:S52)</f>
        <v>0</v>
      </c>
      <c r="T19" s="4">
        <f>SUMIF(A20:A52, "1.3.1.*", T20:T52)</f>
        <v>0</v>
      </c>
      <c r="U19" s="4">
        <f>SUMIF(A20:A52, "1.3.1.*", U20:U52)</f>
        <v>0</v>
      </c>
      <c r="V19" s="4">
        <f>SUMIF(A20:A52, "1.3.1.*", V20:V52)</f>
        <v>0</v>
      </c>
      <c r="W19" s="4">
        <f>SUMIF(A20:A52, "1.3.1.*", W20:W52)</f>
        <v>0</v>
      </c>
      <c r="X19" s="4">
        <f>SUMIF(A20:A52, "1.3.1.*", X20:X52)</f>
        <v>0</v>
      </c>
      <c r="Y19" s="4">
        <f>SUMIF(A20:A52, "1.3.1.*", Y20:Y52)</f>
        <v>0</v>
      </c>
      <c r="Z19" s="4">
        <f>SUMIF(A20:A52, "1.3.1.*", Z20:Z52)</f>
        <v>0</v>
      </c>
      <c r="AA19" s="4">
        <f>SUMIF(A20:A52, "1.3.1.*", AA20:AA52)</f>
        <v>0</v>
      </c>
      <c r="AB19" s="4">
        <f>SUMIF(A20:A52, "1.3.1.*", AB20:AB52)</f>
        <v>1241089</v>
      </c>
    </row>
    <row r="20" spans="1:28" ht="39.950000000000003" customHeight="1" x14ac:dyDescent="0.25">
      <c r="A20" s="6" t="s">
        <v>57</v>
      </c>
      <c r="B20" s="7" t="s">
        <v>58</v>
      </c>
      <c r="C20" s="8" t="s">
        <v>42</v>
      </c>
      <c r="D20" s="10">
        <v>2017</v>
      </c>
      <c r="E20" s="10">
        <v>2025</v>
      </c>
      <c r="F20" s="9">
        <v>1727079</v>
      </c>
      <c r="G20" s="9">
        <v>396729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9">
        <v>396729</v>
      </c>
    </row>
    <row r="21" spans="1:28" ht="39.950000000000003" customHeight="1" x14ac:dyDescent="0.25">
      <c r="A21" s="6" t="s">
        <v>59</v>
      </c>
      <c r="B21" s="7" t="s">
        <v>60</v>
      </c>
      <c r="C21" s="8" t="s">
        <v>61</v>
      </c>
      <c r="D21" s="10">
        <v>2022</v>
      </c>
      <c r="E21" s="10">
        <v>2026</v>
      </c>
      <c r="F21" s="9">
        <v>2017752</v>
      </c>
      <c r="G21" s="9">
        <v>422180</v>
      </c>
      <c r="H21" s="9">
        <v>422180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9">
        <v>844360</v>
      </c>
    </row>
    <row r="22" spans="1:28" ht="14.25" customHeight="1" x14ac:dyDescent="0.25">
      <c r="A22" s="2" t="s">
        <v>62</v>
      </c>
      <c r="B22" s="3" t="s">
        <v>33</v>
      </c>
      <c r="C22" s="3"/>
      <c r="D22" s="5"/>
      <c r="E22" s="5"/>
      <c r="F22" s="4">
        <f>SUMIF(A23:A52, "1.3.2.*", F23:F52)</f>
        <v>104854776</v>
      </c>
      <c r="G22" s="4">
        <f>SUMIF(A23:A52, "1.3.2.*", G23:G52)</f>
        <v>52049108.579999998</v>
      </c>
      <c r="H22" s="4">
        <f>SUMIF(A23:A52, "1.3.2.*", H23:H52)</f>
        <v>27596983</v>
      </c>
      <c r="I22" s="4">
        <f>SUMIF(A23:A52, "1.3.2.*", I23:I52)</f>
        <v>7500000</v>
      </c>
      <c r="J22" s="4">
        <f>SUMIF(A23:A52, "1.3.2.*", J23:J52)</f>
        <v>1000000</v>
      </c>
      <c r="K22" s="4">
        <f>SUMIF(A23:A52, "1.3.2.*", K23:K52)</f>
        <v>0</v>
      </c>
      <c r="L22" s="4">
        <f>SUMIF(A23:A52, "1.3.2.*", L23:L52)</f>
        <v>0</v>
      </c>
      <c r="M22" s="4">
        <f>SUMIF(A23:A52, "1.3.2.*", M23:M52)</f>
        <v>0</v>
      </c>
      <c r="N22" s="4">
        <f>SUMIF(A23:A52, "1.3.2.*", N23:N52)</f>
        <v>0</v>
      </c>
      <c r="O22" s="4">
        <f>SUMIF(A23:A52, "1.3.2.*", O23:O52)</f>
        <v>0</v>
      </c>
      <c r="P22" s="4">
        <f>SUMIF(A23:A52, "1.3.2.*", P23:P52)</f>
        <v>0</v>
      </c>
      <c r="Q22" s="4">
        <f>SUMIF(A23:A52, "1.3.2.*", Q23:Q52)</f>
        <v>0</v>
      </c>
      <c r="R22" s="4">
        <f>SUMIF(A23:A52, "1.3.2.*", R23:R52)</f>
        <v>0</v>
      </c>
      <c r="S22" s="4">
        <f>SUMIF(A23:A52, "1.3.2.*", S23:S52)</f>
        <v>0</v>
      </c>
      <c r="T22" s="4">
        <f>SUMIF(A23:A52, "1.3.2.*", T23:T52)</f>
        <v>0</v>
      </c>
      <c r="U22" s="4">
        <f>SUMIF(A23:A52, "1.3.2.*", U23:U52)</f>
        <v>0</v>
      </c>
      <c r="V22" s="4">
        <f>SUMIF(A23:A52, "1.3.2.*", V23:V52)</f>
        <v>0</v>
      </c>
      <c r="W22" s="4">
        <f>SUMIF(A23:A52, "1.3.2.*", W23:W52)</f>
        <v>0</v>
      </c>
      <c r="X22" s="4">
        <f>SUMIF(A23:A52, "1.3.2.*", X23:X52)</f>
        <v>0</v>
      </c>
      <c r="Y22" s="4">
        <f>SUMIF(A23:A52, "1.3.2.*", Y23:Y52)</f>
        <v>0</v>
      </c>
      <c r="Z22" s="4">
        <f>SUMIF(A23:A52, "1.3.2.*", Z23:Z52)</f>
        <v>0</v>
      </c>
      <c r="AA22" s="4">
        <f>SUMIF(A23:A52, "1.3.2.*", AA23:AA52)</f>
        <v>0</v>
      </c>
      <c r="AB22" s="4">
        <f>SUMIF(A23:A52, "1.3.2.*", AB23:AB52)</f>
        <v>88146091.580000013</v>
      </c>
    </row>
    <row r="23" spans="1:28" ht="52.9" customHeight="1" x14ac:dyDescent="0.25">
      <c r="A23" s="6" t="s">
        <v>63</v>
      </c>
      <c r="B23" s="7" t="s">
        <v>64</v>
      </c>
      <c r="C23" s="8" t="s">
        <v>65</v>
      </c>
      <c r="D23" s="10">
        <v>2023</v>
      </c>
      <c r="E23" s="10">
        <v>2026</v>
      </c>
      <c r="F23" s="9">
        <v>7748850</v>
      </c>
      <c r="G23" s="9">
        <v>2994425</v>
      </c>
      <c r="H23" s="9">
        <v>4494425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9">
        <v>7488850</v>
      </c>
    </row>
    <row r="24" spans="1:28" ht="27" customHeight="1" x14ac:dyDescent="0.25">
      <c r="A24" s="6" t="s">
        <v>66</v>
      </c>
      <c r="B24" s="7" t="s">
        <v>67</v>
      </c>
      <c r="C24" s="8" t="s">
        <v>65</v>
      </c>
      <c r="D24" s="10">
        <v>2017</v>
      </c>
      <c r="E24" s="10">
        <v>2025</v>
      </c>
      <c r="F24" s="9">
        <v>945000</v>
      </c>
      <c r="G24" s="9">
        <v>650000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9">
        <v>650000</v>
      </c>
    </row>
    <row r="25" spans="1:28" ht="39.950000000000003" customHeight="1" x14ac:dyDescent="0.25">
      <c r="A25" s="6" t="s">
        <v>68</v>
      </c>
      <c r="B25" s="7" t="s">
        <v>69</v>
      </c>
      <c r="C25" s="8" t="s">
        <v>70</v>
      </c>
      <c r="D25" s="10">
        <v>2018</v>
      </c>
      <c r="E25" s="10">
        <v>2026</v>
      </c>
      <c r="F25" s="9">
        <v>19102248</v>
      </c>
      <c r="G25" s="9">
        <v>9962376</v>
      </c>
      <c r="H25" s="9">
        <v>7209312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9">
        <v>17171688</v>
      </c>
    </row>
    <row r="26" spans="1:28" ht="39.950000000000003" customHeight="1" x14ac:dyDescent="0.25">
      <c r="A26" s="6" t="s">
        <v>71</v>
      </c>
      <c r="B26" s="7" t="s">
        <v>72</v>
      </c>
      <c r="C26" s="8" t="s">
        <v>65</v>
      </c>
      <c r="D26" s="10">
        <v>2021</v>
      </c>
      <c r="E26" s="10">
        <v>2025</v>
      </c>
      <c r="F26" s="9">
        <v>4466657</v>
      </c>
      <c r="G26" s="9">
        <v>2277776.69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9">
        <v>2277776.69</v>
      </c>
    </row>
    <row r="27" spans="1:28" ht="39.950000000000003" customHeight="1" x14ac:dyDescent="0.25">
      <c r="A27" s="6" t="s">
        <v>73</v>
      </c>
      <c r="B27" s="7" t="s">
        <v>74</v>
      </c>
      <c r="C27" s="8" t="s">
        <v>65</v>
      </c>
      <c r="D27" s="10">
        <v>2022</v>
      </c>
      <c r="E27" s="10">
        <v>2025</v>
      </c>
      <c r="F27" s="9">
        <v>14024558</v>
      </c>
      <c r="G27" s="9">
        <v>7013491.8600000003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9">
        <v>7013491.8600000003</v>
      </c>
    </row>
    <row r="28" spans="1:28" ht="27" customHeight="1" x14ac:dyDescent="0.25">
      <c r="A28" s="6" t="s">
        <v>75</v>
      </c>
      <c r="B28" s="7" t="s">
        <v>76</v>
      </c>
      <c r="C28" s="8" t="s">
        <v>65</v>
      </c>
      <c r="D28" s="10">
        <v>2023</v>
      </c>
      <c r="E28" s="10">
        <v>2027</v>
      </c>
      <c r="F28" s="9">
        <v>2149992</v>
      </c>
      <c r="G28" s="9">
        <v>480000</v>
      </c>
      <c r="H28" s="9">
        <v>500000</v>
      </c>
      <c r="I28" s="9">
        <v>200000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9">
        <v>1180000</v>
      </c>
    </row>
    <row r="29" spans="1:28" ht="39.950000000000003" customHeight="1" x14ac:dyDescent="0.25">
      <c r="A29" s="6" t="s">
        <v>77</v>
      </c>
      <c r="B29" s="7" t="s">
        <v>78</v>
      </c>
      <c r="C29" s="8" t="s">
        <v>65</v>
      </c>
      <c r="D29" s="10">
        <v>2024</v>
      </c>
      <c r="E29" s="10">
        <v>2025</v>
      </c>
      <c r="F29" s="9">
        <v>145140</v>
      </c>
      <c r="G29" s="9">
        <v>95140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9">
        <v>95140</v>
      </c>
    </row>
    <row r="30" spans="1:28" ht="39.950000000000003" customHeight="1" x14ac:dyDescent="0.25">
      <c r="A30" s="6" t="s">
        <v>79</v>
      </c>
      <c r="B30" s="7" t="s">
        <v>80</v>
      </c>
      <c r="C30" s="8" t="s">
        <v>65</v>
      </c>
      <c r="D30" s="10">
        <v>2024</v>
      </c>
      <c r="E30" s="10">
        <v>2025</v>
      </c>
      <c r="F30" s="9">
        <v>107010</v>
      </c>
      <c r="G30" s="9">
        <v>57010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9">
        <v>57010</v>
      </c>
    </row>
    <row r="31" spans="1:28" ht="39.950000000000003" customHeight="1" x14ac:dyDescent="0.25">
      <c r="A31" s="6" t="s">
        <v>81</v>
      </c>
      <c r="B31" s="7" t="s">
        <v>82</v>
      </c>
      <c r="C31" s="8" t="s">
        <v>65</v>
      </c>
      <c r="D31" s="10">
        <v>2024</v>
      </c>
      <c r="E31" s="10">
        <v>2025</v>
      </c>
      <c r="F31" s="9">
        <v>113160</v>
      </c>
      <c r="G31" s="9">
        <v>63160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9">
        <v>63160</v>
      </c>
    </row>
    <row r="32" spans="1:28" ht="39.950000000000003" customHeight="1" x14ac:dyDescent="0.25">
      <c r="A32" s="6" t="s">
        <v>83</v>
      </c>
      <c r="B32" s="7" t="s">
        <v>84</v>
      </c>
      <c r="C32" s="8" t="s">
        <v>65</v>
      </c>
      <c r="D32" s="10">
        <v>2024</v>
      </c>
      <c r="E32" s="10">
        <v>2025</v>
      </c>
      <c r="F32" s="9">
        <v>145140</v>
      </c>
      <c r="G32" s="9">
        <v>95140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9">
        <v>95140</v>
      </c>
    </row>
    <row r="33" spans="1:28" ht="52.9" customHeight="1" x14ac:dyDescent="0.25">
      <c r="A33" s="6" t="s">
        <v>85</v>
      </c>
      <c r="B33" s="7" t="s">
        <v>86</v>
      </c>
      <c r="C33" s="8" t="s">
        <v>65</v>
      </c>
      <c r="D33" s="10">
        <v>2022</v>
      </c>
      <c r="E33" s="10">
        <v>2025</v>
      </c>
      <c r="F33" s="9">
        <v>4447054</v>
      </c>
      <c r="G33" s="9">
        <v>4210353.7300000004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9">
        <v>4210353.7300000004</v>
      </c>
    </row>
    <row r="34" spans="1:28" ht="78.599999999999994" customHeight="1" x14ac:dyDescent="0.25">
      <c r="A34" s="6" t="s">
        <v>87</v>
      </c>
      <c r="B34" s="7" t="s">
        <v>88</v>
      </c>
      <c r="C34" s="8" t="s">
        <v>42</v>
      </c>
      <c r="D34" s="10">
        <v>2024</v>
      </c>
      <c r="E34" s="10">
        <v>2025</v>
      </c>
      <c r="F34" s="9">
        <v>121000</v>
      </c>
      <c r="G34" s="9">
        <v>121000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9">
        <v>121000</v>
      </c>
    </row>
    <row r="35" spans="1:28" ht="52.9" customHeight="1" x14ac:dyDescent="0.25">
      <c r="A35" s="6" t="s">
        <v>89</v>
      </c>
      <c r="B35" s="7" t="s">
        <v>90</v>
      </c>
      <c r="C35" s="8" t="s">
        <v>91</v>
      </c>
      <c r="D35" s="10">
        <v>2024</v>
      </c>
      <c r="E35" s="10">
        <v>2026</v>
      </c>
      <c r="F35" s="9">
        <v>3316441</v>
      </c>
      <c r="G35" s="9">
        <v>5000</v>
      </c>
      <c r="H35" s="9">
        <v>3217346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9">
        <v>3222346</v>
      </c>
    </row>
    <row r="36" spans="1:28" ht="65.650000000000006" customHeight="1" x14ac:dyDescent="0.25">
      <c r="A36" s="6" t="s">
        <v>92</v>
      </c>
      <c r="B36" s="7" t="s">
        <v>93</v>
      </c>
      <c r="C36" s="8" t="s">
        <v>94</v>
      </c>
      <c r="D36" s="10">
        <v>2024</v>
      </c>
      <c r="E36" s="10">
        <v>2026</v>
      </c>
      <c r="F36" s="9">
        <v>2520343</v>
      </c>
      <c r="G36" s="9">
        <v>817000</v>
      </c>
      <c r="H36" s="9">
        <v>800000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9">
        <v>1617000</v>
      </c>
    </row>
    <row r="37" spans="1:28" ht="39.950000000000003" customHeight="1" x14ac:dyDescent="0.25">
      <c r="A37" s="6" t="s">
        <v>95</v>
      </c>
      <c r="B37" s="7" t="s">
        <v>96</v>
      </c>
      <c r="C37" s="8" t="s">
        <v>42</v>
      </c>
      <c r="D37" s="10">
        <v>2024</v>
      </c>
      <c r="E37" s="10">
        <v>2026</v>
      </c>
      <c r="F37" s="9">
        <v>1000000</v>
      </c>
      <c r="G37" s="9">
        <v>1000000</v>
      </c>
      <c r="H37" s="9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9">
        <v>1000000</v>
      </c>
    </row>
    <row r="38" spans="1:28" ht="39.950000000000003" customHeight="1" x14ac:dyDescent="0.25">
      <c r="A38" s="6" t="s">
        <v>97</v>
      </c>
      <c r="B38" s="7" t="s">
        <v>98</v>
      </c>
      <c r="C38" s="8" t="s">
        <v>65</v>
      </c>
      <c r="D38" s="10">
        <v>2020</v>
      </c>
      <c r="E38" s="10">
        <v>2028</v>
      </c>
      <c r="F38" s="9">
        <v>3350000</v>
      </c>
      <c r="G38" s="9">
        <v>0</v>
      </c>
      <c r="H38" s="9">
        <v>900000</v>
      </c>
      <c r="I38" s="9">
        <v>1300000</v>
      </c>
      <c r="J38" s="9">
        <v>1000000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9">
        <v>3200000</v>
      </c>
    </row>
    <row r="39" spans="1:28" ht="65.650000000000006" customHeight="1" x14ac:dyDescent="0.25">
      <c r="A39" s="6" t="s">
        <v>99</v>
      </c>
      <c r="B39" s="7" t="s">
        <v>100</v>
      </c>
      <c r="C39" s="8" t="s">
        <v>65</v>
      </c>
      <c r="D39" s="10">
        <v>2025</v>
      </c>
      <c r="E39" s="10">
        <v>2026</v>
      </c>
      <c r="F39" s="9">
        <v>420000</v>
      </c>
      <c r="G39" s="9">
        <v>200000</v>
      </c>
      <c r="H39" s="9">
        <v>220000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9">
        <v>420000</v>
      </c>
    </row>
    <row r="40" spans="1:28" ht="52.9" customHeight="1" x14ac:dyDescent="0.25">
      <c r="A40" s="6" t="s">
        <v>101</v>
      </c>
      <c r="B40" s="7" t="s">
        <v>102</v>
      </c>
      <c r="C40" s="8" t="s">
        <v>65</v>
      </c>
      <c r="D40" s="10">
        <v>2025</v>
      </c>
      <c r="E40" s="10">
        <v>2026</v>
      </c>
      <c r="F40" s="9">
        <v>1100000</v>
      </c>
      <c r="G40" s="9">
        <v>500000</v>
      </c>
      <c r="H40" s="9">
        <v>600000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9">
        <v>1100000</v>
      </c>
    </row>
    <row r="41" spans="1:28" ht="65.650000000000006" customHeight="1" x14ac:dyDescent="0.25">
      <c r="A41" s="6" t="s">
        <v>103</v>
      </c>
      <c r="B41" s="7" t="s">
        <v>104</v>
      </c>
      <c r="C41" s="8" t="s">
        <v>65</v>
      </c>
      <c r="D41" s="10">
        <v>2024</v>
      </c>
      <c r="E41" s="10">
        <v>2027</v>
      </c>
      <c r="F41" s="9">
        <v>9349320</v>
      </c>
      <c r="G41" s="9">
        <v>279456</v>
      </c>
      <c r="H41" s="9">
        <v>3000000</v>
      </c>
      <c r="I41" s="9">
        <v>6000000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9">
        <v>9279456</v>
      </c>
    </row>
    <row r="42" spans="1:28" ht="65.650000000000006" customHeight="1" x14ac:dyDescent="0.25">
      <c r="A42" s="6" t="s">
        <v>105</v>
      </c>
      <c r="B42" s="7" t="s">
        <v>106</v>
      </c>
      <c r="C42" s="8" t="s">
        <v>42</v>
      </c>
      <c r="D42" s="10">
        <v>2021</v>
      </c>
      <c r="E42" s="10">
        <v>2026</v>
      </c>
      <c r="F42" s="9">
        <v>638010</v>
      </c>
      <c r="G42" s="9">
        <v>100000</v>
      </c>
      <c r="H42" s="9">
        <v>400000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9">
        <v>500000</v>
      </c>
    </row>
    <row r="43" spans="1:28" ht="39.950000000000003" customHeight="1" x14ac:dyDescent="0.25">
      <c r="A43" s="6" t="s">
        <v>107</v>
      </c>
      <c r="B43" s="7" t="s">
        <v>108</v>
      </c>
      <c r="C43" s="8" t="s">
        <v>65</v>
      </c>
      <c r="D43" s="10">
        <v>2024</v>
      </c>
      <c r="E43" s="10">
        <v>2026</v>
      </c>
      <c r="F43" s="9">
        <v>9000000</v>
      </c>
      <c r="G43" s="9">
        <v>4500000</v>
      </c>
      <c r="H43" s="9">
        <v>4500000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9">
        <v>9000000</v>
      </c>
    </row>
    <row r="44" spans="1:28" ht="27" customHeight="1" x14ac:dyDescent="0.25">
      <c r="A44" s="6" t="s">
        <v>109</v>
      </c>
      <c r="B44" s="7" t="s">
        <v>110</v>
      </c>
      <c r="C44" s="8" t="s">
        <v>65</v>
      </c>
      <c r="D44" s="10">
        <v>2024</v>
      </c>
      <c r="E44" s="10">
        <v>2025</v>
      </c>
      <c r="F44" s="9">
        <v>5494957</v>
      </c>
      <c r="G44" s="9">
        <v>4695852.68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9">
        <v>4695852.68</v>
      </c>
    </row>
    <row r="45" spans="1:28" ht="39.950000000000003" customHeight="1" x14ac:dyDescent="0.25">
      <c r="A45" s="6" t="s">
        <v>111</v>
      </c>
      <c r="B45" s="7" t="s">
        <v>112</v>
      </c>
      <c r="C45" s="8" t="s">
        <v>65</v>
      </c>
      <c r="D45" s="10">
        <v>2024</v>
      </c>
      <c r="E45" s="10">
        <v>2025</v>
      </c>
      <c r="F45" s="9">
        <v>11812776</v>
      </c>
      <c r="G45" s="9">
        <v>10510926.619999999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9">
        <v>10510926.619999999</v>
      </c>
    </row>
    <row r="46" spans="1:28" ht="27" customHeight="1" x14ac:dyDescent="0.25">
      <c r="A46" s="6" t="s">
        <v>113</v>
      </c>
      <c r="B46" s="7" t="s">
        <v>114</v>
      </c>
      <c r="C46" s="8" t="s">
        <v>65</v>
      </c>
      <c r="D46" s="10">
        <v>2025</v>
      </c>
      <c r="E46" s="10">
        <v>2026</v>
      </c>
      <c r="F46" s="9">
        <v>500000</v>
      </c>
      <c r="G46" s="9">
        <v>250000</v>
      </c>
      <c r="H46" s="9">
        <v>250000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9">
        <v>500000</v>
      </c>
    </row>
    <row r="47" spans="1:28" ht="27" customHeight="1" x14ac:dyDescent="0.25">
      <c r="A47" s="6" t="s">
        <v>115</v>
      </c>
      <c r="B47" s="7" t="s">
        <v>116</v>
      </c>
      <c r="C47" s="8" t="s">
        <v>65</v>
      </c>
      <c r="D47" s="10">
        <v>2025</v>
      </c>
      <c r="E47" s="10">
        <v>2026</v>
      </c>
      <c r="F47" s="9">
        <v>159900</v>
      </c>
      <c r="G47" s="9">
        <v>75000</v>
      </c>
      <c r="H47" s="9">
        <v>84900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9">
        <v>159900</v>
      </c>
    </row>
    <row r="48" spans="1:28" ht="27" customHeight="1" x14ac:dyDescent="0.25">
      <c r="A48" s="6" t="s">
        <v>117</v>
      </c>
      <c r="B48" s="7" t="s">
        <v>118</v>
      </c>
      <c r="C48" s="8" t="s">
        <v>65</v>
      </c>
      <c r="D48" s="10">
        <v>2024</v>
      </c>
      <c r="E48" s="10">
        <v>2025</v>
      </c>
      <c r="F48" s="9">
        <v>869000</v>
      </c>
      <c r="G48" s="9">
        <v>746000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9">
        <v>746000</v>
      </c>
    </row>
    <row r="49" spans="1:28" ht="27" customHeight="1" x14ac:dyDescent="0.25">
      <c r="A49" s="6" t="s">
        <v>119</v>
      </c>
      <c r="B49" s="7" t="s">
        <v>120</v>
      </c>
      <c r="C49" s="8" t="s">
        <v>121</v>
      </c>
      <c r="D49" s="10">
        <v>2024</v>
      </c>
      <c r="E49" s="10">
        <v>2025</v>
      </c>
      <c r="F49" s="9">
        <v>20000</v>
      </c>
      <c r="G49" s="9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9">
        <v>0</v>
      </c>
    </row>
    <row r="50" spans="1:28" ht="39.950000000000003" customHeight="1" x14ac:dyDescent="0.25">
      <c r="A50" s="6" t="s">
        <v>122</v>
      </c>
      <c r="B50" s="7" t="s">
        <v>123</v>
      </c>
      <c r="C50" s="8" t="s">
        <v>124</v>
      </c>
      <c r="D50" s="10">
        <v>2024</v>
      </c>
      <c r="E50" s="10">
        <v>2025</v>
      </c>
      <c r="F50" s="9">
        <v>17220</v>
      </c>
      <c r="G50" s="9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9">
        <v>0</v>
      </c>
    </row>
    <row r="51" spans="1:28" ht="27" customHeight="1" x14ac:dyDescent="0.25">
      <c r="A51" s="6" t="s">
        <v>125</v>
      </c>
      <c r="B51" s="7" t="s">
        <v>126</v>
      </c>
      <c r="C51" s="8" t="s">
        <v>65</v>
      </c>
      <c r="D51" s="10">
        <v>2025</v>
      </c>
      <c r="E51" s="10">
        <v>2026</v>
      </c>
      <c r="F51" s="9">
        <v>1771000</v>
      </c>
      <c r="G51" s="9">
        <v>350000</v>
      </c>
      <c r="H51" s="9">
        <v>1421000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9">
        <v>1771000</v>
      </c>
    </row>
  </sheetData>
  <conditionalFormatting sqref="B8:AB8">
    <cfRule type="beginsWith" dxfId="9" priority="1" operator="beginsWith" text="Tak">
      <formula>LEFT(B8,LEN("Tak"))="Tak"</formula>
    </cfRule>
    <cfRule type="beginsWith" dxfId="8" priority="2" operator="beginsWith" text="Nie">
      <formula>LEFT(B8,LEN("Nie"))="Nie"</formula>
    </cfRule>
  </conditionalFormatting>
  <conditionalFormatting sqref="B13:AB13">
    <cfRule type="beginsWith" dxfId="7" priority="3" operator="beginsWith" text="Tak">
      <formula>LEFT(B13,LEN("Tak"))="Tak"</formula>
    </cfRule>
    <cfRule type="beginsWith" dxfId="6" priority="4" operator="beginsWith" text="Nie">
      <formula>LEFT(B13,LEN("Nie"))="Nie"</formula>
    </cfRule>
  </conditionalFormatting>
  <conditionalFormatting sqref="B16:AB17">
    <cfRule type="beginsWith" dxfId="5" priority="5" operator="beginsWith" text="Tak">
      <formula>LEFT(B16,LEN("Tak"))="Tak"</formula>
    </cfRule>
    <cfRule type="beginsWith" dxfId="4" priority="6" operator="beginsWith" text="Nie">
      <formula>LEFT(B16,LEN("Nie"))="Nie"</formula>
    </cfRule>
  </conditionalFormatting>
  <conditionalFormatting sqref="B19:AB19">
    <cfRule type="beginsWith" dxfId="3" priority="9" operator="beginsWith" text="Tak">
      <formula>LEFT(B19,LEN("Tak"))="Tak"</formula>
    </cfRule>
    <cfRule type="beginsWith" dxfId="2" priority="10" operator="beginsWith" text="Nie">
      <formula>LEFT(B19,LEN("Nie"))="Nie"</formula>
    </cfRule>
  </conditionalFormatting>
  <conditionalFormatting sqref="B22:AB22">
    <cfRule type="beginsWith" dxfId="1" priority="11" operator="beginsWith" text="Tak">
      <formula>LEFT(B22,LEN("Tak"))="Tak"</formula>
    </cfRule>
    <cfRule type="beginsWith" dxfId="0" priority="12" operator="beginsWith" text="Nie">
      <formula>LEFT(B22,LEN("Nie"))="Nie"</formula>
    </cfRule>
  </conditionalFormatting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2</dc:subject>
  <dc:creator>http://www.publink.com/</dc:creator>
  <cp:keywords>wpf, wieloletnia prognoza finansowa, wpf asystent</cp:keywords>
  <cp:lastModifiedBy>Renata Gos</cp:lastModifiedBy>
  <cp:lastPrinted>2025-11-17T13:03:33Z</cp:lastPrinted>
  <dcterms:modified xsi:type="dcterms:W3CDTF">2025-11-17T13:06:56Z</dcterms:modified>
</cp:coreProperties>
</file>