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AppData\Local\Microsoft\Windows\INetCache\Content.Outlook\S8BJ9O0Z\"/>
    </mc:Choice>
  </mc:AlternateContent>
  <xr:revisionPtr revIDLastSave="0" documentId="13_ncr:1_{3CC64833-115B-4765-8838-9FA4FEC2F7F0}" xr6:coauthVersionLast="47" xr6:coauthVersionMax="47" xr10:uidLastSave="{00000000-0000-0000-0000-000000000000}"/>
  <bookViews>
    <workbookView xWindow="390" yWindow="390" windowWidth="28005" windowHeight="14625" tabRatio="821" xr2:uid="{00000000-000D-0000-FFFF-FFFF00000000}"/>
  </bookViews>
  <sheets>
    <sheet name="Tab.2a  " sheetId="88" r:id="rId1"/>
    <sheet name="Tab.3" sheetId="21" r:id="rId2"/>
    <sheet name="Tab.5" sheetId="87" r:id="rId3"/>
    <sheet name="Tab.7" sheetId="74" r:id="rId4"/>
    <sheet name="Zał.1" sheetId="71" r:id="rId5"/>
    <sheet name="Zał.2" sheetId="90" r:id="rId6"/>
  </sheets>
  <externalReferences>
    <externalReference r:id="rId7"/>
    <externalReference r:id="rId8"/>
    <externalReference r:id="rId9"/>
  </externalReferences>
  <definedNames>
    <definedName name="__xlnm.Print_Area_1" localSheetId="0">#REF!</definedName>
    <definedName name="__xlnm.Print_Area_1" localSheetId="1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2" hidden="1">Tab.5!$C$1:$C$187</definedName>
    <definedName name="_xlnm._FilterDatabase" localSheetId="3" hidden="1">Tab.7!$B$1:$B$41</definedName>
    <definedName name="IdWzor">[1]DaneZrodlowe!$N$3</definedName>
    <definedName name="Inwestycje" localSheetId="0">#REF!</definedName>
    <definedName name="Inwestycje" localSheetId="3">#REF!</definedName>
    <definedName name="Inwestycje" localSheetId="4">#REF!</definedName>
    <definedName name="Inwestycje" localSheetId="5">#REF!</definedName>
    <definedName name="Inwestycje">#REF!</definedName>
    <definedName name="KwartalRb">[2]definicja!$B$5</definedName>
    <definedName name="_xlnm.Print_Area" localSheetId="0">'Tab.2a  '!$A$2:$K$92</definedName>
    <definedName name="_xlnm.Print_Area" localSheetId="1">Tab.3!$B$2:$E$32</definedName>
    <definedName name="_xlnm.Print_Area" localSheetId="2">Tab.5!$A$1:$F$167</definedName>
    <definedName name="_xlnm.Print_Area" localSheetId="4">Zał.1!$A$2:$G$51</definedName>
    <definedName name="_xlnm.Print_Area" localSheetId="5">Zał.2!$A$1:$H$14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0">#REF!</definedName>
    <definedName name="t" localSheetId="1">#REF!</definedName>
    <definedName name="t" localSheetId="3">#REF!</definedName>
    <definedName name="t" localSheetId="4">#REF!</definedName>
    <definedName name="t" localSheetId="5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8" l="1"/>
  <c r="F7" i="88"/>
  <c r="G26" i="88"/>
  <c r="H26" i="88"/>
  <c r="F68" i="88"/>
  <c r="I87" i="88"/>
  <c r="J87" i="88"/>
  <c r="H63" i="88"/>
  <c r="I63" i="88"/>
  <c r="J63" i="88"/>
  <c r="G63" i="88"/>
  <c r="F62" i="88"/>
  <c r="F63" i="88" s="1"/>
  <c r="F60" i="88"/>
  <c r="E25" i="21" l="1"/>
  <c r="F10" i="74"/>
  <c r="G10" i="90"/>
  <c r="E10" i="90"/>
  <c r="G11" i="90"/>
  <c r="F11" i="90" s="1"/>
  <c r="E11" i="90"/>
  <c r="G6" i="90"/>
  <c r="E6" i="90"/>
  <c r="G7" i="90"/>
  <c r="E7" i="90"/>
  <c r="H14" i="90"/>
  <c r="F13" i="90"/>
  <c r="G12" i="90"/>
  <c r="F12" i="90"/>
  <c r="E12" i="90"/>
  <c r="F10" i="90"/>
  <c r="F9" i="90"/>
  <c r="G8" i="90"/>
  <c r="F8" i="90" s="1"/>
  <c r="E8" i="90"/>
  <c r="F7" i="90"/>
  <c r="F6" i="90"/>
  <c r="E14" i="90" l="1"/>
  <c r="F14" i="90"/>
  <c r="G14" i="90"/>
  <c r="F35" i="88" l="1"/>
  <c r="J32" i="88"/>
  <c r="J12" i="88"/>
  <c r="F8" i="88"/>
  <c r="J7" i="88"/>
  <c r="J86" i="88"/>
  <c r="I86" i="88"/>
  <c r="H86" i="88"/>
  <c r="G86" i="88"/>
  <c r="F85" i="88"/>
  <c r="F86" i="88" s="1"/>
  <c r="I84" i="88"/>
  <c r="H84" i="88"/>
  <c r="G84" i="88"/>
  <c r="F83" i="88"/>
  <c r="F84" i="88" s="1"/>
  <c r="J82" i="88"/>
  <c r="I82" i="88"/>
  <c r="H82" i="88"/>
  <c r="G82" i="88"/>
  <c r="F81" i="88"/>
  <c r="F82" i="88" s="1"/>
  <c r="J80" i="88"/>
  <c r="I80" i="88"/>
  <c r="H80" i="88"/>
  <c r="G80" i="88"/>
  <c r="F79" i="88"/>
  <c r="F80" i="88" s="1"/>
  <c r="J78" i="88"/>
  <c r="I78" i="88"/>
  <c r="H78" i="88"/>
  <c r="F77" i="88"/>
  <c r="G76" i="88"/>
  <c r="G78" i="88" s="1"/>
  <c r="I75" i="88"/>
  <c r="H75" i="88"/>
  <c r="F74" i="88"/>
  <c r="G73" i="88"/>
  <c r="G75" i="88" s="1"/>
  <c r="F72" i="88"/>
  <c r="F71" i="88"/>
  <c r="I70" i="88"/>
  <c r="H70" i="88"/>
  <c r="G70" i="88"/>
  <c r="F70" i="88"/>
  <c r="G67" i="88"/>
  <c r="F66" i="88"/>
  <c r="F67" i="88" s="1"/>
  <c r="I65" i="88"/>
  <c r="H65" i="88"/>
  <c r="G64" i="88"/>
  <c r="G65" i="88" s="1"/>
  <c r="F59" i="88"/>
  <c r="J57" i="88"/>
  <c r="I57" i="88"/>
  <c r="H57" i="88"/>
  <c r="G57" i="88"/>
  <c r="F56" i="88"/>
  <c r="F57" i="88" s="1"/>
  <c r="J55" i="88"/>
  <c r="I55" i="88"/>
  <c r="H55" i="88"/>
  <c r="G55" i="88"/>
  <c r="F54" i="88"/>
  <c r="F55" i="88" s="1"/>
  <c r="F52" i="88"/>
  <c r="I51" i="88"/>
  <c r="H51" i="88"/>
  <c r="G51" i="88"/>
  <c r="H49" i="88"/>
  <c r="H43" i="88" s="1"/>
  <c r="F47" i="88"/>
  <c r="F45" i="88"/>
  <c r="J43" i="88"/>
  <c r="I43" i="88"/>
  <c r="G43" i="88"/>
  <c r="G40" i="88"/>
  <c r="F40" i="88" s="1"/>
  <c r="J39" i="88"/>
  <c r="I39" i="88"/>
  <c r="H39" i="88"/>
  <c r="G38" i="88"/>
  <c r="F38" i="88" s="1"/>
  <c r="F36" i="88"/>
  <c r="F34" i="88"/>
  <c r="F33" i="88"/>
  <c r="I32" i="88"/>
  <c r="H32" i="88"/>
  <c r="G32" i="88"/>
  <c r="G31" i="88"/>
  <c r="F31" i="88" s="1"/>
  <c r="G30" i="88"/>
  <c r="G29" i="88" s="1"/>
  <c r="J29" i="88"/>
  <c r="I29" i="88"/>
  <c r="H29" i="88"/>
  <c r="G28" i="88"/>
  <c r="F28" i="88" s="1"/>
  <c r="F27" i="88"/>
  <c r="F26" i="88"/>
  <c r="F25" i="88"/>
  <c r="F24" i="88"/>
  <c r="J23" i="88"/>
  <c r="I23" i="88"/>
  <c r="H23" i="88"/>
  <c r="F22" i="88"/>
  <c r="F21" i="88"/>
  <c r="G19" i="88"/>
  <c r="G12" i="88" s="1"/>
  <c r="F17" i="88"/>
  <c r="F16" i="88"/>
  <c r="F13" i="88"/>
  <c r="I12" i="88"/>
  <c r="H12" i="88"/>
  <c r="F10" i="88"/>
  <c r="G9" i="88"/>
  <c r="G7" i="88" s="1"/>
  <c r="I7" i="88"/>
  <c r="H7" i="88"/>
  <c r="F73" i="88" l="1"/>
  <c r="F75" i="88"/>
  <c r="F32" i="88"/>
  <c r="F29" i="88"/>
  <c r="F64" i="88"/>
  <c r="F65" i="88" s="1"/>
  <c r="F49" i="88"/>
  <c r="G39" i="88"/>
  <c r="F39" i="88" s="1"/>
  <c r="I53" i="88"/>
  <c r="F19" i="88"/>
  <c r="F51" i="88"/>
  <c r="J53" i="88"/>
  <c r="F76" i="88"/>
  <c r="F78" i="88" s="1"/>
  <c r="F30" i="88"/>
  <c r="H53" i="88"/>
  <c r="H87" i="88" s="1"/>
  <c r="F43" i="88"/>
  <c r="F9" i="88"/>
  <c r="G23" i="88"/>
  <c r="F23" i="88" s="1"/>
  <c r="G37" i="88"/>
  <c r="F37" i="88" s="1"/>
  <c r="F53" i="88" l="1"/>
  <c r="F87" i="88" s="1"/>
  <c r="G53" i="88"/>
  <c r="G87" i="88" s="1"/>
  <c r="F15" i="74" l="1"/>
  <c r="F8" i="74" l="1"/>
  <c r="F6" i="74"/>
  <c r="E23" i="21" l="1"/>
  <c r="E22" i="21"/>
  <c r="E21" i="21"/>
  <c r="F27" i="74" l="1"/>
  <c r="F26" i="74" s="1"/>
  <c r="E18" i="21" l="1"/>
  <c r="E17" i="21" s="1"/>
  <c r="F20" i="74" l="1"/>
  <c r="F19" i="74" s="1"/>
  <c r="G25" i="74" l="1"/>
  <c r="G14" i="74" l="1"/>
  <c r="F14" i="74"/>
  <c r="F13" i="74" s="1"/>
  <c r="F39" i="74" l="1"/>
  <c r="F38" i="74" s="1"/>
  <c r="G38" i="74"/>
  <c r="G35" i="74"/>
  <c r="F35" i="74"/>
  <c r="G33" i="74"/>
  <c r="G30" i="74"/>
  <c r="F30" i="74"/>
  <c r="G23" i="74"/>
  <c r="G22" i="74" s="1"/>
  <c r="F23" i="74"/>
  <c r="F22" i="74" s="1"/>
  <c r="G16" i="74"/>
  <c r="G13" i="74" s="1"/>
  <c r="F16" i="74"/>
  <c r="G8" i="74"/>
  <c r="G6" i="74"/>
  <c r="E20" i="21"/>
  <c r="G37" i="71"/>
  <c r="G50" i="71" s="1"/>
  <c r="F50" i="71"/>
  <c r="E50" i="71"/>
  <c r="G17" i="71"/>
  <c r="F17" i="71"/>
  <c r="E17" i="71"/>
  <c r="G5" i="74" l="1"/>
  <c r="F29" i="74"/>
  <c r="G29" i="74"/>
  <c r="F5" i="74"/>
  <c r="G51" i="71"/>
  <c r="F41" i="74" l="1"/>
  <c r="G41" i="74"/>
  <c r="E15" i="21"/>
  <c r="E14" i="21" l="1"/>
  <c r="E29" i="21" l="1"/>
  <c r="E10" i="21"/>
  <c r="E7" i="21"/>
  <c r="E13" i="21" l="1"/>
</calcChain>
</file>

<file path=xl/sharedStrings.xml><?xml version="1.0" encoding="utf-8"?>
<sst xmlns="http://schemas.openxmlformats.org/spreadsheetml/2006/main" count="1041" uniqueCount="403">
  <si>
    <t>Dział</t>
  </si>
  <si>
    <t>Rozdział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</si>
  <si>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</si>
  <si>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</si>
  <si>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</si>
  <si>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</si>
  <si>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</si>
  <si>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</si>
  <si>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</si>
  <si>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</si>
  <si>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</si>
  <si>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</si>
  <si>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</si>
  <si>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</si>
  <si>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</si>
  <si>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</si>
  <si>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</si>
  <si>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</si>
  <si>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</si>
  <si>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</si>
  <si>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</si>
  <si>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</si>
  <si>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Dochody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</si>
  <si>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</si>
  <si>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</si>
  <si>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</si>
  <si>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</si>
  <si>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</si>
  <si>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</si>
  <si>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</si>
  <si>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</si>
  <si>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</si>
  <si>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</si>
  <si>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w tym: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</si>
  <si>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</si>
  <si>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</si>
  <si>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</si>
  <si>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</si>
  <si>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</si>
  <si>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</si>
  <si>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Przychody ze sprzedaży innych papierów wartościowych</t>
  </si>
  <si>
    <t>§ 931</t>
  </si>
  <si>
    <t>a)  środki z Rządowego Funduszu Inwestycji Lokalnych</t>
  </si>
  <si>
    <t>b)  środki z Rządowego Funduszu Rozwoju Dróg</t>
  </si>
  <si>
    <t>• na wydatki majątkowe</t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</si>
  <si>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majątkowe</t>
    </r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</si>
  <si>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bieżące </t>
    </r>
  </si>
  <si>
    <t>Przychody i rozchody budżetu w 2023 roku - po zmianach</t>
  </si>
  <si>
    <t>§</t>
  </si>
  <si>
    <t>Nazwa zadania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</si>
  <si>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</si>
  <si>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</si>
  <si>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</si>
  <si>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</si>
  <si>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</si>
  <si>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</si>
  <si>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</si>
  <si>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Dotacja celowa na pomoc finansową udzielaną między jednostkami samorządu terytorialnego na dofinansowanie własnych zadań inwestycyjnych i zakupów inwestycyjnych</t>
  </si>
  <si>
    <t>Dotacja celowa na pomoc finansową udzielaną między jednostkami samorządu terytorialnego na dofinansowanie własnych zadań bieżących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</si>
  <si>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</si>
  <si>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</si>
  <si>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</si>
  <si>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</si>
  <si>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</si>
  <si>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</si>
  <si>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</si>
  <si>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Dotacja celowa z budżetu na finansowanie lub dofinansowanie kosztów realizacji inwestycji i zakupów inwestycyjnych jednostek nie 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</si>
  <si>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</si>
  <si>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</si>
  <si>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Dotacja celowa z budżetu na finansowanie lub dofinansowanie prac remontowych i konserwatorskich obiektów zabytkowych przekazane jednostkom niezaliczanym do sektora finansów publicznych</t>
  </si>
  <si>
    <t>Razem jednostki nienależące do sektora finansów publicznych</t>
  </si>
  <si>
    <t>Ogółem plan dotacji na 2023 rok</t>
  </si>
  <si>
    <t>Paragraf</t>
  </si>
  <si>
    <t>Wyszczególnienie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</si>
  <si>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</si>
  <si>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</si>
  <si>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</si>
  <si>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</si>
  <si>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</si>
  <si>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</si>
  <si>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</si>
  <si>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</si>
  <si>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</si>
  <si>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</si>
  <si>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</si>
  <si>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</si>
  <si>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</si>
  <si>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</si>
  <si>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</si>
  <si>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</si>
  <si>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</si>
  <si>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</si>
  <si>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</si>
  <si>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</si>
  <si>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</si>
  <si>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</si>
  <si>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</si>
  <si>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</si>
  <si>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</si>
  <si>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</si>
  <si>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</si>
  <si>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</si>
  <si>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</si>
  <si>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</si>
  <si>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</si>
  <si>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</si>
  <si>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</si>
  <si>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</si>
  <si>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</si>
  <si>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</si>
  <si>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</si>
  <si>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752</t>
  </si>
  <si>
    <t>Obrona narodowa</t>
  </si>
  <si>
    <t>75224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</si>
  <si>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</si>
  <si>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</si>
  <si>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</si>
  <si>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</si>
  <si>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</si>
  <si>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</si>
  <si>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</si>
  <si>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</si>
  <si>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</si>
  <si>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Opłaty na rzecz budżetu państwa</t>
  </si>
  <si>
    <t>755</t>
  </si>
  <si>
    <t>Wymiar sprawiedliwości</t>
  </si>
  <si>
    <t>75515</t>
  </si>
  <si>
    <t>Nieodpłatna pomoc prawna</t>
  </si>
  <si>
    <t>Ochrona zdrowia</t>
  </si>
  <si>
    <t>Składki na ubezpieczenie zdrowotne</t>
  </si>
  <si>
    <t>852</t>
  </si>
  <si>
    <t>Pomoc społeczna</t>
  </si>
  <si>
    <t>Ośrodki wsparcia</t>
  </si>
  <si>
    <t>85231</t>
  </si>
  <si>
    <t>Pomoc dla cudzoziemców</t>
  </si>
  <si>
    <t>Świadczenia społeczne</t>
  </si>
  <si>
    <t>Pozostałe zadania w zakresie polityki społecznej</t>
  </si>
  <si>
    <t>Zespoły do spraw orzekania o niepełnosprawności</t>
  </si>
  <si>
    <t>Razem</t>
  </si>
  <si>
    <t>Transport i łączność</t>
  </si>
  <si>
    <t>Lokalny transport zbiorowy</t>
  </si>
  <si>
    <t>Dotacja celowa przekazana gminie na zadania bieżące realizowane na podstawie porozumień (umów) między jednostkami samorządu terytorialnego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</si>
  <si>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</si>
  <si>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</si>
  <si>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Pozostala działalność</t>
  </si>
  <si>
    <t>Rehabilitacja zawodowa i społeczna osób niepełnosprawnych</t>
  </si>
  <si>
    <t>Dotacja celowa otrzymana z powiatu na zadania bieżące realizowane na podstawie porozumień (umów) między jednostkami samorządu terytorialnego</t>
  </si>
  <si>
    <t>Dotacja celowa przekazana dla powiatu na zadania bieżące realizowane na podstawie porozumień (umów) między jednostkami samorządu terytorialnego</t>
  </si>
  <si>
    <t>Rodzina</t>
  </si>
  <si>
    <t>Rodziny zastępcze</t>
  </si>
  <si>
    <t>Działalność ośrodków adopcyjnych</t>
  </si>
  <si>
    <t>Dotacja celowa przekazana do samorządu województwa na zadania bieżące realizowane na podstawie porozumień (umów) między jednostkami samorządu terytorialnego</t>
  </si>
  <si>
    <t>Działalność placówek opiekuńczo-wychowawczych</t>
  </si>
  <si>
    <t>Kultura i ochrona dziedzictwa narodowego</t>
  </si>
  <si>
    <t>Biblioteki</t>
  </si>
  <si>
    <t>Dotacja celowa otrzymana z tytułu pomocy finansowej udzielanej między jednostkami samorządu terytorialnego na dofinansowanie własnych zadań bieżących</t>
  </si>
  <si>
    <t>Dochody i wydatki związane z realizacją zadań realizowanych w drodze umów lub porozumień między                                              jednostkami samorządu terytorialnego na 2023 rok - po zmianach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</si>
  <si>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</si>
  <si>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</si>
  <si>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</si>
  <si>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</si>
  <si>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</si>
  <si>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</si>
  <si>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</si>
  <si>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</si>
  <si>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</si>
  <si>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</si>
  <si>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</si>
  <si>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</si>
  <si>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</si>
  <si>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</si>
  <si>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</si>
  <si>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</si>
  <si>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</si>
  <si>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</si>
  <si>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</si>
  <si>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</si>
  <si>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</si>
  <si>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</si>
  <si>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</si>
  <si>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</si>
  <si>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</si>
  <si>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</si>
  <si>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</si>
  <si>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</si>
  <si>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</si>
  <si>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</si>
  <si>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</si>
  <si>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</si>
  <si>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</si>
  <si>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</si>
  <si>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</si>
  <si>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Kwalifikacja wojskowa.</t>
  </si>
  <si>
    <t>754</t>
  </si>
  <si>
    <t>75411</t>
  </si>
  <si>
    <t>3070</t>
  </si>
  <si>
    <t>4050</t>
  </si>
  <si>
    <t>4060</t>
  </si>
  <si>
    <t>4070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</si>
  <si>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</si>
  <si>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</si>
  <si>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</si>
  <si>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</si>
  <si>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</si>
  <si>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4510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</si>
  <si>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</si>
  <si>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</si>
  <si>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</si>
  <si>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</si>
  <si>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4130</t>
  </si>
  <si>
    <t>85203</t>
  </si>
  <si>
    <t>3110</t>
  </si>
  <si>
    <t>853</t>
  </si>
  <si>
    <t>85321</t>
  </si>
  <si>
    <t>Razem:</t>
  </si>
  <si>
    <t>Dochody i wydatki związane z realizacją zadań z zakresu administracji rządowej i innych zadań zleconych                                                                jednostce samorządu terytorialnego odrębnymi ustawami na 2023 rok - po zmianach</t>
  </si>
  <si>
    <t>Starostwa powiatowe</t>
  </si>
  <si>
    <t>Dotacje udzielone w 2023 roku z budżetu podmiotom należącym                                                                                               i nienależącym do sektora finansów publicznych - po zmianach</t>
  </si>
  <si>
    <t>Pozostała działalność</t>
  </si>
  <si>
    <t>Plan wydatków majątkowych na 2023 rok  - po zmianach</t>
  </si>
  <si>
    <t>Rozdz.</t>
  </si>
  <si>
    <t>Plan</t>
  </si>
  <si>
    <t>z tego:</t>
  </si>
  <si>
    <t>Uwagi</t>
  </si>
  <si>
    <t>środki własne</t>
  </si>
  <si>
    <t>kredyty, pożyczki, obligacje</t>
  </si>
  <si>
    <t>środki o których mowa w art. 5 ust. 1 pkt 2 i 3 uofp</t>
  </si>
  <si>
    <t>środki pochodzące                  z innych źródeł                     (w tym dotacje)</t>
  </si>
  <si>
    <t>8.</t>
  </si>
  <si>
    <t>9.</t>
  </si>
  <si>
    <t>10.</t>
  </si>
  <si>
    <t>11.</t>
  </si>
  <si>
    <t>12.</t>
  </si>
  <si>
    <t>Gmina Celestynów</t>
  </si>
  <si>
    <t xml:space="preserve">Rozbudowa dróg powiatowych Nr 2715W i Nr 2716W w miejsc. Dyzin, Jatne i Celestynów, gm. Celestynów, powiat otwocki </t>
  </si>
  <si>
    <t>Wykonanie dokumentacji</t>
  </si>
  <si>
    <t>WPF</t>
  </si>
  <si>
    <t xml:space="preserve">Przebudowa mostu w drodze powiatowej Nr 2722W w Pogorzeli 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</si>
  <si>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</si>
  <si>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Gmina Otwock</t>
  </si>
  <si>
    <t>Rozbudowa skrzyżowania dróg powiatowych Nr 2765W ul. Karczewskiej i Nr 2760W  ul. Batorego i ul. Matejki w Otwocku</t>
  </si>
  <si>
    <t>B.700 000</t>
  </si>
  <si>
    <t>D. 900 001</t>
  </si>
  <si>
    <t>Poprawa bezpieczeństwa ruchu poprzez budowę ciągów pieszych i rowerowych na ul. Warszawskiej, ul. Jana Pawła II i ul. Poniatowskiego</t>
  </si>
  <si>
    <t xml:space="preserve">Rozbudowa drogi powiatowej Nr 2715W </t>
  </si>
  <si>
    <t>ul. Powstańców Warszawy i            ul. Wawerska w Otwocku</t>
  </si>
  <si>
    <t>Rozbudowa drogi powiatowej Nr 2765W - ul. Karczewskiej, Staszica w Otwocku na odcinku od km 0+000 do km 0+717</t>
  </si>
  <si>
    <t>Przebudowa sygnalizacji świetlnej na skrzyżowaniu dróg powiatowych Nr 2765W - ul. Kołłątaja i Nr 2763W - ul. Majowej w Otwocku</t>
  </si>
  <si>
    <t>Gmina Kołbiel</t>
  </si>
  <si>
    <t>Poprawa bezpieństwa na drodze powiatowej 2739W w m. Gadka</t>
  </si>
  <si>
    <t>F. 1 127 000</t>
  </si>
  <si>
    <t>Przebudowa drogi powiatowej Nr 2245W m. Dobrzyniec, gmina Kołbiel</t>
  </si>
  <si>
    <t>Gmina Sobienie Jeziory</t>
  </si>
  <si>
    <t>Przebudowa drogi powiatowej Nr 2753W na odcinku Sobienie Jeziory - Radwanków</t>
  </si>
  <si>
    <t>Modernizacja drogi powiatowej Nr 2735W i Nr 2749W</t>
  </si>
  <si>
    <t>B. 200 000</t>
  </si>
  <si>
    <t>Gmina Wiązowna</t>
  </si>
  <si>
    <t>13.</t>
  </si>
  <si>
    <t>Rozbudowa skrzyżowania ul. Napoleońskiej i Łąkowej w Gliniance</t>
  </si>
  <si>
    <t>F. 1 960 000</t>
  </si>
  <si>
    <t>14.</t>
  </si>
  <si>
    <t>Rozbudowa drogi powiatowej Nr 2709W Żanęcin - Dziechciniec w miejscowości Żanęcin</t>
  </si>
  <si>
    <t>Gmina Osieck</t>
  </si>
  <si>
    <t>15.</t>
  </si>
  <si>
    <t>Poprawa bezpieczeństwa na drodze powiatowej Nr 1315W w m. Augustówka</t>
  </si>
  <si>
    <t>ZADANIA MIĘDZYGMINNE</t>
  </si>
  <si>
    <t>16.</t>
  </si>
  <si>
    <t>Modernizacja infrastruktury drogowej dróg powiatowych Powiatu Otwockiego polegająca na modernizacji przepraw przez cieki (mosty w m. Glinianka, Kąty, Grabianka, Janów, Nadbrzeż, Brzezinka)</t>
  </si>
  <si>
    <t>17.</t>
  </si>
  <si>
    <t xml:space="preserve">Modernizacja infrastruktury dróg powiatowych Powiatu Otwockiego polegająca na modernizacji przepraw przez cieki </t>
  </si>
  <si>
    <t>18.</t>
  </si>
  <si>
    <t>Modernizacja infrastruktury drogowej Powiatu Otwockiego polegająca na modernizacji przepraw przez cieki wodne  - etap II</t>
  </si>
  <si>
    <t>19.</t>
  </si>
  <si>
    <t>Modernizacja infrastruktury drogowej i mostowej na terenie Powiatu Otwockiego</t>
  </si>
  <si>
    <t>Zakupy inwestycyjne w  ZDP</t>
  </si>
  <si>
    <t>20.</t>
  </si>
  <si>
    <t>Zakupy inwestycyjne w Zarządzie Dróg Powiatowych</t>
  </si>
  <si>
    <t>Razem Rozdział 60014</t>
  </si>
  <si>
    <t>21.</t>
  </si>
  <si>
    <t>Rezerwa na inwestycje i zakupy inwestycyjne</t>
  </si>
  <si>
    <t>Razem rozdział 75818</t>
  </si>
  <si>
    <t>22.</t>
  </si>
  <si>
    <t>Wniesienie wkładu pieniężnego - zwiększenie udziału w Powiatowym Centrum Zdrowia Sp. z o.o.</t>
  </si>
  <si>
    <t>23.</t>
  </si>
  <si>
    <t>Dotacja dla Powiatowego Centrum Zdrowia Sp. z o.o. w Otwocku na przebudowę i modernizację podziemia szpitala oraz modernizację przychodni specjalistycznej</t>
  </si>
  <si>
    <t>Razem Rozdział 85111</t>
  </si>
  <si>
    <t>24.</t>
  </si>
  <si>
    <t>Rozbudowa i modernizacja Domu Pomocy Społecznej Wrzos w Otwocku</t>
  </si>
  <si>
    <t xml:space="preserve">F. 4 675 000                      </t>
  </si>
  <si>
    <t>Razem Rozdział 85202</t>
  </si>
  <si>
    <t>25.</t>
  </si>
  <si>
    <t>Budowa przydomowej oczyszczalni ścieków na potrzeby RDD Podbiel</t>
  </si>
  <si>
    <t>Razem Rozdział 85510</t>
  </si>
  <si>
    <t>Ogółem</t>
  </si>
  <si>
    <t>B. Środki i dotacje otrzymane od innych jst oraz innych jednostek zaliczanych do sektora finansów publicznych</t>
  </si>
  <si>
    <t>C. Inne źródła  - Rządowy Fundusz Inwestycji Lokalnych 2020</t>
  </si>
  <si>
    <t>D. Inne źródła  - Rządowy Fundusz Inwestycji Lokalnych 2021</t>
  </si>
  <si>
    <t>F. Inne źródła - Program Inwestycji Strategicznych - Polski Ład</t>
  </si>
  <si>
    <t>Razem Rozdział 85407</t>
  </si>
  <si>
    <t>26.</t>
  </si>
  <si>
    <t>• na wydatki majątkowe z odsetek</t>
  </si>
  <si>
    <t>A. 1 054 004</t>
  </si>
  <si>
    <t xml:space="preserve">D. 3 244 760  </t>
  </si>
  <si>
    <t>A. 0</t>
  </si>
  <si>
    <t>Przebudowa drogi powiatowej Nr 2736W w m. Teresin</t>
  </si>
  <si>
    <t>środki z rezerwy subwencji ogólnej</t>
  </si>
  <si>
    <t>A. 190 442</t>
  </si>
  <si>
    <t>Gmina Karczew</t>
  </si>
  <si>
    <t>Przebudowa drogi powiatowej Nr 2729W w m. Glinki</t>
  </si>
  <si>
    <t xml:space="preserve">Przebudowa drogi powiatowej Nr 2730W Nadbrzeż – Glinki </t>
  </si>
  <si>
    <t xml:space="preserve"> Modernizacja chodnika w drodze powiatowej Nr 2760W ul. Filipowicza w Otwocku</t>
  </si>
  <si>
    <t>B. 44 678</t>
  </si>
  <si>
    <t>27.</t>
  </si>
  <si>
    <t>28.</t>
  </si>
  <si>
    <t>29.</t>
  </si>
  <si>
    <t>30.</t>
  </si>
  <si>
    <t>31.</t>
  </si>
  <si>
    <t>32.</t>
  </si>
  <si>
    <t>Placówki wychowania pozaszkolnego</t>
  </si>
  <si>
    <t>Edukacyjna opieka wychowawcza</t>
  </si>
  <si>
    <t>D. 2 412 513,15</t>
  </si>
  <si>
    <t>85395</t>
  </si>
  <si>
    <t>Razem Rozdział 85403</t>
  </si>
  <si>
    <t>33.</t>
  </si>
  <si>
    <t>Modernizacja boiska do koszykówki – budowa piłkochwytów i montaż koszy na terenie  Powiatowego Młodzieżowego Domu Kultury w Otwocku</t>
  </si>
  <si>
    <t>środki na zadania określone w ustawie o ochronie gruntów rolnych i leśnych</t>
  </si>
  <si>
    <t>A. Dotacje i środki z budżetu państwa (np. od wojewody, MEN, UKFiS, …), w tym: Rządowy Fundusz Rozwoju Dróg</t>
  </si>
  <si>
    <t>Przebudowa drogi powiatowej Nr 2762W ul. Kraszewskiego w Otwocku na odcinku od ronda przy  ul. Mieszka do ronda przy ul. Batorego</t>
  </si>
  <si>
    <t>D. 300 000 (odsetki RFiL)</t>
  </si>
  <si>
    <t>Przebudowa drogi powiatowej Nr 2709W na odcinku od ul. Dworskiej do                        ul. Olchowej w miejscowości  Dziechciniec</t>
  </si>
  <si>
    <t xml:space="preserve">Budowa boiska sportowego (podbudowa i nawierzchnia poliuretanowa) wraz z zadaszeniem na terenie Specjalnego Ośrodka Szkolno-Wychowawczego  Nr 1              im. Marii Konopnickiej w Otwocku
</t>
  </si>
  <si>
    <t>A. 6 813 522,05     B. 6 820 000</t>
  </si>
  <si>
    <t xml:space="preserve">A. 155 554              B. 200 000  </t>
  </si>
  <si>
    <t>Zakup prawa własności zabudowanej nieruchomości stanowiącej działkę                           ew. nr 25/2 obr. 24, położonej w Józefowie przy ul. Sienkiewicza 28</t>
  </si>
  <si>
    <t>Razem rozdział 70095</t>
  </si>
  <si>
    <t>Razem Rozdział 85311</t>
  </si>
  <si>
    <t>34.</t>
  </si>
  <si>
    <t>35.</t>
  </si>
  <si>
    <t>Dotacja celowa otrzymana z samorządu województwa na inwestycje i zakupy inwestycyjne realizowane na podstawie porozumień (umów) między jednostkami samorządu terytorialnego</t>
  </si>
  <si>
    <t>801</t>
  </si>
  <si>
    <t>Oświata i wychowanie</t>
  </si>
  <si>
    <t>80153</t>
  </si>
  <si>
    <t>Zapewnienie uczniom prawa do bezpłatnego dostępu do podręczników, materiałów edukacyjnych lub materiałów ćwiczeniowych</t>
  </si>
  <si>
    <t>2830</t>
  </si>
  <si>
    <t>Dotacja celowa z budżetu na finansowanie lub dofinansowanie zadań zleconych do realizacji pozostałym jednostkom nie zaliczanym do sektora finansów publicznych</t>
  </si>
  <si>
    <t>4240</t>
  </si>
  <si>
    <t>Zakup środków dydaktycznych i książek</t>
  </si>
  <si>
    <t>Dotacja na sfinansowanie wymaganego wkładu własnego dla placówki prowadzącej  Warsztaty Terapii Zajęciowej  przez  Polskie Stowarzyszenie na Rzecz Osób  z Niepełnosprawnością Intelektualną   w Otwocku,                                                         ul. Moniuszki 41 na zakup autobusu przystosowanego do przewozu osób niepełnosprawnych</t>
  </si>
  <si>
    <t>Wykonanie nakładki asfaltobetonowej w drodze powiatowej Nr 2719W w miejscowości Lasek, gmina Celestynów</t>
  </si>
  <si>
    <t>F. 0</t>
  </si>
  <si>
    <t>F.0</t>
  </si>
  <si>
    <t>Przyjazna przestrzeń w Domu Pomocy Społecznej „Anielin” – dostępność informacyjno-komunikacyjna (zakup planu tyflograficznego)</t>
  </si>
  <si>
    <t>36.</t>
  </si>
  <si>
    <t>37.</t>
  </si>
  <si>
    <t>Dostępny PCPR – dostępność architektoniczna (wykonanie podjazdu dla osób niepełnosprawnych)</t>
  </si>
  <si>
    <t xml:space="preserve">Dostępny PCPR – dostępność informacyjno-komunikacyjna (zakup planu tyflograficznego). </t>
  </si>
  <si>
    <t>Razem Rozdział 85218</t>
  </si>
  <si>
    <t>38.</t>
  </si>
  <si>
    <t>39.</t>
  </si>
  <si>
    <t>Razem rozdział 75020</t>
  </si>
  <si>
    <t>40.</t>
  </si>
  <si>
    <t>C. 1 000,87              C. 707,46 (odsetki RFiL)     D. 151 619,67 (odsetki RFiL)</t>
  </si>
  <si>
    <t>Zakup i dostawa kontenera biurowego  wraz montażem     na potrzeby  archiwum zakładowego Starostwa Powiatowego w Otwocku przy ul. Komunardów 10</t>
  </si>
  <si>
    <t>Razem rozdział 75410</t>
  </si>
  <si>
    <t>B. 50 000,00</t>
  </si>
  <si>
    <t>Rozbudowa drogi powiatowej Nr 2757W ul. Warszawskiej i ul. Jana Pawła II w Otwocku</t>
  </si>
  <si>
    <t>Razem rozdział 80120</t>
  </si>
  <si>
    <t>Przyjazna przestrzeń w Domu Pomocy Społecznej „Anielin” –                 dostępność architektoniczna (dostosowanie łazienek do potrzeb osób niepełnosprawnych)</t>
  </si>
  <si>
    <t>41.</t>
  </si>
  <si>
    <t>42.</t>
  </si>
  <si>
    <t>43.</t>
  </si>
  <si>
    <t>44.</t>
  </si>
  <si>
    <t>Dotacja celowa z budżetu na finansowanie lub dofinansowanie zadań zleconych do realizacji fundacjom</t>
  </si>
  <si>
    <t>Prace konserwatorskie i restauratorskie zachodniej elewacji budynku Liceum Ogólnokształcącego Nr I im. K.I. Gałczyńskiego w Otwocku</t>
  </si>
  <si>
    <t>Wpłata na zakup i montaż instalacji fotowoltaicznej na budynku Komendy Powiatowej PSP w Otwocku</t>
  </si>
  <si>
    <t xml:space="preserve">Zakup i montaż regałów przesuwnych do składnicy akt w Powiatowym Inspektoracie Nadzoru Budowlanego </t>
  </si>
  <si>
    <t>B. 40 005</t>
  </si>
  <si>
    <t>Razem rozdział 71015</t>
  </si>
  <si>
    <t>45.</t>
  </si>
  <si>
    <t>B.10 000</t>
  </si>
  <si>
    <t xml:space="preserve"> B. 348 000</t>
  </si>
  <si>
    <t>Plan dochodów rachunku dochodów jednostek oświatowych                                                                        oraz wydatków nimi finansowanych w 2023 roku - po zmianach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</si>
  <si>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</si>
  <si>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</si>
  <si>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</si>
  <si>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</si>
  <si>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</si>
  <si>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Liceum Ogólnokształcące Nr I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</si>
  <si>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</si>
  <si>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</si>
  <si>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</si>
  <si>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</si>
  <si>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</si>
  <si>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</si>
  <si>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Razem rozdział 75411</t>
  </si>
  <si>
    <t>46.</t>
  </si>
  <si>
    <t>6410</t>
  </si>
  <si>
    <t>Dotacja celowa otrzymana z budżetu państwa na inwestycje i zakupy inwestycyjne z zakresu administracji rządowej oraz inne zadania zlecone ustawami realizowane przez powiat</t>
  </si>
  <si>
    <t>6060</t>
  </si>
  <si>
    <t>Wydatki na zakupy inwestycyjne jednostek budżetowych</t>
  </si>
  <si>
    <t>Dotacja celowa z budżetu na finansowanie lub dofinansowanie zadań zleconych do realizacji pozostałym jednostkom niezaliczanym do sektora finansów publicznych</t>
  </si>
  <si>
    <t>Składki na ubezpieczenie zdrowotne oraz świadczenia dla osób nieobjętych obowiązkiem ubezpieczenia zdrowotnego</t>
  </si>
  <si>
    <t>Zakup i montaż instalacji fotowoltaicznej na terenie Komendy Powiatowej Państwowej Straży Pożarnej w Otwocku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</si>
</sst>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_ ;\-#,##0\ "/>
    <numFmt numFmtId="165" formatCode="_-* #,##0.00\ _z_ł_-;\-* #,##0.00\ _z_ł_-;_-* &quot;-&quot;??\ _z_ł_-;_-@_-"/>
    <numFmt numFmtId="166" formatCode="\ #,##0.00&quot; zł &quot;;\-#,##0.00&quot; zł &quot;;&quot; -&quot;#&quot; zł &quot;;@\ "/>
  </numFmts>
  <fonts count="63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10"/>
      <color rgb="FF22222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FF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 applyNumberFormat="0" applyFill="0" applyBorder="0" applyAlignment="0" applyProtection="0">
      <alignment vertical="top"/>
    </xf>
    <xf numFmtId="0" fontId="12" fillId="0" borderId="0"/>
    <xf numFmtId="0" fontId="15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6" fillId="0" borderId="0"/>
    <xf numFmtId="164" fontId="19" fillId="0" borderId="0"/>
    <xf numFmtId="0" fontId="12" fillId="0" borderId="0"/>
    <xf numFmtId="0" fontId="15" fillId="0" borderId="0"/>
    <xf numFmtId="0" fontId="15" fillId="0" borderId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0" fillId="0" borderId="0"/>
    <xf numFmtId="0" fontId="9" fillId="0" borderId="0"/>
    <xf numFmtId="0" fontId="27" fillId="0" borderId="0"/>
    <xf numFmtId="0" fontId="29" fillId="0" borderId="0"/>
    <xf numFmtId="0" fontId="30" fillId="0" borderId="0"/>
    <xf numFmtId="0" fontId="8" fillId="0" borderId="0"/>
    <xf numFmtId="0" fontId="27" fillId="0" borderId="0"/>
    <xf numFmtId="0" fontId="31" fillId="0" borderId="0"/>
    <xf numFmtId="0" fontId="7" fillId="0" borderId="0"/>
    <xf numFmtId="0" fontId="27" fillId="0" borderId="0"/>
    <xf numFmtId="0" fontId="6" fillId="0" borderId="0"/>
    <xf numFmtId="0" fontId="34" fillId="0" borderId="0"/>
    <xf numFmtId="0" fontId="5" fillId="0" borderId="0"/>
    <xf numFmtId="0" fontId="4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9" fillId="0" borderId="0"/>
  </cellStyleXfs>
  <cellXfs count="542">
    <xf numFmtId="0" fontId="0" fillId="0" borderId="0" xfId="0" applyAlignment="1"/>
    <xf numFmtId="0" fontId="20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0" fontId="16" fillId="0" borderId="0" xfId="9" applyFont="1" applyAlignment="1">
      <alignment horizontal="right" vertical="top"/>
    </xf>
    <xf numFmtId="0" fontId="18" fillId="3" borderId="5" xfId="9" applyFont="1" applyFill="1" applyBorder="1" applyAlignment="1">
      <alignment horizontal="center" vertical="center"/>
    </xf>
    <xf numFmtId="0" fontId="18" fillId="3" borderId="1" xfId="9" applyFont="1" applyFill="1" applyBorder="1" applyAlignment="1">
      <alignment horizontal="center" vertical="center" wrapText="1"/>
    </xf>
    <xf numFmtId="0" fontId="18" fillId="0" borderId="5" xfId="9" applyFont="1" applyBorder="1" applyAlignment="1">
      <alignment horizontal="center" vertical="center"/>
    </xf>
    <xf numFmtId="0" fontId="18" fillId="0" borderId="5" xfId="9" applyFont="1" applyBorder="1" applyAlignment="1">
      <alignment horizontal="left" vertical="center"/>
    </xf>
    <xf numFmtId="0" fontId="18" fillId="0" borderId="0" xfId="9" applyFont="1" applyAlignment="1">
      <alignment vertical="center"/>
    </xf>
    <xf numFmtId="0" fontId="21" fillId="0" borderId="5" xfId="9" applyFont="1" applyBorder="1" applyAlignment="1">
      <alignment horizontal="center" vertical="center"/>
    </xf>
    <xf numFmtId="0" fontId="21" fillId="0" borderId="5" xfId="9" applyFont="1" applyBorder="1" applyAlignment="1">
      <alignment horizontal="left" vertical="center"/>
    </xf>
    <xf numFmtId="0" fontId="21" fillId="0" borderId="0" xfId="9" applyFont="1" applyAlignment="1">
      <alignment vertical="center"/>
    </xf>
    <xf numFmtId="0" fontId="18" fillId="0" borderId="5" xfId="9" applyFont="1" applyBorder="1" applyAlignment="1">
      <alignment vertical="center"/>
    </xf>
    <xf numFmtId="0" fontId="16" fillId="3" borderId="5" xfId="9" applyFont="1" applyFill="1" applyBorder="1" applyAlignment="1">
      <alignment vertical="center"/>
    </xf>
    <xf numFmtId="3" fontId="18" fillId="3" borderId="5" xfId="9" applyNumberFormat="1" applyFont="1" applyFill="1" applyBorder="1"/>
    <xf numFmtId="0" fontId="16" fillId="0" borderId="5" xfId="9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3" fontId="16" fillId="0" borderId="5" xfId="9" applyNumberFormat="1" applyFont="1" applyBorder="1"/>
    <xf numFmtId="0" fontId="16" fillId="0" borderId="5" xfId="9" applyFont="1" applyBorder="1" applyAlignment="1">
      <alignment vertical="center"/>
    </xf>
    <xf numFmtId="0" fontId="16" fillId="3" borderId="5" xfId="9" applyFont="1" applyFill="1" applyBorder="1" applyAlignment="1">
      <alignment horizontal="center" vertical="center"/>
    </xf>
    <xf numFmtId="0" fontId="16" fillId="0" borderId="0" xfId="9" applyFont="1" applyAlignment="1">
      <alignment horizontal="center" vertical="center"/>
    </xf>
    <xf numFmtId="3" fontId="16" fillId="0" borderId="0" xfId="9" applyNumberFormat="1" applyFont="1"/>
    <xf numFmtId="0" fontId="22" fillId="0" borderId="0" xfId="9" applyFont="1" applyAlignment="1">
      <alignment vertical="center"/>
    </xf>
    <xf numFmtId="0" fontId="22" fillId="0" borderId="5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 wrapText="1"/>
    </xf>
    <xf numFmtId="0" fontId="16" fillId="0" borderId="7" xfId="9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49" fontId="16" fillId="4" borderId="8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0" xfId="9" applyNumberFormat="1" applyFont="1" applyAlignment="1">
      <alignment vertical="center"/>
    </xf>
    <xf numFmtId="0" fontId="16" fillId="0" borderId="9" xfId="9" applyFont="1" applyBorder="1" applyAlignment="1">
      <alignment horizontal="center" vertical="center"/>
    </xf>
    <xf numFmtId="0" fontId="21" fillId="0" borderId="9" xfId="9" applyFont="1" applyBorder="1" applyAlignment="1">
      <alignment horizontal="center" vertical="center"/>
    </xf>
    <xf numFmtId="0" fontId="21" fillId="0" borderId="4" xfId="9" applyFont="1" applyBorder="1" applyAlignment="1">
      <alignment vertical="center"/>
    </xf>
    <xf numFmtId="0" fontId="28" fillId="0" borderId="5" xfId="0" applyFont="1" applyBorder="1" applyAlignment="1">
      <alignment horizontal="left" vertical="center" wrapText="1" readingOrder="1"/>
    </xf>
    <xf numFmtId="49" fontId="3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9" applyFont="1" applyBorder="1" applyAlignment="1">
      <alignment horizontal="center" vertical="center"/>
    </xf>
    <xf numFmtId="0" fontId="16" fillId="0" borderId="4" xfId="9" applyFont="1" applyBorder="1" applyAlignment="1">
      <alignment vertical="center"/>
    </xf>
    <xf numFmtId="0" fontId="28" fillId="0" borderId="4" xfId="0" applyFont="1" applyBorder="1" applyAlignment="1">
      <alignment vertical="center" wrapText="1" readingOrder="1"/>
    </xf>
    <xf numFmtId="0" fontId="28" fillId="0" borderId="10" xfId="0" applyFont="1" applyBorder="1" applyAlignment="1">
      <alignment vertical="center" wrapText="1" readingOrder="1"/>
    </xf>
    <xf numFmtId="3" fontId="21" fillId="0" borderId="0" xfId="9" applyNumberFormat="1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3" fillId="0" borderId="0" xfId="7" applyFont="1"/>
    <xf numFmtId="0" fontId="17" fillId="0" borderId="0" xfId="7" applyFont="1" applyAlignment="1">
      <alignment vertical="center" wrapText="1"/>
    </xf>
    <xf numFmtId="0" fontId="20" fillId="0" borderId="0" xfId="7" applyFont="1"/>
    <xf numFmtId="0" fontId="14" fillId="2" borderId="10" xfId="7" applyFont="1" applyFill="1" applyBorder="1" applyAlignment="1">
      <alignment horizontal="center" vertical="center"/>
    </xf>
    <xf numFmtId="0" fontId="38" fillId="5" borderId="10" xfId="7" applyFont="1" applyFill="1" applyBorder="1" applyAlignment="1">
      <alignment horizontal="center" vertical="center"/>
    </xf>
    <xf numFmtId="0" fontId="38" fillId="0" borderId="0" xfId="7" applyFont="1"/>
    <xf numFmtId="0" fontId="14" fillId="6" borderId="10" xfId="7" applyFont="1" applyFill="1" applyBorder="1" applyAlignment="1">
      <alignment horizontal="center" vertical="center"/>
    </xf>
    <xf numFmtId="0" fontId="13" fillId="6" borderId="10" xfId="7" applyFont="1" applyFill="1" applyBorder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vertical="center" wrapText="1"/>
    </xf>
    <xf numFmtId="0" fontId="14" fillId="0" borderId="0" xfId="7" applyFont="1" applyAlignment="1">
      <alignment vertical="center"/>
    </xf>
    <xf numFmtId="3" fontId="14" fillId="0" borderId="0" xfId="7" applyNumberFormat="1" applyFont="1" applyAlignment="1">
      <alignment vertical="center"/>
    </xf>
    <xf numFmtId="0" fontId="14" fillId="0" borderId="0" xfId="7" applyFont="1" applyAlignment="1">
      <alignment horizontal="center" vertical="center"/>
    </xf>
    <xf numFmtId="0" fontId="39" fillId="0" borderId="0" xfId="7" applyFont="1"/>
    <xf numFmtId="0" fontId="37" fillId="0" borderId="0" xfId="11" applyFont="1" applyAlignment="1">
      <alignment horizontal="center" vertical="center"/>
    </xf>
    <xf numFmtId="0" fontId="37" fillId="0" borderId="0" xfId="11" applyFont="1" applyAlignment="1">
      <alignment vertical="center" wrapText="1"/>
    </xf>
    <xf numFmtId="3" fontId="37" fillId="0" borderId="0" xfId="11" applyNumberFormat="1" applyFont="1" applyAlignment="1">
      <alignment vertical="center"/>
    </xf>
    <xf numFmtId="0" fontId="37" fillId="0" borderId="0" xfId="11" applyFont="1"/>
    <xf numFmtId="0" fontId="36" fillId="0" borderId="0" xfId="11" applyFont="1" applyAlignment="1">
      <alignment horizontal="center" vertical="center" wrapText="1"/>
    </xf>
    <xf numFmtId="0" fontId="40" fillId="10" borderId="5" xfId="11" applyFont="1" applyFill="1" applyBorder="1" applyAlignment="1">
      <alignment horizontal="center" vertical="center"/>
    </xf>
    <xf numFmtId="0" fontId="40" fillId="10" borderId="5" xfId="11" applyFont="1" applyFill="1" applyBorder="1" applyAlignment="1">
      <alignment horizontal="center" vertical="center" wrapText="1"/>
    </xf>
    <xf numFmtId="3" fontId="40" fillId="10" borderId="5" xfId="11" applyNumberFormat="1" applyFont="1" applyFill="1" applyBorder="1" applyAlignment="1">
      <alignment horizontal="center" vertical="center"/>
    </xf>
    <xf numFmtId="0" fontId="40" fillId="0" borderId="0" xfId="11" applyFont="1" applyAlignment="1">
      <alignment vertical="center"/>
    </xf>
    <xf numFmtId="0" fontId="40" fillId="11" borderId="5" xfId="11" applyFont="1" applyFill="1" applyBorder="1" applyAlignment="1">
      <alignment horizontal="center" vertical="center"/>
    </xf>
    <xf numFmtId="0" fontId="40" fillId="11" borderId="5" xfId="11" applyFont="1" applyFill="1" applyBorder="1" applyAlignment="1">
      <alignment vertical="center" wrapText="1"/>
    </xf>
    <xf numFmtId="3" fontId="14" fillId="11" borderId="5" xfId="11" applyNumberFormat="1" applyFont="1" applyFill="1" applyBorder="1" applyAlignment="1">
      <alignment vertical="center"/>
    </xf>
    <xf numFmtId="0" fontId="37" fillId="9" borderId="5" xfId="11" applyFont="1" applyFill="1" applyBorder="1" applyAlignment="1">
      <alignment horizontal="center" vertical="center"/>
    </xf>
    <xf numFmtId="0" fontId="37" fillId="9" borderId="5" xfId="11" applyFont="1" applyFill="1" applyBorder="1" applyAlignment="1">
      <alignment vertical="center" wrapText="1"/>
    </xf>
    <xf numFmtId="3" fontId="13" fillId="9" borderId="5" xfId="11" applyNumberFormat="1" applyFont="1" applyFill="1" applyBorder="1" applyAlignment="1">
      <alignment vertical="center"/>
    </xf>
    <xf numFmtId="0" fontId="37" fillId="0" borderId="0" xfId="11" applyFont="1" applyAlignment="1">
      <alignment vertical="center"/>
    </xf>
    <xf numFmtId="0" fontId="13" fillId="0" borderId="5" xfId="11" applyFont="1" applyBorder="1" applyAlignment="1">
      <alignment horizontal="center" vertical="center"/>
    </xf>
    <xf numFmtId="0" fontId="13" fillId="0" borderId="5" xfId="11" applyFont="1" applyBorder="1" applyAlignment="1">
      <alignment vertical="center" wrapText="1"/>
    </xf>
    <xf numFmtId="3" fontId="25" fillId="0" borderId="5" xfId="11" applyNumberFormat="1" applyFont="1" applyBorder="1" applyAlignment="1">
      <alignment vertical="center"/>
    </xf>
    <xf numFmtId="3" fontId="13" fillId="0" borderId="5" xfId="11" applyNumberFormat="1" applyFont="1" applyBorder="1" applyAlignment="1">
      <alignment vertical="center"/>
    </xf>
    <xf numFmtId="0" fontId="13" fillId="0" borderId="0" xfId="11" applyFont="1" applyAlignment="1">
      <alignment vertical="center"/>
    </xf>
    <xf numFmtId="0" fontId="37" fillId="0" borderId="5" xfId="11" applyFont="1" applyBorder="1" applyAlignment="1">
      <alignment horizontal="center" vertical="center"/>
    </xf>
    <xf numFmtId="0" fontId="40" fillId="8" borderId="5" xfId="11" applyFont="1" applyFill="1" applyBorder="1" applyAlignment="1">
      <alignment horizontal="center" vertical="center"/>
    </xf>
    <xf numFmtId="0" fontId="40" fillId="8" borderId="5" xfId="11" applyFont="1" applyFill="1" applyBorder="1" applyAlignment="1">
      <alignment vertical="center" wrapText="1"/>
    </xf>
    <xf numFmtId="3" fontId="14" fillId="8" borderId="5" xfId="11" applyNumberFormat="1" applyFont="1" applyFill="1" applyBorder="1" applyAlignment="1">
      <alignment vertical="center"/>
    </xf>
    <xf numFmtId="0" fontId="13" fillId="9" borderId="5" xfId="11" applyFont="1" applyFill="1" applyBorder="1" applyAlignment="1">
      <alignment horizontal="center" vertical="center"/>
    </xf>
    <xf numFmtId="3" fontId="14" fillId="10" borderId="5" xfId="11" applyNumberFormat="1" applyFont="1" applyFill="1" applyBorder="1" applyAlignment="1">
      <alignment vertical="center"/>
    </xf>
    <xf numFmtId="3" fontId="14" fillId="9" borderId="5" xfId="11" applyNumberFormat="1" applyFont="1" applyFill="1" applyBorder="1" applyAlignment="1">
      <alignment vertical="center"/>
    </xf>
    <xf numFmtId="4" fontId="21" fillId="0" borderId="5" xfId="9" applyNumberFormat="1" applyFont="1" applyBorder="1" applyAlignment="1">
      <alignment horizontal="right"/>
    </xf>
    <xf numFmtId="4" fontId="18" fillId="0" borderId="5" xfId="9" applyNumberFormat="1" applyFont="1" applyBorder="1" applyAlignment="1">
      <alignment horizontal="right"/>
    </xf>
    <xf numFmtId="4" fontId="18" fillId="0" borderId="5" xfId="9" applyNumberFormat="1" applyFont="1" applyBorder="1"/>
    <xf numFmtId="4" fontId="21" fillId="0" borderId="5" xfId="9" applyNumberFormat="1" applyFont="1" applyBorder="1"/>
    <xf numFmtId="49" fontId="40" fillId="8" borderId="10" xfId="10" applyNumberFormat="1" applyFont="1" applyFill="1" applyBorder="1" applyAlignment="1">
      <alignment horizontal="center" vertical="center"/>
    </xf>
    <xf numFmtId="0" fontId="40" fillId="8" borderId="10" xfId="10" applyFont="1" applyFill="1" applyBorder="1" applyAlignment="1">
      <alignment horizontal="center" vertical="center"/>
    </xf>
    <xf numFmtId="0" fontId="42" fillId="0" borderId="0" xfId="11" applyFont="1" applyAlignment="1">
      <alignment vertical="center"/>
    </xf>
    <xf numFmtId="3" fontId="44" fillId="0" borderId="10" xfId="11" applyNumberFormat="1" applyFont="1" applyBorder="1" applyAlignment="1">
      <alignment vertical="center"/>
    </xf>
    <xf numFmtId="0" fontId="18" fillId="0" borderId="0" xfId="7" applyFont="1" applyProtection="1">
      <protection locked="0"/>
    </xf>
    <xf numFmtId="0" fontId="16" fillId="0" borderId="0" xfId="7" applyProtection="1">
      <protection locked="0"/>
    </xf>
    <xf numFmtId="0" fontId="13" fillId="0" borderId="0" xfId="7" applyFont="1" applyAlignment="1" applyProtection="1">
      <alignment horizontal="center" vertical="center"/>
      <protection locked="0"/>
    </xf>
    <xf numFmtId="0" fontId="45" fillId="0" borderId="0" xfId="7" applyFont="1" applyAlignment="1" applyProtection="1">
      <alignment horizontal="center" vertical="center"/>
      <protection locked="0"/>
    </xf>
    <xf numFmtId="0" fontId="16" fillId="0" borderId="0" xfId="7" applyAlignment="1" applyProtection="1">
      <alignment horizontal="center"/>
      <protection locked="0"/>
    </xf>
    <xf numFmtId="0" fontId="18" fillId="0" borderId="0" xfId="7" applyFont="1"/>
    <xf numFmtId="0" fontId="16" fillId="0" borderId="0" xfId="7"/>
    <xf numFmtId="0" fontId="18" fillId="13" borderId="23" xfId="7" applyFont="1" applyFill="1" applyBorder="1" applyAlignment="1">
      <alignment horizontal="center" vertical="center" wrapText="1"/>
    </xf>
    <xf numFmtId="0" fontId="46" fillId="0" borderId="26" xfId="7" applyFont="1" applyBorder="1" applyAlignment="1">
      <alignment horizontal="center" vertical="center"/>
    </xf>
    <xf numFmtId="0" fontId="46" fillId="0" borderId="23" xfId="7" applyFont="1" applyBorder="1" applyAlignment="1">
      <alignment horizontal="center" vertical="center"/>
    </xf>
    <xf numFmtId="0" fontId="18" fillId="0" borderId="23" xfId="7" applyFont="1" applyBorder="1" applyAlignment="1">
      <alignment horizontal="center" vertical="center"/>
    </xf>
    <xf numFmtId="0" fontId="14" fillId="0" borderId="24" xfId="7" applyFont="1" applyBorder="1" applyAlignment="1">
      <alignment horizontal="center" vertical="center"/>
    </xf>
    <xf numFmtId="0" fontId="46" fillId="0" borderId="0" xfId="7" applyFont="1" applyAlignment="1" applyProtection="1">
      <alignment horizontal="center"/>
      <protection locked="0"/>
    </xf>
    <xf numFmtId="0" fontId="46" fillId="0" borderId="0" xfId="7" applyFont="1" applyProtection="1">
      <protection locked="0"/>
    </xf>
    <xf numFmtId="0" fontId="14" fillId="14" borderId="27" xfId="7" applyFont="1" applyFill="1" applyBorder="1" applyAlignment="1">
      <alignment horizontal="center" vertical="center" wrapText="1"/>
    </xf>
    <xf numFmtId="0" fontId="47" fillId="14" borderId="28" xfId="7" applyFont="1" applyFill="1" applyBorder="1" applyAlignment="1" applyProtection="1">
      <alignment horizontal="center" vertical="center" wrapText="1"/>
      <protection locked="0"/>
    </xf>
    <xf numFmtId="0" fontId="16" fillId="0" borderId="0" xfId="7" applyAlignment="1" applyProtection="1">
      <alignment horizontal="center" vertical="center"/>
      <protection locked="0"/>
    </xf>
    <xf numFmtId="0" fontId="16" fillId="0" borderId="0" xfId="7" applyAlignment="1" applyProtection="1">
      <alignment vertical="center"/>
      <protection locked="0"/>
    </xf>
    <xf numFmtId="0" fontId="18" fillId="0" borderId="29" xfId="7" applyFont="1" applyBorder="1" applyAlignment="1">
      <alignment horizontal="center" vertical="center"/>
    </xf>
    <xf numFmtId="0" fontId="18" fillId="0" borderId="30" xfId="7" applyFont="1" applyBorder="1" applyAlignment="1">
      <alignment horizontal="center" vertical="center" wrapText="1"/>
    </xf>
    <xf numFmtId="0" fontId="13" fillId="0" borderId="27" xfId="7" applyFont="1" applyBorder="1" applyAlignment="1">
      <alignment horizontal="center" vertical="center" wrapText="1"/>
    </xf>
    <xf numFmtId="0" fontId="45" fillId="15" borderId="28" xfId="7" applyFont="1" applyFill="1" applyBorder="1" applyAlignment="1" applyProtection="1">
      <alignment horizontal="center" vertical="center" wrapText="1"/>
      <protection locked="0"/>
    </xf>
    <xf numFmtId="0" fontId="18" fillId="0" borderId="22" xfId="7" applyFont="1" applyBorder="1" applyAlignment="1">
      <alignment horizontal="center" vertical="center" wrapText="1"/>
    </xf>
    <xf numFmtId="0" fontId="16" fillId="0" borderId="22" xfId="7" applyBorder="1" applyAlignment="1">
      <alignment horizontal="left" vertical="center" wrapText="1"/>
    </xf>
    <xf numFmtId="0" fontId="50" fillId="0" borderId="0" xfId="7" applyFont="1" applyAlignment="1" applyProtection="1">
      <alignment horizontal="center" vertical="center"/>
      <protection locked="0"/>
    </xf>
    <xf numFmtId="0" fontId="50" fillId="0" borderId="0" xfId="7" applyFont="1" applyAlignment="1" applyProtection="1">
      <alignment vertical="center"/>
      <protection locked="0"/>
    </xf>
    <xf numFmtId="0" fontId="35" fillId="14" borderId="27" xfId="7" applyFont="1" applyFill="1" applyBorder="1" applyAlignment="1">
      <alignment horizontal="center" vertical="center" wrapText="1"/>
    </xf>
    <xf numFmtId="0" fontId="51" fillId="14" borderId="28" xfId="7" applyFont="1" applyFill="1" applyBorder="1" applyAlignment="1" applyProtection="1">
      <alignment horizontal="center" vertical="center" wrapText="1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0" fontId="49" fillId="0" borderId="0" xfId="7" applyFont="1" applyAlignment="1" applyProtection="1">
      <alignment horizontal="center" vertical="center"/>
      <protection locked="0"/>
    </xf>
    <xf numFmtId="0" fontId="49" fillId="0" borderId="0" xfId="7" applyFont="1" applyAlignment="1" applyProtection="1">
      <alignment vertical="center"/>
      <protection locked="0"/>
    </xf>
    <xf numFmtId="3" fontId="51" fillId="0" borderId="0" xfId="7" applyNumberFormat="1" applyFont="1" applyAlignment="1" applyProtection="1">
      <alignment horizontal="center" vertical="center"/>
      <protection locked="0"/>
    </xf>
    <xf numFmtId="165" fontId="45" fillId="0" borderId="0" xfId="7" applyNumberFormat="1" applyFont="1" applyAlignment="1" applyProtection="1">
      <alignment horizontal="center" vertical="center"/>
      <protection locked="0"/>
    </xf>
    <xf numFmtId="0" fontId="51" fillId="0" borderId="0" xfId="7" applyFont="1" applyAlignment="1" applyProtection="1">
      <alignment vertical="center"/>
      <protection locked="0"/>
    </xf>
    <xf numFmtId="0" fontId="18" fillId="0" borderId="21" xfId="7" applyFont="1" applyBorder="1" applyAlignment="1">
      <alignment horizontal="center" vertical="center"/>
    </xf>
    <xf numFmtId="0" fontId="52" fillId="0" borderId="22" xfId="16" applyFont="1" applyFill="1" applyBorder="1" applyAlignment="1">
      <alignment horizontal="left" vertical="center" wrapText="1"/>
    </xf>
    <xf numFmtId="0" fontId="53" fillId="14" borderId="24" xfId="7" applyFont="1" applyFill="1" applyBorder="1" applyAlignment="1">
      <alignment horizontal="center" vertical="center" wrapText="1"/>
    </xf>
    <xf numFmtId="0" fontId="37" fillId="0" borderId="27" xfId="7" applyFont="1" applyBorder="1" applyAlignment="1">
      <alignment horizontal="center" vertical="center" wrapText="1"/>
    </xf>
    <xf numFmtId="0" fontId="48" fillId="0" borderId="0" xfId="7" applyFont="1" applyAlignment="1" applyProtection="1">
      <alignment horizontal="center" vertical="center"/>
      <protection locked="0"/>
    </xf>
    <xf numFmtId="0" fontId="48" fillId="0" borderId="0" xfId="7" applyFont="1" applyAlignment="1" applyProtection="1">
      <alignment vertical="center"/>
      <protection locked="0"/>
    </xf>
    <xf numFmtId="0" fontId="18" fillId="0" borderId="22" xfId="7" applyFont="1" applyBorder="1" applyAlignment="1">
      <alignment horizontal="center" vertical="center"/>
    </xf>
    <xf numFmtId="0" fontId="51" fillId="0" borderId="0" xfId="7" applyFont="1" applyAlignment="1" applyProtection="1">
      <alignment horizontal="center" vertical="center"/>
      <protection locked="0"/>
    </xf>
    <xf numFmtId="0" fontId="25" fillId="14" borderId="27" xfId="7" applyFont="1" applyFill="1" applyBorder="1" applyAlignment="1">
      <alignment horizontal="center" vertical="center" wrapText="1"/>
    </xf>
    <xf numFmtId="0" fontId="45" fillId="14" borderId="28" xfId="7" applyFont="1" applyFill="1" applyBorder="1" applyAlignment="1" applyProtection="1">
      <alignment horizontal="center" vertical="center" wrapText="1"/>
      <protection locked="0"/>
    </xf>
    <xf numFmtId="0" fontId="16" fillId="0" borderId="30" xfId="7" applyBorder="1" applyAlignment="1" applyProtection="1">
      <alignment horizontal="left" vertical="center" wrapText="1"/>
      <protection locked="0"/>
    </xf>
    <xf numFmtId="2" fontId="16" fillId="0" borderId="22" xfId="16" applyNumberFormat="1" applyFont="1" applyFill="1" applyBorder="1" applyAlignment="1" applyProtection="1">
      <alignment vertical="center" wrapText="1"/>
      <protection locked="0"/>
    </xf>
    <xf numFmtId="0" fontId="25" fillId="0" borderId="27" xfId="7" applyFont="1" applyBorder="1" applyAlignment="1">
      <alignment horizontal="center" vertical="center" wrapText="1"/>
    </xf>
    <xf numFmtId="0" fontId="18" fillId="0" borderId="32" xfId="7" applyFont="1" applyBorder="1" applyAlignment="1">
      <alignment horizontal="center" vertical="center"/>
    </xf>
    <xf numFmtId="3" fontId="16" fillId="0" borderId="0" xfId="7" applyNumberFormat="1" applyAlignment="1">
      <alignment vertical="center" wrapText="1"/>
    </xf>
    <xf numFmtId="3" fontId="16" fillId="0" borderId="0" xfId="7" applyNumberFormat="1" applyAlignment="1">
      <alignment vertical="center"/>
    </xf>
    <xf numFmtId="0" fontId="45" fillId="0" borderId="0" xfId="7" applyFont="1" applyAlignment="1">
      <alignment vertical="center" wrapText="1"/>
    </xf>
    <xf numFmtId="0" fontId="16" fillId="0" borderId="0" xfId="7" applyAlignment="1">
      <alignment horizontal="right" vertical="center" wrapText="1"/>
    </xf>
    <xf numFmtId="0" fontId="43" fillId="0" borderId="0" xfId="7" applyFont="1" applyAlignment="1">
      <alignment horizontal="center" vertical="center" wrapText="1"/>
    </xf>
    <xf numFmtId="0" fontId="43" fillId="14" borderId="34" xfId="7" applyFont="1" applyFill="1" applyBorder="1" applyAlignment="1">
      <alignment horizontal="center" vertical="center" wrapText="1"/>
    </xf>
    <xf numFmtId="0" fontId="35" fillId="14" borderId="39" xfId="7" applyFont="1" applyFill="1" applyBorder="1" applyAlignment="1">
      <alignment horizontal="center" vertical="center" wrapText="1"/>
    </xf>
    <xf numFmtId="0" fontId="21" fillId="0" borderId="0" xfId="7" applyFont="1" applyAlignment="1" applyProtection="1">
      <alignment horizontal="center" vertical="center"/>
      <protection locked="0"/>
    </xf>
    <xf numFmtId="0" fontId="21" fillId="0" borderId="0" xfId="7" applyFont="1" applyAlignment="1" applyProtection="1">
      <alignment vertical="center"/>
      <protection locked="0"/>
    </xf>
    <xf numFmtId="0" fontId="48" fillId="0" borderId="29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 wrapText="1"/>
    </xf>
    <xf numFmtId="0" fontId="18" fillId="0" borderId="29" xfId="7" applyFont="1" applyBorder="1" applyAlignment="1">
      <alignment horizontal="center" vertical="center" wrapText="1"/>
    </xf>
    <xf numFmtId="0" fontId="52" fillId="0" borderId="29" xfId="16" applyFont="1" applyFill="1" applyBorder="1" applyAlignment="1">
      <alignment horizontal="justify" vertical="center"/>
    </xf>
    <xf numFmtId="0" fontId="45" fillId="0" borderId="0" xfId="7" applyFont="1" applyAlignment="1" applyProtection="1">
      <alignment vertical="center"/>
      <protection locked="0"/>
    </xf>
    <xf numFmtId="0" fontId="14" fillId="14" borderId="29" xfId="7" applyFont="1" applyFill="1" applyBorder="1" applyAlignment="1">
      <alignment horizontal="center" vertical="center"/>
    </xf>
    <xf numFmtId="0" fontId="13" fillId="0" borderId="29" xfId="7" applyFont="1" applyBorder="1" applyAlignment="1">
      <alignment horizontal="center" vertical="center" wrapText="1"/>
    </xf>
    <xf numFmtId="0" fontId="50" fillId="0" borderId="20" xfId="7" applyFont="1" applyBorder="1" applyAlignment="1" applyProtection="1">
      <alignment horizontal="center" vertical="center" wrapText="1"/>
      <protection locked="0"/>
    </xf>
    <xf numFmtId="0" fontId="14" fillId="2" borderId="39" xfId="7" applyFont="1" applyFill="1" applyBorder="1" applyAlignment="1">
      <alignment horizontal="center" vertical="center" wrapText="1"/>
    </xf>
    <xf numFmtId="0" fontId="53" fillId="2" borderId="29" xfId="7" applyFont="1" applyFill="1" applyBorder="1" applyAlignment="1">
      <alignment horizontal="center" vertical="center" wrapText="1"/>
    </xf>
    <xf numFmtId="3" fontId="49" fillId="0" borderId="0" xfId="7" applyNumberFormat="1" applyFont="1" applyAlignment="1" applyProtection="1">
      <alignment horizontal="center" vertical="center"/>
      <protection locked="0"/>
    </xf>
    <xf numFmtId="0" fontId="14" fillId="2" borderId="34" xfId="7" applyFont="1" applyFill="1" applyBorder="1" applyAlignment="1">
      <alignment horizontal="center" vertical="center" wrapText="1"/>
    </xf>
    <xf numFmtId="0" fontId="53" fillId="2" borderId="34" xfId="7" applyFont="1" applyFill="1" applyBorder="1" applyAlignment="1">
      <alignment horizontal="center" vertical="center" wrapText="1"/>
    </xf>
    <xf numFmtId="0" fontId="18" fillId="0" borderId="32" xfId="7" applyFont="1" applyBorder="1" applyAlignment="1">
      <alignment horizontal="center" vertical="center" wrapText="1"/>
    </xf>
    <xf numFmtId="0" fontId="16" fillId="0" borderId="35" xfId="7" applyBorder="1" applyAlignment="1">
      <alignment horizontal="left" vertical="center" wrapText="1"/>
    </xf>
    <xf numFmtId="0" fontId="14" fillId="0" borderId="34" xfId="7" applyFont="1" applyBorder="1" applyAlignment="1">
      <alignment horizontal="center" vertical="center" wrapText="1"/>
    </xf>
    <xf numFmtId="0" fontId="53" fillId="2" borderId="48" xfId="7" applyFont="1" applyFill="1" applyBorder="1" applyAlignment="1">
      <alignment horizontal="center" vertical="center" wrapText="1"/>
    </xf>
    <xf numFmtId="0" fontId="16" fillId="0" borderId="40" xfId="16" applyFont="1" applyFill="1" applyBorder="1" applyAlignment="1">
      <alignment vertical="center" wrapText="1"/>
    </xf>
    <xf numFmtId="0" fontId="45" fillId="15" borderId="47" xfId="7" applyFont="1" applyFill="1" applyBorder="1" applyAlignment="1" applyProtection="1">
      <alignment horizontal="center" vertical="center" wrapText="1"/>
      <protection locked="0"/>
    </xf>
    <xf numFmtId="0" fontId="16" fillId="16" borderId="0" xfId="7" applyFill="1" applyAlignment="1" applyProtection="1">
      <alignment vertical="center"/>
      <protection locked="0"/>
    </xf>
    <xf numFmtId="0" fontId="13" fillId="0" borderId="40" xfId="7" applyFont="1" applyBorder="1" applyAlignment="1">
      <alignment horizontal="center" vertical="center" wrapText="1"/>
    </xf>
    <xf numFmtId="0" fontId="18" fillId="0" borderId="0" xfId="7" applyFont="1" applyAlignment="1" applyProtection="1">
      <alignment vertical="center"/>
      <protection locked="0"/>
    </xf>
    <xf numFmtId="0" fontId="18" fillId="16" borderId="0" xfId="7" applyFont="1" applyFill="1" applyAlignment="1" applyProtection="1">
      <alignment vertical="center"/>
      <protection locked="0"/>
    </xf>
    <xf numFmtId="0" fontId="16" fillId="0" borderId="29" xfId="7" applyBorder="1" applyAlignment="1">
      <alignment horizontal="left" vertical="center" wrapText="1"/>
    </xf>
    <xf numFmtId="0" fontId="18" fillId="0" borderId="0" xfId="9" applyFont="1"/>
    <xf numFmtId="0" fontId="46" fillId="0" borderId="0" xfId="7" applyFont="1"/>
    <xf numFmtId="3" fontId="55" fillId="0" borderId="0" xfId="7" applyNumberFormat="1" applyFont="1"/>
    <xf numFmtId="0" fontId="55" fillId="0" borderId="0" xfId="7" applyFont="1"/>
    <xf numFmtId="3" fontId="13" fillId="0" borderId="0" xfId="7" applyNumberFormat="1" applyFont="1" applyAlignment="1">
      <alignment horizontal="center" vertical="center"/>
    </xf>
    <xf numFmtId="0" fontId="53" fillId="0" borderId="0" xfId="7" applyFont="1" applyAlignment="1" applyProtection="1">
      <alignment horizontal="center" vertical="center"/>
      <protection locked="0"/>
    </xf>
    <xf numFmtId="0" fontId="46" fillId="0" borderId="0" xfId="7" applyFont="1" applyAlignment="1" applyProtection="1">
      <alignment horizontal="center" vertical="center"/>
      <protection locked="0"/>
    </xf>
    <xf numFmtId="0" fontId="46" fillId="0" borderId="0" xfId="7" applyFont="1" applyAlignment="1" applyProtection="1">
      <alignment vertical="center"/>
      <protection locked="0"/>
    </xf>
    <xf numFmtId="0" fontId="56" fillId="0" borderId="0" xfId="7" applyFont="1" applyAlignment="1" applyProtection="1">
      <alignment horizontal="center" vertical="center"/>
      <protection locked="0"/>
    </xf>
    <xf numFmtId="0" fontId="56" fillId="0" borderId="0" xfId="7" applyFont="1" applyAlignment="1" applyProtection="1">
      <alignment vertical="center"/>
      <protection locked="0"/>
    </xf>
    <xf numFmtId="3" fontId="16" fillId="0" borderId="0" xfId="7" applyNumberFormat="1" applyProtection="1">
      <protection locked="0"/>
    </xf>
    <xf numFmtId="0" fontId="55" fillId="0" borderId="0" xfId="7" applyFont="1" applyAlignment="1" applyProtection="1">
      <alignment horizontal="center"/>
      <protection locked="0"/>
    </xf>
    <xf numFmtId="0" fontId="55" fillId="0" borderId="0" xfId="7" applyFont="1" applyProtection="1">
      <protection locked="0"/>
    </xf>
    <xf numFmtId="0" fontId="14" fillId="0" borderId="27" xfId="7" applyFont="1" applyBorder="1" applyAlignment="1">
      <alignment horizontal="center" vertical="center" wrapText="1"/>
    </xf>
    <xf numFmtId="0" fontId="14" fillId="2" borderId="29" xfId="7" applyFont="1" applyFill="1" applyBorder="1" applyAlignment="1">
      <alignment horizontal="center" vertical="center" wrapText="1"/>
    </xf>
    <xf numFmtId="4" fontId="16" fillId="0" borderId="4" xfId="9" applyNumberFormat="1" applyFont="1" applyBorder="1"/>
    <xf numFmtId="4" fontId="18" fillId="3" borderId="5" xfId="9" applyNumberFormat="1" applyFont="1" applyFill="1" applyBorder="1"/>
    <xf numFmtId="4" fontId="16" fillId="0" borderId="10" xfId="9" applyNumberFormat="1" applyFont="1" applyBorder="1"/>
    <xf numFmtId="4" fontId="16" fillId="0" borderId="5" xfId="9" applyNumberFormat="1" applyFont="1" applyBorder="1"/>
    <xf numFmtId="4" fontId="16" fillId="0" borderId="3" xfId="9" applyNumberFormat="1" applyFont="1" applyBorder="1"/>
    <xf numFmtId="4" fontId="45" fillId="0" borderId="4" xfId="9" applyNumberFormat="1" applyFont="1" applyBorder="1"/>
    <xf numFmtId="4" fontId="18" fillId="0" borderId="5" xfId="9" applyNumberFormat="1" applyFont="1" applyBorder="1" applyAlignment="1">
      <alignment vertical="center"/>
    </xf>
    <xf numFmtId="0" fontId="57" fillId="0" borderId="4" xfId="0" applyFont="1" applyBorder="1" applyAlignment="1">
      <alignment vertical="center" wrapText="1" readingOrder="1"/>
    </xf>
    <xf numFmtId="0" fontId="57" fillId="0" borderId="9" xfId="0" applyFont="1" applyBorder="1" applyAlignment="1">
      <alignment vertical="center" wrapText="1" readingOrder="1"/>
    </xf>
    <xf numFmtId="4" fontId="51" fillId="0" borderId="0" xfId="7" applyNumberFormat="1" applyFont="1" applyAlignment="1" applyProtection="1">
      <alignment horizontal="center" vertical="center"/>
      <protection locked="0"/>
    </xf>
    <xf numFmtId="0" fontId="45" fillId="15" borderId="20" xfId="7" applyFont="1" applyFill="1" applyBorder="1" applyAlignment="1" applyProtection="1">
      <alignment horizontal="center" vertical="center" wrapText="1"/>
      <protection locked="0"/>
    </xf>
    <xf numFmtId="0" fontId="13" fillId="14" borderId="29" xfId="7" applyFont="1" applyFill="1" applyBorder="1" applyAlignment="1">
      <alignment horizontal="center" vertical="center" wrapText="1"/>
    </xf>
    <xf numFmtId="4" fontId="16" fillId="14" borderId="29" xfId="7" applyNumberFormat="1" applyFill="1" applyBorder="1" applyAlignment="1">
      <alignment horizontal="right" vertical="center" wrapText="1"/>
    </xf>
    <xf numFmtId="0" fontId="16" fillId="0" borderId="30" xfId="16" applyFont="1" applyFill="1" applyBorder="1" applyAlignment="1" applyProtection="1">
      <alignment vertical="center" wrapText="1"/>
      <protection locked="0"/>
    </xf>
    <xf numFmtId="0" fontId="45" fillId="0" borderId="58" xfId="7" applyFont="1" applyBorder="1" applyAlignment="1" applyProtection="1">
      <alignment horizontal="center" vertical="center" wrapText="1"/>
      <protection locked="0"/>
    </xf>
    <xf numFmtId="0" fontId="45" fillId="0" borderId="42" xfId="7" applyFont="1" applyBorder="1" applyAlignment="1" applyProtection="1">
      <alignment horizontal="center" vertical="center" wrapText="1"/>
      <protection locked="0"/>
    </xf>
    <xf numFmtId="0" fontId="54" fillId="14" borderId="39" xfId="7" applyFont="1" applyFill="1" applyBorder="1" applyAlignment="1">
      <alignment horizontal="center" vertical="center" wrapText="1"/>
    </xf>
    <xf numFmtId="0" fontId="45" fillId="0" borderId="41" xfId="7" applyFont="1" applyBorder="1" applyAlignment="1" applyProtection="1">
      <alignment horizontal="center" vertical="center" wrapText="1"/>
      <protection locked="0"/>
    </xf>
    <xf numFmtId="0" fontId="45" fillId="0" borderId="40" xfId="7" applyFont="1" applyBorder="1" applyAlignment="1" applyProtection="1">
      <alignment horizontal="center" vertical="center" wrapText="1"/>
      <protection locked="0"/>
    </xf>
    <xf numFmtId="0" fontId="51" fillId="0" borderId="40" xfId="7" applyFont="1" applyBorder="1" applyAlignment="1" applyProtection="1">
      <alignment horizontal="center" vertical="center" wrapText="1"/>
      <protection locked="0"/>
    </xf>
    <xf numFmtId="0" fontId="51" fillId="0" borderId="59" xfId="7" applyFont="1" applyBorder="1" applyAlignment="1" applyProtection="1">
      <alignment horizontal="center" vertical="center" wrapText="1"/>
      <protection locked="0"/>
    </xf>
    <xf numFmtId="4" fontId="18" fillId="14" borderId="22" xfId="7" applyNumberFormat="1" applyFont="1" applyFill="1" applyBorder="1" applyAlignment="1">
      <alignment vertical="center" wrapText="1"/>
    </xf>
    <xf numFmtId="4" fontId="16" fillId="0" borderId="22" xfId="7" applyNumberFormat="1" applyBorder="1" applyAlignment="1">
      <alignment vertical="center" wrapText="1"/>
    </xf>
    <xf numFmtId="4" fontId="16" fillId="0" borderId="22" xfId="7" applyNumberFormat="1" applyBorder="1" applyAlignment="1">
      <alignment horizontal="right" vertical="center" wrapText="1"/>
    </xf>
    <xf numFmtId="4" fontId="18" fillId="14" borderId="22" xfId="7" applyNumberFormat="1" applyFont="1" applyFill="1" applyBorder="1" applyAlignment="1">
      <alignment horizontal="right" vertical="center" wrapText="1"/>
    </xf>
    <xf numFmtId="4" fontId="48" fillId="0" borderId="22" xfId="7" applyNumberFormat="1" applyFont="1" applyBorder="1" applyAlignment="1">
      <alignment vertical="center" wrapText="1"/>
    </xf>
    <xf numFmtId="4" fontId="48" fillId="0" borderId="22" xfId="7" applyNumberFormat="1" applyFont="1" applyBorder="1" applyAlignment="1">
      <alignment horizontal="right" vertical="center" wrapText="1"/>
    </xf>
    <xf numFmtId="4" fontId="16" fillId="0" borderId="30" xfId="7" applyNumberFormat="1" applyBorder="1" applyAlignment="1">
      <alignment horizontal="right" vertical="center" wrapText="1"/>
    </xf>
    <xf numFmtId="4" fontId="18" fillId="14" borderId="37" xfId="7" applyNumberFormat="1" applyFont="1" applyFill="1" applyBorder="1" applyAlignment="1">
      <alignment vertical="center" wrapText="1"/>
    </xf>
    <xf numFmtId="4" fontId="18" fillId="14" borderId="30" xfId="7" applyNumberFormat="1" applyFont="1" applyFill="1" applyBorder="1" applyAlignment="1">
      <alignment vertical="center"/>
    </xf>
    <xf numFmtId="4" fontId="45" fillId="14" borderId="30" xfId="7" applyNumberFormat="1" applyFont="1" applyFill="1" applyBorder="1" applyAlignment="1">
      <alignment vertical="center" wrapText="1"/>
    </xf>
    <xf numFmtId="4" fontId="18" fillId="14" borderId="30" xfId="7" applyNumberFormat="1" applyFont="1" applyFill="1" applyBorder="1" applyAlignment="1">
      <alignment horizontal="right" vertical="center" wrapText="1"/>
    </xf>
    <xf numFmtId="4" fontId="16" fillId="0" borderId="29" xfId="7" applyNumberFormat="1" applyBorder="1" applyAlignment="1">
      <alignment vertical="center" wrapText="1"/>
    </xf>
    <xf numFmtId="4" fontId="16" fillId="0" borderId="29" xfId="7" applyNumberFormat="1" applyBorder="1" applyAlignment="1">
      <alignment horizontal="right" vertical="center" wrapText="1"/>
    </xf>
    <xf numFmtId="4" fontId="16" fillId="14" borderId="29" xfId="7" applyNumberFormat="1" applyFill="1" applyBorder="1" applyAlignment="1">
      <alignment vertical="center"/>
    </xf>
    <xf numFmtId="4" fontId="18" fillId="14" borderId="38" xfId="7" applyNumberFormat="1" applyFont="1" applyFill="1" applyBorder="1" applyAlignment="1">
      <alignment vertical="center" wrapText="1"/>
    </xf>
    <xf numFmtId="4" fontId="18" fillId="14" borderId="38" xfId="7" applyNumberFormat="1" applyFont="1" applyFill="1" applyBorder="1" applyAlignment="1">
      <alignment horizontal="right" vertical="center" wrapText="1"/>
    </xf>
    <xf numFmtId="4" fontId="48" fillId="0" borderId="29" xfId="7" applyNumberFormat="1" applyFont="1" applyBorder="1" applyAlignment="1">
      <alignment vertical="center" wrapText="1"/>
    </xf>
    <xf numFmtId="4" fontId="48" fillId="0" borderId="29" xfId="7" applyNumberFormat="1" applyFont="1" applyBorder="1" applyAlignment="1">
      <alignment horizontal="right" vertical="center" wrapText="1"/>
    </xf>
    <xf numFmtId="4" fontId="24" fillId="14" borderId="29" xfId="7" applyNumberFormat="1" applyFont="1" applyFill="1" applyBorder="1" applyAlignment="1">
      <alignment vertical="center"/>
    </xf>
    <xf numFmtId="4" fontId="18" fillId="2" borderId="38" xfId="7" applyNumberFormat="1" applyFont="1" applyFill="1" applyBorder="1" applyAlignment="1">
      <alignment vertical="center" wrapText="1"/>
    </xf>
    <xf numFmtId="4" fontId="18" fillId="2" borderId="30" xfId="7" applyNumberFormat="1" applyFont="1" applyFill="1" applyBorder="1" applyAlignment="1">
      <alignment vertical="center" wrapText="1"/>
    </xf>
    <xf numFmtId="4" fontId="16" fillId="0" borderId="30" xfId="7" applyNumberFormat="1" applyBorder="1" applyAlignment="1">
      <alignment vertical="center" wrapText="1"/>
    </xf>
    <xf numFmtId="4" fontId="18" fillId="0" borderId="30" xfId="7" applyNumberFormat="1" applyFont="1" applyBorder="1" applyAlignment="1">
      <alignment vertical="center" wrapText="1"/>
    </xf>
    <xf numFmtId="4" fontId="16" fillId="0" borderId="40" xfId="7" applyNumberFormat="1" applyBorder="1" applyAlignment="1">
      <alignment vertical="center" wrapText="1"/>
    </xf>
    <xf numFmtId="4" fontId="18" fillId="2" borderId="41" xfId="7" applyNumberFormat="1" applyFont="1" applyFill="1" applyBorder="1" applyAlignment="1">
      <alignment vertical="center" wrapText="1"/>
    </xf>
    <xf numFmtId="4" fontId="18" fillId="17" borderId="54" xfId="7" applyNumberFormat="1" applyFont="1" applyFill="1" applyBorder="1" applyAlignment="1">
      <alignment vertical="center" wrapText="1"/>
    </xf>
    <xf numFmtId="3" fontId="21" fillId="0" borderId="0" xfId="7" applyNumberFormat="1" applyFont="1" applyAlignment="1">
      <alignment vertical="center" wrapText="1"/>
    </xf>
    <xf numFmtId="3" fontId="21" fillId="0" borderId="0" xfId="7" applyNumberFormat="1" applyFont="1" applyAlignment="1">
      <alignment vertical="center"/>
    </xf>
    <xf numFmtId="0" fontId="21" fillId="0" borderId="0" xfId="7" applyFont="1" applyAlignment="1">
      <alignment horizontal="right" vertical="center" wrapText="1"/>
    </xf>
    <xf numFmtId="0" fontId="45" fillId="0" borderId="25" xfId="7" applyFont="1" applyBorder="1" applyAlignment="1" applyProtection="1">
      <alignment horizontal="center" vertical="center" wrapText="1"/>
      <protection locked="0"/>
    </xf>
    <xf numFmtId="4" fontId="16" fillId="0" borderId="22" xfId="7" applyNumberFormat="1" applyBorder="1" applyAlignment="1">
      <alignment vertical="center"/>
    </xf>
    <xf numFmtId="4" fontId="16" fillId="0" borderId="30" xfId="7" applyNumberFormat="1" applyBorder="1" applyAlignment="1">
      <alignment vertical="center"/>
    </xf>
    <xf numFmtId="4" fontId="16" fillId="0" borderId="29" xfId="7" applyNumberFormat="1" applyBorder="1" applyAlignment="1">
      <alignment vertical="center"/>
    </xf>
    <xf numFmtId="0" fontId="14" fillId="0" borderId="0" xfId="11" applyFont="1" applyAlignment="1">
      <alignment vertical="center"/>
    </xf>
    <xf numFmtId="0" fontId="14" fillId="8" borderId="10" xfId="11" applyFont="1" applyFill="1" applyBorder="1" applyAlignment="1">
      <alignment horizontal="center" vertical="center"/>
    </xf>
    <xf numFmtId="0" fontId="14" fillId="8" borderId="10" xfId="11" applyFont="1" applyFill="1" applyBorder="1" applyAlignment="1">
      <alignment vertical="center" wrapText="1"/>
    </xf>
    <xf numFmtId="3" fontId="14" fillId="8" borderId="10" xfId="11" applyNumberFormat="1" applyFont="1" applyFill="1" applyBorder="1" applyAlignment="1">
      <alignment vertical="center"/>
    </xf>
    <xf numFmtId="0" fontId="13" fillId="9" borderId="10" xfId="11" applyFont="1" applyFill="1" applyBorder="1" applyAlignment="1">
      <alignment horizontal="center" vertical="center"/>
    </xf>
    <xf numFmtId="0" fontId="13" fillId="9" borderId="10" xfId="11" applyFont="1" applyFill="1" applyBorder="1" applyAlignment="1">
      <alignment vertical="center" wrapText="1"/>
    </xf>
    <xf numFmtId="3" fontId="13" fillId="9" borderId="10" xfId="11" applyNumberFormat="1" applyFont="1" applyFill="1" applyBorder="1" applyAlignment="1">
      <alignment vertical="center"/>
    </xf>
    <xf numFmtId="0" fontId="14" fillId="9" borderId="10" xfId="11" applyFont="1" applyFill="1" applyBorder="1" applyAlignment="1">
      <alignment horizontal="center" vertical="center"/>
    </xf>
    <xf numFmtId="0" fontId="14" fillId="9" borderId="10" xfId="11" applyFont="1" applyFill="1" applyBorder="1" applyAlignment="1">
      <alignment vertical="center" wrapText="1"/>
    </xf>
    <xf numFmtId="3" fontId="14" fillId="9" borderId="10" xfId="11" applyNumberFormat="1" applyFont="1" applyFill="1" applyBorder="1" applyAlignment="1">
      <alignment vertical="center"/>
    </xf>
    <xf numFmtId="0" fontId="37" fillId="0" borderId="10" xfId="11" applyFont="1" applyBorder="1" applyAlignment="1">
      <alignment horizontal="center" vertical="center"/>
    </xf>
    <xf numFmtId="0" fontId="37" fillId="0" borderId="10" xfId="11" applyFont="1" applyBorder="1" applyAlignment="1">
      <alignment vertical="center" wrapText="1"/>
    </xf>
    <xf numFmtId="3" fontId="13" fillId="0" borderId="10" xfId="11" applyNumberFormat="1" applyFont="1" applyBorder="1" applyAlignment="1">
      <alignment vertical="center"/>
    </xf>
    <xf numFmtId="0" fontId="53" fillId="2" borderId="60" xfId="7" applyFont="1" applyFill="1" applyBorder="1" applyAlignment="1">
      <alignment horizontal="center" vertical="center" wrapText="1"/>
    </xf>
    <xf numFmtId="0" fontId="45" fillId="16" borderId="0" xfId="7" applyFont="1" applyFill="1" applyAlignment="1" applyProtection="1">
      <alignment vertical="center"/>
      <protection locked="0"/>
    </xf>
    <xf numFmtId="4" fontId="18" fillId="0" borderId="0" xfId="7" applyNumberFormat="1" applyFont="1" applyAlignment="1" applyProtection="1">
      <alignment horizontal="center" vertical="center"/>
      <protection locked="0"/>
    </xf>
    <xf numFmtId="4" fontId="14" fillId="2" borderId="10" xfId="7" applyNumberFormat="1" applyFont="1" applyFill="1" applyBorder="1" applyAlignment="1">
      <alignment vertical="center"/>
    </xf>
    <xf numFmtId="4" fontId="14" fillId="6" borderId="10" xfId="7" applyNumberFormat="1" applyFont="1" applyFill="1" applyBorder="1" applyAlignment="1">
      <alignment horizontal="center" vertical="center"/>
    </xf>
    <xf numFmtId="4" fontId="17" fillId="7" borderId="10" xfId="7" applyNumberFormat="1" applyFont="1" applyFill="1" applyBorder="1" applyAlignment="1">
      <alignment horizontal="right"/>
    </xf>
    <xf numFmtId="0" fontId="36" fillId="0" borderId="21" xfId="7" applyFont="1" applyBorder="1" applyAlignment="1">
      <alignment horizontal="center" vertical="center"/>
    </xf>
    <xf numFmtId="0" fontId="36" fillId="0" borderId="22" xfId="7" applyFont="1" applyBorder="1" applyAlignment="1">
      <alignment horizontal="center" vertical="center" wrapText="1"/>
    </xf>
    <xf numFmtId="4" fontId="18" fillId="0" borderId="22" xfId="7" applyNumberFormat="1" applyFont="1" applyBorder="1" applyAlignment="1">
      <alignment vertical="center"/>
    </xf>
    <xf numFmtId="0" fontId="48" fillId="0" borderId="22" xfId="16" applyFont="1" applyFill="1" applyBorder="1" applyAlignment="1" applyProtection="1">
      <alignment vertical="center" wrapText="1"/>
      <protection locked="0"/>
    </xf>
    <xf numFmtId="0" fontId="45" fillId="0" borderId="21" xfId="7" applyFont="1" applyBorder="1" applyAlignment="1">
      <alignment horizontal="center" vertical="center"/>
    </xf>
    <xf numFmtId="4" fontId="18" fillId="0" borderId="22" xfId="7" applyNumberFormat="1" applyFont="1" applyBorder="1" applyAlignment="1">
      <alignment vertical="center" wrapText="1"/>
    </xf>
    <xf numFmtId="4" fontId="18" fillId="0" borderId="22" xfId="7" applyNumberFormat="1" applyFont="1" applyBorder="1" applyAlignment="1">
      <alignment horizontal="right" vertical="center" wrapText="1"/>
    </xf>
    <xf numFmtId="0" fontId="18" fillId="0" borderId="33" xfId="7" applyFont="1" applyBorder="1" applyAlignment="1">
      <alignment horizontal="center" vertical="center" wrapText="1"/>
    </xf>
    <xf numFmtId="0" fontId="35" fillId="0" borderId="34" xfId="7" applyFont="1" applyBorder="1" applyAlignment="1">
      <alignment horizontal="center" vertical="center" wrapText="1"/>
    </xf>
    <xf numFmtId="4" fontId="16" fillId="0" borderId="20" xfId="7" applyNumberFormat="1" applyBorder="1" applyAlignment="1">
      <alignment vertical="center"/>
    </xf>
    <xf numFmtId="4" fontId="13" fillId="0" borderId="30" xfId="7" applyNumberFormat="1" applyFont="1" applyBorder="1" applyAlignment="1">
      <alignment horizontal="right" vertical="center" wrapText="1"/>
    </xf>
    <xf numFmtId="0" fontId="13" fillId="0" borderId="34" xfId="7" applyFont="1" applyBorder="1" applyAlignment="1">
      <alignment horizontal="center" vertical="center" wrapText="1"/>
    </xf>
    <xf numFmtId="0" fontId="18" fillId="0" borderId="41" xfId="7" applyFont="1" applyBorder="1" applyAlignment="1">
      <alignment horizontal="center" vertical="center" wrapText="1"/>
    </xf>
    <xf numFmtId="4" fontId="18" fillId="0" borderId="41" xfId="7" applyNumberFormat="1" applyFont="1" applyBorder="1" applyAlignment="1">
      <alignment vertical="center" wrapText="1"/>
    </xf>
    <xf numFmtId="0" fontId="16" fillId="0" borderId="41" xfId="7" applyBorder="1" applyAlignment="1">
      <alignment horizontal="left" wrapText="1"/>
    </xf>
    <xf numFmtId="4" fontId="16" fillId="0" borderId="41" xfId="7" applyNumberFormat="1" applyBorder="1" applyAlignment="1">
      <alignment vertical="center" wrapText="1"/>
    </xf>
    <xf numFmtId="0" fontId="18" fillId="15" borderId="28" xfId="7" applyFont="1" applyFill="1" applyBorder="1" applyAlignment="1" applyProtection="1">
      <alignment horizontal="center" vertical="center" wrapText="1"/>
      <protection locked="0"/>
    </xf>
    <xf numFmtId="4" fontId="55" fillId="0" borderId="0" xfId="7" applyNumberFormat="1" applyFont="1"/>
    <xf numFmtId="0" fontId="13" fillId="0" borderId="10" xfId="11" applyFont="1" applyBorder="1" applyAlignment="1">
      <alignment horizontal="center" vertical="center"/>
    </xf>
    <xf numFmtId="0" fontId="42" fillId="0" borderId="10" xfId="11" applyFont="1" applyBorder="1" applyAlignment="1">
      <alignment horizontal="center" vertical="center"/>
    </xf>
    <xf numFmtId="4" fontId="13" fillId="0" borderId="0" xfId="7" applyNumberFormat="1" applyFont="1"/>
    <xf numFmtId="3" fontId="13" fillId="0" borderId="0" xfId="7" applyNumberFormat="1" applyFont="1" applyAlignment="1">
      <alignment vertical="center"/>
    </xf>
    <xf numFmtId="0" fontId="16" fillId="0" borderId="22" xfId="16" applyFont="1" applyFill="1" applyBorder="1" applyAlignment="1" applyProtection="1">
      <alignment vertical="center" wrapText="1"/>
      <protection locked="0"/>
    </xf>
    <xf numFmtId="4" fontId="18" fillId="0" borderId="29" xfId="7" applyNumberFormat="1" applyFont="1" applyBorder="1" applyAlignment="1">
      <alignment vertical="center" wrapText="1"/>
    </xf>
    <xf numFmtId="0" fontId="18" fillId="0" borderId="56" xfId="7" applyFont="1" applyBorder="1" applyAlignment="1">
      <alignment horizontal="center" vertical="center" wrapText="1"/>
    </xf>
    <xf numFmtId="0" fontId="18" fillId="0" borderId="16" xfId="7" applyFont="1" applyBorder="1" applyAlignment="1">
      <alignment horizontal="center" vertical="center" wrapText="1"/>
    </xf>
    <xf numFmtId="0" fontId="18" fillId="0" borderId="64" xfId="7" applyFont="1" applyBorder="1" applyAlignment="1">
      <alignment horizontal="center" vertical="center" wrapText="1"/>
    </xf>
    <xf numFmtId="4" fontId="18" fillId="0" borderId="65" xfId="7" applyNumberFormat="1" applyFont="1" applyBorder="1" applyAlignment="1">
      <alignment vertical="center" wrapText="1"/>
    </xf>
    <xf numFmtId="4" fontId="18" fillId="0" borderId="16" xfId="7" applyNumberFormat="1" applyFont="1" applyBorder="1" applyAlignment="1">
      <alignment vertical="center" wrapText="1"/>
    </xf>
    <xf numFmtId="0" fontId="14" fillId="0" borderId="19" xfId="7" applyFont="1" applyBorder="1" applyAlignment="1">
      <alignment horizontal="center" vertical="center" wrapText="1"/>
    </xf>
    <xf numFmtId="4" fontId="16" fillId="0" borderId="16" xfId="7" applyNumberFormat="1" applyBorder="1" applyAlignment="1">
      <alignment vertical="center" wrapText="1"/>
    </xf>
    <xf numFmtId="0" fontId="45" fillId="0" borderId="28" xfId="7" applyFont="1" applyBorder="1" applyAlignment="1" applyProtection="1">
      <alignment horizontal="center" vertical="center" wrapText="1"/>
      <protection locked="0"/>
    </xf>
    <xf numFmtId="0" fontId="45" fillId="15" borderId="48" xfId="7" applyFont="1" applyFill="1" applyBorder="1" applyAlignment="1" applyProtection="1">
      <alignment horizontal="center" vertical="center" wrapText="1"/>
      <protection locked="0"/>
    </xf>
    <xf numFmtId="4" fontId="18" fillId="2" borderId="67" xfId="7" applyNumberFormat="1" applyFont="1" applyFill="1" applyBorder="1" applyAlignment="1">
      <alignment vertical="center" wrapText="1"/>
    </xf>
    <xf numFmtId="0" fontId="18" fillId="0" borderId="29" xfId="7" applyFont="1" applyBorder="1" applyAlignment="1" applyProtection="1">
      <alignment horizontal="center" vertical="center" wrapText="1"/>
      <protection locked="0"/>
    </xf>
    <xf numFmtId="3" fontId="18" fillId="0" borderId="0" xfId="7" applyNumberFormat="1" applyFont="1" applyAlignment="1" applyProtection="1">
      <alignment horizontal="center" vertical="center"/>
      <protection locked="0"/>
    </xf>
    <xf numFmtId="0" fontId="18" fillId="0" borderId="28" xfId="7" applyFont="1" applyBorder="1" applyAlignment="1" applyProtection="1">
      <alignment horizontal="center" vertical="center" wrapText="1"/>
      <protection locked="0"/>
    </xf>
    <xf numFmtId="0" fontId="49" fillId="0" borderId="40" xfId="7" applyFont="1" applyBorder="1" applyAlignment="1" applyProtection="1">
      <alignment horizontal="center" vertical="center" wrapText="1"/>
      <protection locked="0"/>
    </xf>
    <xf numFmtId="0" fontId="18" fillId="18" borderId="28" xfId="7" applyFont="1" applyFill="1" applyBorder="1" applyAlignment="1" applyProtection="1">
      <alignment horizontal="center" vertical="center" wrapText="1"/>
      <protection locked="0"/>
    </xf>
    <xf numFmtId="0" fontId="18" fillId="15" borderId="20" xfId="7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Alignment="1">
      <alignment wrapText="1"/>
    </xf>
    <xf numFmtId="4" fontId="18" fillId="2" borderId="65" xfId="7" applyNumberFormat="1" applyFont="1" applyFill="1" applyBorder="1" applyAlignment="1">
      <alignment vertical="center" wrapText="1"/>
    </xf>
    <xf numFmtId="4" fontId="18" fillId="2" borderId="16" xfId="7" applyNumberFormat="1" applyFont="1" applyFill="1" applyBorder="1" applyAlignment="1">
      <alignment vertical="center" wrapText="1"/>
    </xf>
    <xf numFmtId="0" fontId="14" fillId="2" borderId="19" xfId="7" applyFont="1" applyFill="1" applyBorder="1" applyAlignment="1">
      <alignment horizontal="center" vertical="center" wrapText="1"/>
    </xf>
    <xf numFmtId="4" fontId="18" fillId="2" borderId="29" xfId="7" applyNumberFormat="1" applyFont="1" applyFill="1" applyBorder="1" applyAlignment="1">
      <alignment vertical="center" wrapText="1"/>
    </xf>
    <xf numFmtId="4" fontId="45" fillId="0" borderId="9" xfId="9" applyNumberFormat="1" applyFont="1" applyBorder="1"/>
    <xf numFmtId="4" fontId="50" fillId="0" borderId="22" xfId="7" applyNumberFormat="1" applyFont="1" applyBorder="1" applyAlignment="1">
      <alignment vertical="center" wrapText="1"/>
    </xf>
    <xf numFmtId="0" fontId="18" fillId="0" borderId="36" xfId="7" applyFont="1" applyBorder="1" applyAlignment="1">
      <alignment horizontal="center" vertical="center"/>
    </xf>
    <xf numFmtId="0" fontId="36" fillId="0" borderId="22" xfId="7" applyFont="1" applyBorder="1" applyAlignment="1">
      <alignment horizontal="center" vertical="center"/>
    </xf>
    <xf numFmtId="0" fontId="48" fillId="0" borderId="22" xfId="7" applyFont="1" applyBorder="1" applyAlignment="1" applyProtection="1">
      <alignment horizontal="left" vertical="center" wrapText="1"/>
      <protection locked="0"/>
    </xf>
    <xf numFmtId="0" fontId="40" fillId="0" borderId="27" xfId="7" applyFont="1" applyBorder="1" applyAlignment="1">
      <alignment horizontal="center" vertical="center" wrapText="1"/>
    </xf>
    <xf numFmtId="0" fontId="16" fillId="0" borderId="22" xfId="7" applyBorder="1" applyAlignment="1" applyProtection="1">
      <alignment horizontal="left" vertical="center" wrapText="1"/>
      <protection locked="0"/>
    </xf>
    <xf numFmtId="0" fontId="36" fillId="0" borderId="29" xfId="7" applyFont="1" applyBorder="1" applyAlignment="1">
      <alignment horizontal="center" vertical="center"/>
    </xf>
    <xf numFmtId="0" fontId="36" fillId="0" borderId="29" xfId="7" applyFont="1" applyBorder="1" applyAlignment="1">
      <alignment horizontal="center" vertical="center" wrapText="1"/>
    </xf>
    <xf numFmtId="0" fontId="25" fillId="0" borderId="29" xfId="7" applyFont="1" applyBorder="1" applyAlignment="1">
      <alignment horizontal="center" vertical="center" wrapText="1"/>
    </xf>
    <xf numFmtId="0" fontId="52" fillId="0" borderId="41" xfId="16" applyFont="1" applyFill="1" applyBorder="1" applyAlignment="1">
      <alignment vertical="center" wrapText="1"/>
    </xf>
    <xf numFmtId="0" fontId="14" fillId="0" borderId="29" xfId="7" applyFont="1" applyBorder="1" applyAlignment="1">
      <alignment horizontal="center" vertical="center" wrapText="1"/>
    </xf>
    <xf numFmtId="0" fontId="18" fillId="0" borderId="69" xfId="7" applyFont="1" applyBorder="1" applyAlignment="1" applyProtection="1">
      <alignment horizontal="center" vertical="center" wrapText="1"/>
      <protection locked="0"/>
    </xf>
    <xf numFmtId="0" fontId="16" fillId="0" borderId="29" xfId="16" applyFont="1" applyFill="1" applyBorder="1" applyAlignment="1">
      <alignment vertical="center" wrapText="1"/>
    </xf>
    <xf numFmtId="0" fontId="18" fillId="0" borderId="68" xfId="7" applyFont="1" applyBorder="1" applyAlignment="1">
      <alignment horizontal="center" vertical="center" wrapText="1"/>
    </xf>
    <xf numFmtId="0" fontId="18" fillId="0" borderId="55" xfId="7" applyFont="1" applyBorder="1" applyAlignment="1">
      <alignment horizontal="center" vertical="center" wrapText="1"/>
    </xf>
    <xf numFmtId="4" fontId="18" fillId="2" borderId="36" xfId="7" applyNumberFormat="1" applyFont="1" applyFill="1" applyBorder="1" applyAlignment="1">
      <alignment vertical="center" wrapText="1"/>
    </xf>
    <xf numFmtId="0" fontId="14" fillId="2" borderId="41" xfId="7" applyFont="1" applyFill="1" applyBorder="1" applyAlignment="1">
      <alignment horizontal="center" vertical="center" wrapText="1"/>
    </xf>
    <xf numFmtId="4" fontId="18" fillId="0" borderId="43" xfId="7" applyNumberFormat="1" applyFont="1" applyBorder="1" applyAlignment="1">
      <alignment vertical="center" wrapText="1"/>
    </xf>
    <xf numFmtId="0" fontId="53" fillId="0" borderId="45" xfId="7" applyFont="1" applyBorder="1" applyAlignment="1">
      <alignment horizontal="center" vertical="center" wrapText="1"/>
    </xf>
    <xf numFmtId="0" fontId="14" fillId="2" borderId="67" xfId="7" applyFont="1" applyFill="1" applyBorder="1" applyAlignment="1">
      <alignment horizontal="center" vertical="center" wrapText="1"/>
    </xf>
    <xf numFmtId="0" fontId="53" fillId="2" borderId="69" xfId="7" applyFont="1" applyFill="1" applyBorder="1" applyAlignment="1">
      <alignment horizontal="center" vertical="center" wrapText="1"/>
    </xf>
    <xf numFmtId="0" fontId="52" fillId="0" borderId="29" xfId="16" applyFont="1" applyFill="1" applyBorder="1" applyAlignment="1">
      <alignment vertical="center" wrapText="1"/>
    </xf>
    <xf numFmtId="0" fontId="53" fillId="2" borderId="47" xfId="7" applyFont="1" applyFill="1" applyBorder="1" applyAlignment="1">
      <alignment horizontal="center" vertical="center" wrapText="1"/>
    </xf>
    <xf numFmtId="4" fontId="18" fillId="2" borderId="66" xfId="7" applyNumberFormat="1" applyFont="1" applyFill="1" applyBorder="1" applyAlignment="1">
      <alignment vertical="center" wrapText="1"/>
    </xf>
    <xf numFmtId="4" fontId="18" fillId="0" borderId="66" xfId="7" applyNumberFormat="1" applyFont="1" applyBorder="1" applyAlignment="1">
      <alignment vertical="center" wrapText="1"/>
    </xf>
    <xf numFmtId="0" fontId="14" fillId="0" borderId="41" xfId="7" applyFont="1" applyBorder="1" applyAlignment="1">
      <alignment horizontal="center" vertical="center" wrapText="1"/>
    </xf>
    <xf numFmtId="0" fontId="53" fillId="2" borderId="70" xfId="7" applyFont="1" applyFill="1" applyBorder="1" applyAlignment="1">
      <alignment horizontal="center" vertical="center" wrapText="1"/>
    </xf>
    <xf numFmtId="4" fontId="16" fillId="0" borderId="43" xfId="7" applyNumberFormat="1" applyBorder="1" applyAlignment="1">
      <alignment horizontal="right" vertical="center" wrapText="1"/>
    </xf>
    <xf numFmtId="0" fontId="53" fillId="2" borderId="71" xfId="7" applyFont="1" applyFill="1" applyBorder="1" applyAlignment="1">
      <alignment horizontal="center" vertical="center" wrapText="1"/>
    </xf>
    <xf numFmtId="4" fontId="16" fillId="0" borderId="43" xfId="7" applyNumberFormat="1" applyBorder="1" applyAlignment="1">
      <alignment vertical="center" wrapText="1"/>
    </xf>
    <xf numFmtId="4" fontId="18" fillId="2" borderId="72" xfId="7" applyNumberFormat="1" applyFont="1" applyFill="1" applyBorder="1" applyAlignment="1">
      <alignment vertical="center" wrapText="1"/>
    </xf>
    <xf numFmtId="3" fontId="14" fillId="17" borderId="59" xfId="7" applyNumberFormat="1" applyFont="1" applyFill="1" applyBorder="1" applyAlignment="1">
      <alignment horizontal="center" vertical="center" wrapText="1"/>
    </xf>
    <xf numFmtId="3" fontId="53" fillId="17" borderId="70" xfId="7" applyNumberFormat="1" applyFont="1" applyFill="1" applyBorder="1" applyAlignment="1">
      <alignment horizontal="center" vertical="center" wrapText="1"/>
    </xf>
    <xf numFmtId="4" fontId="18" fillId="0" borderId="29" xfId="7" applyNumberFormat="1" applyFont="1" applyBorder="1" applyAlignment="1">
      <alignment vertical="center"/>
    </xf>
    <xf numFmtId="4" fontId="18" fillId="0" borderId="29" xfId="7" applyNumberFormat="1" applyFont="1" applyBorder="1" applyAlignment="1">
      <alignment horizontal="right" vertical="center" wrapText="1"/>
    </xf>
    <xf numFmtId="4" fontId="18" fillId="0" borderId="23" xfId="7" applyNumberFormat="1" applyFont="1" applyBorder="1" applyAlignment="1">
      <alignment vertical="center" wrapText="1"/>
    </xf>
    <xf numFmtId="0" fontId="14" fillId="0" borderId="24" xfId="7" applyFont="1" applyBorder="1" applyAlignment="1">
      <alignment horizontal="center" vertical="center" wrapText="1"/>
    </xf>
    <xf numFmtId="4" fontId="16" fillId="0" borderId="23" xfId="7" applyNumberFormat="1" applyBorder="1" applyAlignment="1">
      <alignment vertical="center" wrapText="1"/>
    </xf>
    <xf numFmtId="0" fontId="37" fillId="0" borderId="5" xfId="11" applyFont="1" applyBorder="1" applyAlignment="1">
      <alignment vertical="center" wrapText="1"/>
    </xf>
    <xf numFmtId="3" fontId="25" fillId="0" borderId="10" xfId="11" applyNumberFormat="1" applyFont="1" applyBorder="1" applyAlignment="1">
      <alignment vertical="center"/>
    </xf>
    <xf numFmtId="0" fontId="44" fillId="0" borderId="0" xfId="7" applyFont="1" applyAlignment="1">
      <alignment vertical="center"/>
    </xf>
    <xf numFmtId="3" fontId="44" fillId="0" borderId="0" xfId="7" applyNumberFormat="1" applyFont="1" applyAlignment="1">
      <alignment vertical="center"/>
    </xf>
    <xf numFmtId="0" fontId="44" fillId="0" borderId="0" xfId="7" applyFont="1" applyAlignment="1">
      <alignment horizontal="center" vertical="center"/>
    </xf>
    <xf numFmtId="4" fontId="25" fillId="0" borderId="10" xfId="7" applyNumberFormat="1" applyFont="1" applyBorder="1" applyAlignment="1">
      <alignment vertical="center" wrapText="1"/>
    </xf>
    <xf numFmtId="0" fontId="13" fillId="0" borderId="10" xfId="7" applyFont="1" applyBorder="1" applyAlignment="1">
      <alignment horizontal="center" vertical="center" wrapText="1"/>
    </xf>
    <xf numFmtId="0" fontId="13" fillId="0" borderId="10" xfId="11" applyFont="1" applyBorder="1" applyAlignment="1">
      <alignment vertical="center" wrapText="1"/>
    </xf>
    <xf numFmtId="4" fontId="25" fillId="0" borderId="10" xfId="7" applyNumberFormat="1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4" fontId="25" fillId="0" borderId="10" xfId="7" applyNumberFormat="1" applyFont="1" applyBorder="1" applyAlignment="1">
      <alignment vertical="center"/>
    </xf>
    <xf numFmtId="4" fontId="13" fillId="0" borderId="10" xfId="7" applyNumberFormat="1" applyFont="1" applyBorder="1" applyAlignment="1">
      <alignment vertical="center"/>
    </xf>
    <xf numFmtId="0" fontId="13" fillId="0" borderId="10" xfId="7" applyFont="1" applyBorder="1" applyAlignment="1">
      <alignment vertical="center" wrapText="1"/>
    </xf>
    <xf numFmtId="4" fontId="13" fillId="0" borderId="10" xfId="7" applyNumberFormat="1" applyFont="1" applyBorder="1" applyAlignment="1">
      <alignment vertical="center" wrapText="1"/>
    </xf>
    <xf numFmtId="0" fontId="58" fillId="12" borderId="0" xfId="26" applyFont="1" applyFill="1" applyAlignment="1">
      <alignment vertical="top" wrapText="1"/>
    </xf>
    <xf numFmtId="0" fontId="52" fillId="0" borderId="0" xfId="0" applyFont="1" applyFill="1" applyAlignment="1">
      <alignment vertical="center" wrapText="1"/>
    </xf>
    <xf numFmtId="0" fontId="48" fillId="0" borderId="13" xfId="34" applyFont="1" applyBorder="1" applyAlignment="1">
      <alignment vertical="center" wrapText="1"/>
    </xf>
    <xf numFmtId="0" fontId="48" fillId="0" borderId="29" xfId="34" applyFont="1" applyBorder="1" applyAlignment="1">
      <alignment vertical="center" wrapText="1"/>
    </xf>
    <xf numFmtId="0" fontId="48" fillId="0" borderId="0" xfId="34" applyFont="1" applyAlignment="1">
      <alignment vertical="center" wrapText="1"/>
    </xf>
    <xf numFmtId="0" fontId="16" fillId="0" borderId="29" xfId="34" applyFont="1" applyBorder="1" applyAlignment="1">
      <alignment vertical="center" wrapText="1"/>
    </xf>
    <xf numFmtId="4" fontId="18" fillId="2" borderId="42" xfId="7" applyNumberFormat="1" applyFont="1" applyFill="1" applyBorder="1" applyAlignment="1">
      <alignment vertical="center" wrapText="1"/>
    </xf>
    <xf numFmtId="0" fontId="14" fillId="2" borderId="42" xfId="7" applyFont="1" applyFill="1" applyBorder="1" applyAlignment="1">
      <alignment horizontal="center" vertical="center" wrapText="1"/>
    </xf>
    <xf numFmtId="4" fontId="18" fillId="0" borderId="25" xfId="7" applyNumberFormat="1" applyFont="1" applyBorder="1" applyAlignment="1">
      <alignment vertical="center" wrapText="1"/>
    </xf>
    <xf numFmtId="0" fontId="52" fillId="0" borderId="0" xfId="0" applyFont="1" applyFill="1" applyAlignment="1">
      <alignment horizontal="justify" vertical="center"/>
    </xf>
    <xf numFmtId="0" fontId="18" fillId="19" borderId="29" xfId="7" applyFont="1" applyFill="1" applyBorder="1" applyAlignment="1">
      <alignment horizontal="center" vertical="center"/>
    </xf>
    <xf numFmtId="0" fontId="18" fillId="19" borderId="22" xfId="7" applyFont="1" applyFill="1" applyBorder="1" applyAlignment="1">
      <alignment horizontal="center" vertical="center" wrapText="1"/>
    </xf>
    <xf numFmtId="4" fontId="49" fillId="19" borderId="22" xfId="7" applyNumberFormat="1" applyFont="1" applyFill="1" applyBorder="1" applyAlignment="1">
      <alignment vertical="center" wrapText="1"/>
    </xf>
    <xf numFmtId="0" fontId="35" fillId="19" borderId="27" xfId="7" applyFont="1" applyFill="1" applyBorder="1" applyAlignment="1">
      <alignment horizontal="center" vertical="center" wrapText="1"/>
    </xf>
    <xf numFmtId="0" fontId="18" fillId="19" borderId="22" xfId="7" applyFont="1" applyFill="1" applyBorder="1" applyAlignment="1">
      <alignment horizontal="left" vertical="center" wrapText="1"/>
    </xf>
    <xf numFmtId="4" fontId="18" fillId="19" borderId="22" xfId="7" applyNumberFormat="1" applyFont="1" applyFill="1" applyBorder="1" applyAlignment="1">
      <alignment vertical="center" wrapText="1"/>
    </xf>
    <xf numFmtId="0" fontId="18" fillId="19" borderId="30" xfId="7" applyFont="1" applyFill="1" applyBorder="1" applyAlignment="1">
      <alignment horizontal="center" vertical="center" wrapText="1"/>
    </xf>
    <xf numFmtId="0" fontId="18" fillId="19" borderId="29" xfId="16" applyFont="1" applyFill="1" applyBorder="1" applyAlignment="1" applyProtection="1">
      <alignment vertical="center" wrapText="1"/>
    </xf>
    <xf numFmtId="4" fontId="18" fillId="19" borderId="28" xfId="7" applyNumberFormat="1" applyFont="1" applyFill="1" applyBorder="1" applyAlignment="1">
      <alignment vertical="center" wrapText="1"/>
    </xf>
    <xf numFmtId="4" fontId="18" fillId="19" borderId="22" xfId="7" applyNumberFormat="1" applyFont="1" applyFill="1" applyBorder="1" applyAlignment="1">
      <alignment vertical="center"/>
    </xf>
    <xf numFmtId="4" fontId="18" fillId="19" borderId="22" xfId="7" applyNumberFormat="1" applyFont="1" applyFill="1" applyBorder="1" applyAlignment="1">
      <alignment horizontal="right" vertical="center" wrapText="1"/>
    </xf>
    <xf numFmtId="0" fontId="14" fillId="19" borderId="27" xfId="7" applyFont="1" applyFill="1" applyBorder="1" applyAlignment="1">
      <alignment horizontal="center" vertical="center" wrapText="1"/>
    </xf>
    <xf numFmtId="0" fontId="18" fillId="19" borderId="32" xfId="7" applyFont="1" applyFill="1" applyBorder="1" applyAlignment="1">
      <alignment horizontal="center" vertical="center"/>
    </xf>
    <xf numFmtId="0" fontId="18" fillId="19" borderId="57" xfId="7" applyFont="1" applyFill="1" applyBorder="1" applyAlignment="1">
      <alignment horizontal="center" vertical="center" wrapText="1"/>
    </xf>
    <xf numFmtId="4" fontId="45" fillId="19" borderId="30" xfId="7" applyNumberFormat="1" applyFont="1" applyFill="1" applyBorder="1" applyAlignment="1">
      <alignment vertical="center" wrapText="1"/>
    </xf>
    <xf numFmtId="0" fontId="43" fillId="19" borderId="34" xfId="7" applyFont="1" applyFill="1" applyBorder="1" applyAlignment="1">
      <alignment horizontal="center" vertical="center" wrapText="1"/>
    </xf>
    <xf numFmtId="0" fontId="36" fillId="19" borderId="29" xfId="34" applyFont="1" applyFill="1" applyBorder="1" applyAlignment="1">
      <alignment vertical="center" wrapText="1"/>
    </xf>
    <xf numFmtId="4" fontId="18" fillId="19" borderId="20" xfId="7" applyNumberFormat="1" applyFont="1" applyFill="1" applyBorder="1" applyAlignment="1">
      <alignment vertical="center" wrapText="1"/>
    </xf>
    <xf numFmtId="4" fontId="18" fillId="19" borderId="30" xfId="7" applyNumberFormat="1" applyFont="1" applyFill="1" applyBorder="1" applyAlignment="1">
      <alignment vertical="center"/>
    </xf>
    <xf numFmtId="4" fontId="18" fillId="19" borderId="30" xfId="7" applyNumberFormat="1" applyFont="1" applyFill="1" applyBorder="1" applyAlignment="1">
      <alignment horizontal="right" vertical="center" wrapText="1"/>
    </xf>
    <xf numFmtId="0" fontId="18" fillId="19" borderId="30" xfId="16" applyFont="1" applyFill="1" applyBorder="1" applyAlignment="1" applyProtection="1">
      <alignment vertical="center" wrapText="1"/>
      <protection locked="0"/>
    </xf>
    <xf numFmtId="0" fontId="14" fillId="20" borderId="77" xfId="7" applyFont="1" applyFill="1" applyBorder="1" applyAlignment="1">
      <alignment horizontal="center" vertical="center" wrapText="1"/>
    </xf>
    <xf numFmtId="0" fontId="14" fillId="20" borderId="78" xfId="7" applyFont="1" applyFill="1" applyBorder="1" applyAlignment="1">
      <alignment horizontal="center" vertical="center" wrapText="1"/>
    </xf>
    <xf numFmtId="0" fontId="14" fillId="20" borderId="79" xfId="7" applyFont="1" applyFill="1" applyBorder="1" applyAlignment="1">
      <alignment horizontal="center" vertical="center" wrapText="1"/>
    </xf>
    <xf numFmtId="0" fontId="13" fillId="16" borderId="29" xfId="7" applyFont="1" applyFill="1" applyBorder="1" applyAlignment="1">
      <alignment horizontal="center" vertical="center" wrapText="1"/>
    </xf>
    <xf numFmtId="3" fontId="13" fillId="16" borderId="29" xfId="7" applyNumberFormat="1" applyFont="1" applyFill="1" applyBorder="1" applyAlignment="1">
      <alignment horizontal="right" vertical="center" wrapText="1"/>
    </xf>
    <xf numFmtId="0" fontId="45" fillId="0" borderId="0" xfId="7" applyFont="1"/>
    <xf numFmtId="0" fontId="16" fillId="16" borderId="0" xfId="7" applyFill="1"/>
    <xf numFmtId="3" fontId="14" fillId="20" borderId="29" xfId="7" applyNumberFormat="1" applyFont="1" applyFill="1" applyBorder="1" applyAlignment="1">
      <alignment horizontal="right" vertical="center" wrapText="1"/>
    </xf>
    <xf numFmtId="3" fontId="13" fillId="0" borderId="29" xfId="7" applyNumberFormat="1" applyFont="1" applyBorder="1" applyAlignment="1">
      <alignment horizontal="right" vertical="center" wrapText="1"/>
    </xf>
    <xf numFmtId="0" fontId="40" fillId="0" borderId="5" xfId="11" applyFont="1" applyBorder="1" applyAlignment="1">
      <alignment horizontal="center" vertical="center"/>
    </xf>
    <xf numFmtId="3" fontId="35" fillId="0" borderId="5" xfId="11" applyNumberFormat="1" applyFont="1" applyBorder="1" applyAlignment="1">
      <alignment vertical="center"/>
    </xf>
    <xf numFmtId="3" fontId="14" fillId="0" borderId="5" xfId="11" applyNumberFormat="1" applyFont="1" applyBorder="1" applyAlignment="1">
      <alignment vertical="center"/>
    </xf>
    <xf numFmtId="0" fontId="14" fillId="0" borderId="5" xfId="11" applyFont="1" applyBorder="1" applyAlignment="1">
      <alignment horizontal="center" vertical="center"/>
    </xf>
    <xf numFmtId="0" fontId="14" fillId="0" borderId="5" xfId="11" applyFont="1" applyBorder="1" applyAlignment="1">
      <alignment vertical="center" wrapText="1"/>
    </xf>
    <xf numFmtId="0" fontId="18" fillId="0" borderId="50" xfId="7" applyFont="1" applyBorder="1" applyAlignment="1">
      <alignment horizontal="center" vertical="center" wrapText="1"/>
    </xf>
    <xf numFmtId="0" fontId="18" fillId="0" borderId="80" xfId="7" applyFont="1" applyBorder="1" applyAlignment="1">
      <alignment horizontal="center" vertical="center" wrapText="1"/>
    </xf>
    <xf numFmtId="0" fontId="16" fillId="0" borderId="81" xfId="7" applyBorder="1" applyAlignment="1">
      <alignment horizontal="left" vertical="center" wrapText="1"/>
    </xf>
    <xf numFmtId="4" fontId="18" fillId="2" borderId="62" xfId="7" applyNumberFormat="1" applyFont="1" applyFill="1" applyBorder="1" applyAlignment="1">
      <alignment vertical="center" wrapText="1"/>
    </xf>
    <xf numFmtId="0" fontId="14" fillId="2" borderId="63" xfId="7" applyFont="1" applyFill="1" applyBorder="1" applyAlignment="1">
      <alignment horizontal="center" vertical="center" wrapText="1"/>
    </xf>
    <xf numFmtId="0" fontId="18" fillId="19" borderId="32" xfId="7" applyFont="1" applyFill="1" applyBorder="1" applyAlignment="1">
      <alignment horizontal="center" vertical="center" wrapText="1"/>
    </xf>
    <xf numFmtId="4" fontId="18" fillId="19" borderId="30" xfId="7" applyNumberFormat="1" applyFont="1" applyFill="1" applyBorder="1" applyAlignment="1">
      <alignment vertical="center" wrapText="1"/>
    </xf>
    <xf numFmtId="0" fontId="14" fillId="19" borderId="34" xfId="7" applyFont="1" applyFill="1" applyBorder="1" applyAlignment="1">
      <alignment horizontal="center" vertical="center" wrapText="1"/>
    </xf>
    <xf numFmtId="0" fontId="58" fillId="12" borderId="12" xfId="35" applyFont="1" applyFill="1" applyBorder="1" applyAlignment="1">
      <alignment horizontal="center" vertical="center" wrapText="1"/>
    </xf>
    <xf numFmtId="0" fontId="58" fillId="12" borderId="12" xfId="35" applyFont="1" applyFill="1" applyBorder="1" applyAlignment="1">
      <alignment horizontal="left" vertical="center" wrapText="1"/>
    </xf>
    <xf numFmtId="39" fontId="58" fillId="12" borderId="12" xfId="35" applyNumberFormat="1" applyFont="1" applyFill="1" applyBorder="1" applyAlignment="1">
      <alignment horizontal="right" vertical="center" wrapText="1"/>
    </xf>
    <xf numFmtId="0" fontId="60" fillId="8" borderId="12" xfId="35" applyFont="1" applyFill="1" applyBorder="1" applyAlignment="1">
      <alignment horizontal="center" vertical="center" wrapText="1"/>
    </xf>
    <xf numFmtId="0" fontId="60" fillId="8" borderId="12" xfId="35" applyFont="1" applyFill="1" applyBorder="1" applyAlignment="1">
      <alignment horizontal="left" vertical="center" wrapText="1"/>
    </xf>
    <xf numFmtId="39" fontId="60" fillId="8" borderId="12" xfId="35" applyNumberFormat="1" applyFont="1" applyFill="1" applyBorder="1" applyAlignment="1">
      <alignment horizontal="right" vertical="center" wrapText="1"/>
    </xf>
    <xf numFmtId="49" fontId="36" fillId="0" borderId="0" xfId="10" applyNumberFormat="1" applyFont="1" applyAlignment="1">
      <alignment horizontal="center" vertical="center" wrapText="1"/>
    </xf>
    <xf numFmtId="0" fontId="36" fillId="8" borderId="10" xfId="10" applyFont="1" applyFill="1" applyBorder="1" applyAlignment="1">
      <alignment horizontal="center" vertical="center" wrapText="1"/>
    </xf>
    <xf numFmtId="3" fontId="36" fillId="8" borderId="10" xfId="10" applyNumberFormat="1" applyFont="1" applyFill="1" applyBorder="1" applyAlignment="1">
      <alignment horizontal="center" vertical="center"/>
    </xf>
    <xf numFmtId="0" fontId="48" fillId="0" borderId="0" xfId="10" applyFont="1" applyAlignment="1">
      <alignment horizontal="center" vertical="center"/>
    </xf>
    <xf numFmtId="0" fontId="58" fillId="12" borderId="0" xfId="35" applyFont="1" applyFill="1" applyAlignment="1">
      <alignment horizontal="left" vertical="top" wrapText="1"/>
    </xf>
    <xf numFmtId="0" fontId="58" fillId="12" borderId="0" xfId="26" applyFont="1" applyFill="1" applyAlignment="1">
      <alignment horizontal="left" vertical="top" wrapText="1"/>
    </xf>
    <xf numFmtId="0" fontId="58" fillId="21" borderId="12" xfId="35" applyFont="1" applyFill="1" applyBorder="1" applyAlignment="1">
      <alignment horizontal="center" vertical="center" wrapText="1"/>
    </xf>
    <xf numFmtId="0" fontId="58" fillId="21" borderId="12" xfId="35" applyFont="1" applyFill="1" applyBorder="1" applyAlignment="1">
      <alignment horizontal="left" vertical="center" wrapText="1"/>
    </xf>
    <xf numFmtId="39" fontId="58" fillId="21" borderId="12" xfId="35" applyNumberFormat="1" applyFont="1" applyFill="1" applyBorder="1" applyAlignment="1">
      <alignment horizontal="right" vertical="center" wrapText="1"/>
    </xf>
    <xf numFmtId="4" fontId="13" fillId="0" borderId="10" xfId="7" applyNumberFormat="1" applyFont="1" applyBorder="1" applyAlignment="1">
      <alignment horizontal="right" vertical="center"/>
    </xf>
    <xf numFmtId="4" fontId="13" fillId="0" borderId="10" xfId="7" applyNumberFormat="1" applyFont="1" applyBorder="1" applyAlignment="1">
      <alignment horizontal="right" vertical="center" wrapText="1"/>
    </xf>
    <xf numFmtId="4" fontId="25" fillId="0" borderId="10" xfId="7" applyNumberFormat="1" applyFont="1" applyBorder="1" applyAlignment="1">
      <alignment horizontal="right" vertical="center" wrapText="1"/>
    </xf>
    <xf numFmtId="4" fontId="36" fillId="0" borderId="28" xfId="7" applyNumberFormat="1" applyFont="1" applyBorder="1" applyAlignment="1">
      <alignment vertical="center" wrapText="1"/>
    </xf>
    <xf numFmtId="4" fontId="36" fillId="0" borderId="22" xfId="7" applyNumberFormat="1" applyFont="1" applyBorder="1" applyAlignment="1">
      <alignment vertical="center" wrapText="1"/>
    </xf>
    <xf numFmtId="4" fontId="18" fillId="14" borderId="29" xfId="7" applyNumberFormat="1" applyFont="1" applyFill="1" applyBorder="1" applyAlignment="1">
      <alignment vertical="center" wrapText="1"/>
    </xf>
    <xf numFmtId="4" fontId="36" fillId="0" borderId="29" xfId="7" applyNumberFormat="1" applyFont="1" applyBorder="1" applyAlignment="1">
      <alignment vertical="center" wrapText="1"/>
    </xf>
    <xf numFmtId="4" fontId="36" fillId="0" borderId="29" xfId="7" applyNumberFormat="1" applyFont="1" applyBorder="1" applyAlignment="1">
      <alignment horizontal="right" vertical="center" wrapText="1"/>
    </xf>
    <xf numFmtId="4" fontId="18" fillId="0" borderId="40" xfId="7" applyNumberFormat="1" applyFont="1" applyBorder="1" applyAlignment="1">
      <alignment vertical="center" wrapText="1"/>
    </xf>
    <xf numFmtId="3" fontId="46" fillId="0" borderId="0" xfId="7" applyNumberFormat="1" applyFont="1"/>
    <xf numFmtId="4" fontId="49" fillId="0" borderId="41" xfId="7" applyNumberFormat="1" applyFont="1" applyBorder="1" applyAlignment="1">
      <alignment vertical="center" wrapText="1"/>
    </xf>
    <xf numFmtId="0" fontId="53" fillId="0" borderId="29" xfId="7" applyFont="1" applyBorder="1" applyAlignment="1">
      <alignment horizontal="center" vertical="center" wrapText="1"/>
    </xf>
    <xf numFmtId="4" fontId="13" fillId="0" borderId="0" xfId="7" applyNumberFormat="1" applyFont="1" applyAlignment="1">
      <alignment horizontal="center" vertical="center"/>
    </xf>
    <xf numFmtId="0" fontId="44" fillId="9" borderId="29" xfId="7" applyFont="1" applyFill="1" applyBorder="1" applyAlignment="1">
      <alignment horizontal="center" vertical="center" wrapText="1"/>
    </xf>
    <xf numFmtId="3" fontId="44" fillId="9" borderId="29" xfId="7" applyNumberFormat="1" applyFont="1" applyFill="1" applyBorder="1" applyAlignment="1">
      <alignment horizontal="right" vertical="center" wrapText="1"/>
    </xf>
    <xf numFmtId="0" fontId="21" fillId="0" borderId="0" xfId="7" applyFont="1"/>
    <xf numFmtId="3" fontId="61" fillId="9" borderId="29" xfId="7" applyNumberFormat="1" applyFont="1" applyFill="1" applyBorder="1" applyAlignment="1">
      <alignment horizontal="right" vertical="center" wrapText="1"/>
    </xf>
    <xf numFmtId="0" fontId="62" fillId="22" borderId="29" xfId="0" applyFont="1" applyFill="1" applyBorder="1" applyAlignment="1">
      <alignment vertical="center" wrapText="1"/>
    </xf>
    <xf numFmtId="0" fontId="17" fillId="0" borderId="0" xfId="7" applyFont="1" applyAlignment="1">
      <alignment horizontal="center"/>
    </xf>
    <xf numFmtId="0" fontId="18" fillId="2" borderId="14" xfId="7" applyFont="1" applyFill="1" applyBorder="1" applyAlignment="1">
      <alignment horizontal="center" vertical="center"/>
    </xf>
    <xf numFmtId="0" fontId="18" fillId="2" borderId="21" xfId="7" applyFont="1" applyFill="1" applyBorder="1" applyAlignment="1">
      <alignment horizontal="center" vertical="center"/>
    </xf>
    <xf numFmtId="0" fontId="18" fillId="2" borderId="15" xfId="7" applyFont="1" applyFill="1" applyBorder="1" applyAlignment="1">
      <alignment horizontal="center" vertical="center" wrapText="1"/>
    </xf>
    <xf numFmtId="0" fontId="18" fillId="2" borderId="22" xfId="7" applyFont="1" applyFill="1" applyBorder="1" applyAlignment="1">
      <alignment horizontal="center" vertical="center" wrapText="1"/>
    </xf>
    <xf numFmtId="0" fontId="18" fillId="13" borderId="15" xfId="7" applyFont="1" applyFill="1" applyBorder="1" applyAlignment="1">
      <alignment horizontal="center" vertical="center" wrapText="1"/>
    </xf>
    <xf numFmtId="0" fontId="18" fillId="13" borderId="22" xfId="7" applyFont="1" applyFill="1" applyBorder="1" applyAlignment="1">
      <alignment horizontal="center" vertical="center" wrapText="1"/>
    </xf>
    <xf numFmtId="0" fontId="18" fillId="13" borderId="16" xfId="7" applyFont="1" applyFill="1" applyBorder="1" applyAlignment="1">
      <alignment horizontal="center" vertical="center" wrapText="1"/>
    </xf>
    <xf numFmtId="0" fontId="18" fillId="13" borderId="23" xfId="7" applyFont="1" applyFill="1" applyBorder="1" applyAlignment="1">
      <alignment horizontal="center" vertical="center" wrapText="1"/>
    </xf>
    <xf numFmtId="0" fontId="18" fillId="13" borderId="17" xfId="7" applyFont="1" applyFill="1" applyBorder="1" applyAlignment="1">
      <alignment horizontal="center" vertical="center" wrapText="1"/>
    </xf>
    <xf numFmtId="0" fontId="18" fillId="13" borderId="18" xfId="7" applyFont="1" applyFill="1" applyBorder="1" applyAlignment="1">
      <alignment horizontal="center" vertical="center" wrapText="1"/>
    </xf>
    <xf numFmtId="0" fontId="14" fillId="13" borderId="19" xfId="7" applyFont="1" applyFill="1" applyBorder="1" applyAlignment="1">
      <alignment horizontal="center" vertical="center" wrapText="1"/>
    </xf>
    <xf numFmtId="0" fontId="14" fillId="13" borderId="24" xfId="7" applyFont="1" applyFill="1" applyBorder="1" applyAlignment="1">
      <alignment horizontal="center" vertical="center" wrapText="1"/>
    </xf>
    <xf numFmtId="0" fontId="24" fillId="14" borderId="21" xfId="7" applyFont="1" applyFill="1" applyBorder="1" applyAlignment="1">
      <alignment horizontal="center" vertical="center"/>
    </xf>
    <xf numFmtId="0" fontId="24" fillId="14" borderId="22" xfId="7" applyFont="1" applyFill="1" applyBorder="1" applyAlignment="1">
      <alignment horizontal="center" vertical="center"/>
    </xf>
    <xf numFmtId="0" fontId="45" fillId="2" borderId="20" xfId="7" applyFont="1" applyFill="1" applyBorder="1" applyAlignment="1" applyProtection="1">
      <alignment horizontal="center" vertical="center" wrapText="1"/>
      <protection locked="0"/>
    </xf>
    <xf numFmtId="0" fontId="45" fillId="2" borderId="25" xfId="7" applyFont="1" applyFill="1" applyBorder="1" applyAlignment="1" applyProtection="1">
      <alignment horizontal="center" vertical="center" wrapText="1"/>
      <protection locked="0"/>
    </xf>
    <xf numFmtId="0" fontId="18" fillId="0" borderId="31" xfId="7" applyFont="1" applyBorder="1" applyAlignment="1">
      <alignment horizontal="center" vertical="center"/>
    </xf>
    <xf numFmtId="0" fontId="18" fillId="0" borderId="26" xfId="7" applyFont="1" applyBorder="1" applyAlignment="1">
      <alignment horizontal="center" vertical="center"/>
    </xf>
    <xf numFmtId="0" fontId="45" fillId="15" borderId="31" xfId="7" applyFont="1" applyFill="1" applyBorder="1" applyAlignment="1" applyProtection="1">
      <alignment horizontal="center" vertical="center" wrapText="1"/>
      <protection locked="0"/>
    </xf>
    <xf numFmtId="0" fontId="45" fillId="15" borderId="26" xfId="7" applyFont="1" applyFill="1" applyBorder="1" applyAlignment="1" applyProtection="1">
      <alignment horizontal="center" vertical="center" wrapText="1"/>
      <protection locked="0"/>
    </xf>
    <xf numFmtId="0" fontId="45" fillId="19" borderId="31" xfId="7" applyFont="1" applyFill="1" applyBorder="1" applyAlignment="1">
      <alignment horizontal="center" vertical="center"/>
    </xf>
    <xf numFmtId="0" fontId="45" fillId="19" borderId="26" xfId="7" applyFont="1" applyFill="1" applyBorder="1" applyAlignment="1">
      <alignment horizontal="center" vertical="center"/>
    </xf>
    <xf numFmtId="0" fontId="36" fillId="0" borderId="31" xfId="7" applyFont="1" applyBorder="1" applyAlignment="1">
      <alignment horizontal="center" vertical="center"/>
    </xf>
    <xf numFmtId="0" fontId="36" fillId="0" borderId="26" xfId="7" applyFont="1" applyBorder="1" applyAlignment="1">
      <alignment horizontal="center" vertical="center"/>
    </xf>
    <xf numFmtId="0" fontId="24" fillId="14" borderId="43" xfId="7" applyFont="1" applyFill="1" applyBorder="1" applyAlignment="1">
      <alignment horizontal="center" vertical="center"/>
    </xf>
    <xf numFmtId="0" fontId="24" fillId="14" borderId="44" xfId="7" applyFont="1" applyFill="1" applyBorder="1" applyAlignment="1">
      <alignment horizontal="center" vertical="center"/>
    </xf>
    <xf numFmtId="0" fontId="24" fillId="14" borderId="45" xfId="7" applyFont="1" applyFill="1" applyBorder="1" applyAlignment="1">
      <alignment horizontal="center" vertical="center"/>
    </xf>
    <xf numFmtId="0" fontId="24" fillId="14" borderId="31" xfId="7" applyFont="1" applyFill="1" applyBorder="1" applyAlignment="1">
      <alignment horizontal="center" vertical="center"/>
    </xf>
    <xf numFmtId="0" fontId="24" fillId="14" borderId="30" xfId="7" applyFont="1" applyFill="1" applyBorder="1" applyAlignment="1">
      <alignment horizontal="center" vertical="center"/>
    </xf>
    <xf numFmtId="0" fontId="24" fillId="14" borderId="38" xfId="7" applyFont="1" applyFill="1" applyBorder="1" applyAlignment="1">
      <alignment horizontal="center" vertical="center"/>
    </xf>
    <xf numFmtId="0" fontId="18" fillId="0" borderId="41" xfId="7" applyFont="1" applyBorder="1" applyAlignment="1">
      <alignment horizontal="center" vertical="center"/>
    </xf>
    <xf numFmtId="0" fontId="18" fillId="0" borderId="42" xfId="7" applyFont="1" applyBorder="1" applyAlignment="1">
      <alignment horizontal="center" vertical="center"/>
    </xf>
    <xf numFmtId="0" fontId="24" fillId="14" borderId="36" xfId="7" applyFont="1" applyFill="1" applyBorder="1" applyAlignment="1">
      <alignment horizontal="center" vertical="center"/>
    </xf>
    <xf numFmtId="0" fontId="24" fillId="14" borderId="0" xfId="7" applyFont="1" applyFill="1" applyAlignment="1">
      <alignment horizontal="center" vertical="center"/>
    </xf>
    <xf numFmtId="0" fontId="24" fillId="14" borderId="37" xfId="7" applyFont="1" applyFill="1" applyBorder="1" applyAlignment="1">
      <alignment horizontal="center" vertical="center"/>
    </xf>
    <xf numFmtId="0" fontId="36" fillId="0" borderId="41" xfId="7" applyFont="1" applyBorder="1" applyAlignment="1">
      <alignment horizontal="center" vertical="center"/>
    </xf>
    <xf numFmtId="0" fontId="36" fillId="0" borderId="42" xfId="7" applyFont="1" applyBorder="1" applyAlignment="1">
      <alignment horizontal="center" vertical="center"/>
    </xf>
    <xf numFmtId="0" fontId="37" fillId="0" borderId="40" xfId="7" applyFont="1" applyBorder="1" applyAlignment="1">
      <alignment horizontal="center" vertical="center" wrapText="1"/>
    </xf>
    <xf numFmtId="0" fontId="37" fillId="0" borderId="42" xfId="7" applyFont="1" applyBorder="1" applyAlignment="1">
      <alignment horizontal="center" vertical="center" wrapText="1"/>
    </xf>
    <xf numFmtId="0" fontId="18" fillId="15" borderId="31" xfId="7" applyFont="1" applyFill="1" applyBorder="1" applyAlignment="1" applyProtection="1">
      <alignment horizontal="center" vertical="center" wrapText="1"/>
      <protection locked="0"/>
    </xf>
    <xf numFmtId="0" fontId="18" fillId="15" borderId="26" xfId="7" applyFont="1" applyFill="1" applyBorder="1" applyAlignment="1" applyProtection="1">
      <alignment horizontal="center" vertical="center" wrapText="1"/>
      <protection locked="0"/>
    </xf>
    <xf numFmtId="0" fontId="18" fillId="15" borderId="50" xfId="7" applyFont="1" applyFill="1" applyBorder="1" applyAlignment="1" applyProtection="1">
      <alignment horizontal="center" vertical="center" wrapText="1"/>
      <protection locked="0"/>
    </xf>
    <xf numFmtId="0" fontId="18" fillId="2" borderId="46" xfId="7" applyFont="1" applyFill="1" applyBorder="1" applyAlignment="1">
      <alignment horizontal="center" vertical="center" wrapText="1"/>
    </xf>
    <xf numFmtId="0" fontId="18" fillId="2" borderId="38" xfId="7" applyFont="1" applyFill="1" applyBorder="1" applyAlignment="1">
      <alignment horizontal="center" vertical="center" wrapText="1"/>
    </xf>
    <xf numFmtId="0" fontId="18" fillId="2" borderId="56" xfId="7" applyFont="1" applyFill="1" applyBorder="1" applyAlignment="1">
      <alignment horizontal="center" vertical="center" wrapText="1"/>
    </xf>
    <xf numFmtId="0" fontId="18" fillId="2" borderId="16" xfId="7" applyFont="1" applyFill="1" applyBorder="1" applyAlignment="1">
      <alignment horizontal="center" vertical="center" wrapText="1"/>
    </xf>
    <xf numFmtId="0" fontId="18" fillId="2" borderId="19" xfId="7" applyFont="1" applyFill="1" applyBorder="1" applyAlignment="1">
      <alignment horizontal="center" vertical="center" wrapText="1"/>
    </xf>
    <xf numFmtId="0" fontId="18" fillId="2" borderId="61" xfId="7" applyFont="1" applyFill="1" applyBorder="1" applyAlignment="1">
      <alignment horizontal="center" vertical="center" wrapText="1"/>
    </xf>
    <xf numFmtId="0" fontId="18" fillId="2" borderId="62" xfId="7" applyFont="1" applyFill="1" applyBorder="1" applyAlignment="1">
      <alignment horizontal="center" vertical="center" wrapText="1"/>
    </xf>
    <xf numFmtId="0" fontId="18" fillId="2" borderId="63" xfId="7" applyFont="1" applyFill="1" applyBorder="1" applyAlignment="1">
      <alignment horizontal="center" vertical="center" wrapText="1"/>
    </xf>
    <xf numFmtId="0" fontId="18" fillId="2" borderId="31" xfId="7" applyFont="1" applyFill="1" applyBorder="1" applyAlignment="1">
      <alignment horizontal="center" vertical="center" wrapText="1"/>
    </xf>
    <xf numFmtId="0" fontId="18" fillId="2" borderId="30" xfId="7" applyFont="1" applyFill="1" applyBorder="1" applyAlignment="1">
      <alignment horizontal="center" vertical="center" wrapText="1"/>
    </xf>
    <xf numFmtId="0" fontId="18" fillId="2" borderId="43" xfId="7" applyFont="1" applyFill="1" applyBorder="1" applyAlignment="1">
      <alignment horizontal="center" vertical="center" wrapText="1"/>
    </xf>
    <xf numFmtId="0" fontId="18" fillId="2" borderId="44" xfId="7" applyFont="1" applyFill="1" applyBorder="1" applyAlignment="1">
      <alignment horizontal="center" vertical="center" wrapText="1"/>
    </xf>
    <xf numFmtId="0" fontId="18" fillId="2" borderId="45" xfId="7" applyFont="1" applyFill="1" applyBorder="1" applyAlignment="1">
      <alignment horizontal="center" vertical="center" wrapText="1"/>
    </xf>
    <xf numFmtId="0" fontId="18" fillId="2" borderId="36" xfId="7" applyFont="1" applyFill="1" applyBorder="1" applyAlignment="1">
      <alignment horizontal="center" vertical="center" wrapText="1"/>
    </xf>
    <xf numFmtId="0" fontId="18" fillId="2" borderId="0" xfId="7" applyFont="1" applyFill="1" applyAlignment="1">
      <alignment horizontal="center" vertical="center" wrapText="1"/>
    </xf>
    <xf numFmtId="0" fontId="18" fillId="2" borderId="37" xfId="7" applyFont="1" applyFill="1" applyBorder="1" applyAlignment="1">
      <alignment horizontal="center" vertical="center" wrapText="1"/>
    </xf>
    <xf numFmtId="166" fontId="17" fillId="17" borderId="51" xfId="8" applyNumberFormat="1" applyFont="1" applyFill="1" applyBorder="1" applyAlignment="1">
      <alignment horizontal="center" vertical="center" wrapText="1"/>
    </xf>
    <xf numFmtId="166" fontId="17" fillId="17" borderId="52" xfId="8" applyNumberFormat="1" applyFont="1" applyFill="1" applyBorder="1" applyAlignment="1">
      <alignment horizontal="center" vertical="center" wrapText="1"/>
    </xf>
    <xf numFmtId="166" fontId="17" fillId="17" borderId="53" xfId="8" applyNumberFormat="1" applyFont="1" applyFill="1" applyBorder="1" applyAlignment="1">
      <alignment horizontal="center" vertical="center" wrapText="1"/>
    </xf>
    <xf numFmtId="0" fontId="18" fillId="2" borderId="32" xfId="7" applyFont="1" applyFill="1" applyBorder="1" applyAlignment="1">
      <alignment horizontal="center" vertical="center" wrapText="1"/>
    </xf>
    <xf numFmtId="0" fontId="18" fillId="2" borderId="35" xfId="7" applyFont="1" applyFill="1" applyBorder="1" applyAlignment="1">
      <alignment horizontal="center" vertical="center" wrapText="1"/>
    </xf>
    <xf numFmtId="0" fontId="18" fillId="2" borderId="20" xfId="7" applyFont="1" applyFill="1" applyBorder="1" applyAlignment="1">
      <alignment horizontal="center" vertical="center" wrapText="1"/>
    </xf>
    <xf numFmtId="0" fontId="18" fillId="2" borderId="82" xfId="7" applyFont="1" applyFill="1" applyBorder="1" applyAlignment="1">
      <alignment horizontal="center" vertical="center" wrapText="1"/>
    </xf>
    <xf numFmtId="0" fontId="18" fillId="2" borderId="74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8" fillId="2" borderId="73" xfId="7" applyFont="1" applyFill="1" applyBorder="1" applyAlignment="1">
      <alignment horizontal="center" vertical="center" wrapText="1"/>
    </xf>
    <xf numFmtId="0" fontId="18" fillId="2" borderId="49" xfId="7" applyFont="1" applyFill="1" applyBorder="1" applyAlignment="1">
      <alignment horizontal="center" vertical="center" wrapText="1"/>
    </xf>
    <xf numFmtId="0" fontId="18" fillId="0" borderId="31" xfId="7" applyFont="1" applyBorder="1" applyAlignment="1">
      <alignment horizontal="center" vertical="center" wrapText="1"/>
    </xf>
    <xf numFmtId="0" fontId="18" fillId="0" borderId="46" xfId="7" applyFont="1" applyBorder="1" applyAlignment="1">
      <alignment horizontal="center" vertical="center" wrapText="1"/>
    </xf>
    <xf numFmtId="0" fontId="18" fillId="2" borderId="67" xfId="7" applyFont="1" applyFill="1" applyBorder="1" applyAlignment="1">
      <alignment horizontal="center" vertical="center" wrapText="1"/>
    </xf>
    <xf numFmtId="0" fontId="18" fillId="2" borderId="41" xfId="7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/>
    </xf>
    <xf numFmtId="0" fontId="18" fillId="3" borderId="6" xfId="9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 readingOrder="1"/>
    </xf>
    <xf numFmtId="49" fontId="36" fillId="0" borderId="0" xfId="10" applyNumberFormat="1" applyFont="1" applyAlignment="1">
      <alignment horizontal="center" vertical="center" wrapText="1"/>
    </xf>
    <xf numFmtId="0" fontId="60" fillId="8" borderId="12" xfId="35" applyFont="1" applyFill="1" applyBorder="1" applyAlignment="1">
      <alignment horizontal="center" vertical="center" wrapText="1"/>
    </xf>
    <xf numFmtId="0" fontId="36" fillId="0" borderId="0" xfId="11" applyFont="1" applyAlignment="1">
      <alignment horizontal="center" vertical="center" wrapText="1"/>
    </xf>
    <xf numFmtId="0" fontId="40" fillId="10" borderId="6" xfId="11" applyFont="1" applyFill="1" applyBorder="1" applyAlignment="1">
      <alignment horizontal="center" vertical="center" wrapText="1"/>
    </xf>
    <xf numFmtId="0" fontId="40" fillId="10" borderId="11" xfId="11" applyFont="1" applyFill="1" applyBorder="1" applyAlignment="1">
      <alignment horizontal="center" vertical="center" wrapText="1"/>
    </xf>
    <xf numFmtId="0" fontId="40" fillId="10" borderId="2" xfId="11" applyFont="1" applyFill="1" applyBorder="1" applyAlignment="1">
      <alignment horizontal="center" vertical="center" wrapText="1"/>
    </xf>
    <xf numFmtId="0" fontId="24" fillId="0" borderId="0" xfId="7" applyFont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/>
    </xf>
    <xf numFmtId="0" fontId="14" fillId="6" borderId="10" xfId="7" applyFont="1" applyFill="1" applyBorder="1" applyAlignment="1">
      <alignment horizontal="center" vertical="center" wrapText="1"/>
    </xf>
    <xf numFmtId="44" fontId="14" fillId="2" borderId="10" xfId="12" applyFont="1" applyFill="1" applyBorder="1" applyAlignment="1">
      <alignment horizontal="center" vertical="center"/>
    </xf>
    <xf numFmtId="44" fontId="17" fillId="7" borderId="10" xfId="12" applyFont="1" applyFill="1" applyBorder="1" applyAlignment="1">
      <alignment horizontal="center"/>
    </xf>
    <xf numFmtId="0" fontId="14" fillId="20" borderId="43" xfId="7" applyFont="1" applyFill="1" applyBorder="1" applyAlignment="1">
      <alignment horizontal="center" vertical="center" wrapText="1"/>
    </xf>
    <xf numFmtId="0" fontId="14" fillId="20" borderId="44" xfId="7" applyFont="1" applyFill="1" applyBorder="1" applyAlignment="1">
      <alignment horizontal="center" vertical="center" wrapText="1"/>
    </xf>
    <xf numFmtId="0" fontId="14" fillId="20" borderId="45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 vertical="center" wrapText="1"/>
    </xf>
    <xf numFmtId="0" fontId="14" fillId="20" borderId="41" xfId="7" applyFont="1" applyFill="1" applyBorder="1" applyAlignment="1">
      <alignment horizontal="center" vertical="center" wrapText="1"/>
    </xf>
    <xf numFmtId="0" fontId="14" fillId="20" borderId="42" xfId="7" applyFont="1" applyFill="1" applyBorder="1" applyAlignment="1">
      <alignment horizontal="center" vertical="center" wrapText="1"/>
    </xf>
    <xf numFmtId="0" fontId="14" fillId="20" borderId="75" xfId="7" applyFont="1" applyFill="1" applyBorder="1" applyAlignment="1">
      <alignment horizontal="center" vertical="center" wrapText="1"/>
    </xf>
    <xf numFmtId="0" fontId="14" fillId="20" borderId="0" xfId="7" applyFont="1" applyFill="1" applyAlignment="1">
      <alignment horizontal="center" vertical="center" wrapText="1"/>
    </xf>
    <xf numFmtId="0" fontId="14" fillId="20" borderId="66" xfId="7" applyFont="1" applyFill="1" applyBorder="1" applyAlignment="1">
      <alignment horizontal="center" vertical="center" wrapText="1"/>
    </xf>
    <xf numFmtId="0" fontId="14" fillId="20" borderId="76" xfId="7" applyFont="1" applyFill="1" applyBorder="1" applyAlignment="1">
      <alignment horizontal="center" vertical="center" wrapText="1"/>
    </xf>
  </cellXfs>
  <cellStyles count="36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8DC3E8AD-D61E-446C-95C4-8D4979AD3980}"/>
    <cellStyle name="Normalny 13" xfId="24" xr:uid="{00000000-0005-0000-0000-000004000000}"/>
    <cellStyle name="Normalny 13 2" xfId="23" xr:uid="{00000000-0005-0000-0000-000005000000}"/>
    <cellStyle name="Normalny 14" xfId="28" xr:uid="{74ECA276-6C7F-4800-A98C-BD72D38368F8}"/>
    <cellStyle name="Normalny 15" xfId="30" xr:uid="{BB64FB9F-EC7B-4B48-BE64-DB2FD48B4D76}"/>
    <cellStyle name="Normalny 16" xfId="35" xr:uid="{DC23EA75-33A4-4012-B110-03A9BA5D7D8E}"/>
    <cellStyle name="Normalny 2" xfId="1" xr:uid="{00000000-0005-0000-0000-000006000000}"/>
    <cellStyle name="Normalny 2 2" xfId="22" xr:uid="{00000000-0005-0000-0000-000007000000}"/>
    <cellStyle name="Normalny 2 2 2" xfId="7" xr:uid="{00000000-0005-0000-0000-000008000000}"/>
    <cellStyle name="Normalny 2 2 3" xfId="25" xr:uid="{00000000-0005-0000-0000-000009000000}"/>
    <cellStyle name="Normalny 2 2 3 2" xfId="27" xr:uid="{16E90ACD-920A-4EB1-8E63-BEEA4D85F776}"/>
    <cellStyle name="Normalny 2 2 3 2 2" xfId="29" xr:uid="{003664C7-D83F-42AB-A248-31B23B80077D}"/>
    <cellStyle name="Normalny 2 2 3 2 2 2" xfId="31" xr:uid="{242C4711-D306-43AC-B984-D2805BEB806F}"/>
    <cellStyle name="Normalny 2 2 3 2 2 2 2" xfId="32" xr:uid="{6308BEF1-B1F4-43F2-BC1C-B6DADD8C07F4}"/>
    <cellStyle name="Normalny 2 2 3 2 2 2 2 2" xfId="33" xr:uid="{823DEF11-FCD0-40B8-ABE5-1340C0F3740A}"/>
    <cellStyle name="Normalny 2 2 3 2 2 2 2 2 2" xfId="34" xr:uid="{F3AF6D81-A009-4076-B466-B17C1ED0D01A}"/>
    <cellStyle name="Normalny 2 3" xfId="9" xr:uid="{00000000-0005-0000-0000-00000A000000}"/>
    <cellStyle name="Normalny 2 4" xfId="16" xr:uid="{00000000-0005-0000-0000-00000B000000}"/>
    <cellStyle name="Normalny 3" xfId="13" xr:uid="{00000000-0005-0000-0000-00000C000000}"/>
    <cellStyle name="Normalny 3 2" xfId="14" xr:uid="{00000000-0005-0000-0000-00000D000000}"/>
    <cellStyle name="Normalny 4" xfId="15" xr:uid="{00000000-0005-0000-0000-00000E000000}"/>
    <cellStyle name="Normalny 5" xfId="17" xr:uid="{00000000-0005-0000-0000-00000F000000}"/>
    <cellStyle name="Normalny 6" xfId="2" xr:uid="{00000000-0005-0000-0000-000010000000}"/>
    <cellStyle name="Normalny 6 2" xfId="11" xr:uid="{00000000-0005-0000-0000-000011000000}"/>
    <cellStyle name="Normalny 6 3" xfId="10" xr:uid="{00000000-0005-0000-0000-000012000000}"/>
    <cellStyle name="Normalny 7" xfId="18" xr:uid="{00000000-0005-0000-0000-000013000000}"/>
    <cellStyle name="Normalny 7 2" xfId="5" xr:uid="{00000000-0005-0000-0000-000014000000}"/>
    <cellStyle name="Normalny 8" xfId="19" xr:uid="{00000000-0005-0000-0000-000015000000}"/>
    <cellStyle name="Normalny 8 2" xfId="4" xr:uid="{00000000-0005-0000-0000-000016000000}"/>
    <cellStyle name="Normalny 9" xfId="6" xr:uid="{00000000-0005-0000-0000-000017000000}"/>
    <cellStyle name="Walutowy 3 2 2" xfId="8" xr:uid="{00000000-0005-0000-0000-000018000000}"/>
    <cellStyle name="Walutowy 3 3" xfId="12" xr:uid="{00000000-0005-0000-0000-00001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9D84-EF7F-48EB-89A6-6C4021AE8287}">
  <sheetPr>
    <tabColor rgb="FF92D050"/>
    <pageSetUpPr fitToPage="1"/>
  </sheetPr>
  <dimension ref="A1:S98"/>
  <sheetViews>
    <sheetView tabSelected="1" topLeftCell="A58" workbookViewId="0">
      <selection activeCell="A61" sqref="A61:E61"/>
    </sheetView>
  </sheetViews>
  <sheetFormatPr defaultColWidth="11.6640625" defaultRowHeight="12.75"/>
  <cols>
    <col min="1" max="1" width="5.6640625" style="90" customWidth="1"/>
    <col min="2" max="2" width="6.6640625" style="90" customWidth="1"/>
    <col min="3" max="3" width="9.33203125" style="90" customWidth="1"/>
    <col min="4" max="4" width="7.33203125" style="90" customWidth="1"/>
    <col min="5" max="5" width="81.1640625" style="91" customWidth="1"/>
    <col min="6" max="6" width="15.6640625" style="90" customWidth="1"/>
    <col min="7" max="7" width="14.33203125" style="91" customWidth="1"/>
    <col min="8" max="8" width="15.33203125" style="91" customWidth="1"/>
    <col min="9" max="9" width="12.5" style="91" customWidth="1"/>
    <col min="10" max="10" width="16.83203125" style="91" customWidth="1"/>
    <col min="11" max="11" width="29" style="92" customWidth="1"/>
    <col min="12" max="12" width="5.6640625" style="93" hidden="1" customWidth="1"/>
    <col min="13" max="13" width="15" style="94" bestFit="1" customWidth="1"/>
    <col min="14" max="14" width="17.1640625" style="94" customWidth="1"/>
    <col min="15" max="15" width="11.6640625" style="94"/>
    <col min="16" max="16384" width="11.6640625" style="91"/>
  </cols>
  <sheetData>
    <row r="1" spans="1:15" ht="12" customHeight="1"/>
    <row r="2" spans="1:15" ht="15.75" customHeight="1">
      <c r="A2" s="443" t="s">
        <v>219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5" ht="15" customHeight="1" thickBot="1">
      <c r="A3" s="95"/>
      <c r="B3" s="95"/>
      <c r="C3" s="95"/>
      <c r="D3" s="95"/>
      <c r="E3" s="96"/>
      <c r="F3" s="95"/>
      <c r="G3" s="96"/>
      <c r="H3" s="96"/>
      <c r="I3" s="96"/>
      <c r="J3" s="96"/>
      <c r="K3" s="39"/>
    </row>
    <row r="4" spans="1:15" ht="19.5" customHeight="1" thickBot="1">
      <c r="A4" s="444" t="s">
        <v>2</v>
      </c>
      <c r="B4" s="446" t="s">
        <v>0</v>
      </c>
      <c r="C4" s="448" t="s">
        <v>220</v>
      </c>
      <c r="D4" s="450" t="s">
        <v>48</v>
      </c>
      <c r="E4" s="448" t="s">
        <v>49</v>
      </c>
      <c r="F4" s="448" t="s">
        <v>221</v>
      </c>
      <c r="G4" s="452" t="s">
        <v>222</v>
      </c>
      <c r="H4" s="453"/>
      <c r="I4" s="453"/>
      <c r="J4" s="453"/>
      <c r="K4" s="454" t="s">
        <v>223</v>
      </c>
      <c r="L4" s="458"/>
    </row>
    <row r="5" spans="1:15" ht="95.25" customHeight="1" thickBot="1">
      <c r="A5" s="445"/>
      <c r="B5" s="447"/>
      <c r="C5" s="449"/>
      <c r="D5" s="451"/>
      <c r="E5" s="449"/>
      <c r="F5" s="449"/>
      <c r="G5" s="97" t="s">
        <v>224</v>
      </c>
      <c r="H5" s="97" t="s">
        <v>225</v>
      </c>
      <c r="I5" s="97" t="s">
        <v>226</v>
      </c>
      <c r="J5" s="97" t="s">
        <v>227</v>
      </c>
      <c r="K5" s="455"/>
      <c r="L5" s="459"/>
    </row>
    <row r="6" spans="1:15" s="103" customFormat="1" ht="15" customHeight="1" thickBot="1">
      <c r="A6" s="98" t="s">
        <v>3</v>
      </c>
      <c r="B6" s="99" t="s">
        <v>4</v>
      </c>
      <c r="C6" s="99" t="s">
        <v>5</v>
      </c>
      <c r="D6" s="99" t="s">
        <v>6</v>
      </c>
      <c r="E6" s="100" t="s">
        <v>7</v>
      </c>
      <c r="F6" s="99" t="s">
        <v>35</v>
      </c>
      <c r="G6" s="99" t="s">
        <v>34</v>
      </c>
      <c r="H6" s="99" t="s">
        <v>228</v>
      </c>
      <c r="I6" s="99" t="s">
        <v>229</v>
      </c>
      <c r="J6" s="99" t="s">
        <v>230</v>
      </c>
      <c r="K6" s="101" t="s">
        <v>231</v>
      </c>
      <c r="L6" s="99" t="s">
        <v>232</v>
      </c>
      <c r="M6" s="102"/>
      <c r="N6" s="102"/>
      <c r="O6" s="102"/>
    </row>
    <row r="7" spans="1:15" s="107" customFormat="1" ht="27.95" customHeight="1" thickBot="1">
      <c r="A7" s="456" t="s">
        <v>233</v>
      </c>
      <c r="B7" s="457"/>
      <c r="C7" s="457"/>
      <c r="D7" s="457"/>
      <c r="E7" s="457"/>
      <c r="F7" s="207">
        <f>SUM(G7:J7)</f>
        <v>2568010</v>
      </c>
      <c r="G7" s="207">
        <f>SUM(G8:G10)</f>
        <v>304006</v>
      </c>
      <c r="H7" s="207">
        <f>SUM(H8:H10)</f>
        <v>1000000</v>
      </c>
      <c r="I7" s="207">
        <f t="shared" ref="I7" si="0">SUM(I8:I10)</f>
        <v>0</v>
      </c>
      <c r="J7" s="207">
        <f>1000000+250000+400000-345996+200000-240000</f>
        <v>1264004</v>
      </c>
      <c r="K7" s="104"/>
      <c r="L7" s="105"/>
      <c r="M7" s="106"/>
      <c r="N7" s="106"/>
      <c r="O7" s="106"/>
    </row>
    <row r="8" spans="1:15" s="107" customFormat="1" ht="36.75" customHeight="1" thickBot="1">
      <c r="A8" s="367" t="s">
        <v>3</v>
      </c>
      <c r="B8" s="373">
        <v>600</v>
      </c>
      <c r="C8" s="373">
        <v>60014</v>
      </c>
      <c r="D8" s="373">
        <v>6050</v>
      </c>
      <c r="E8" s="374" t="s">
        <v>234</v>
      </c>
      <c r="F8" s="375">
        <f>SUM(G8:I8)+250000-240000</f>
        <v>260000</v>
      </c>
      <c r="G8" s="376">
        <v>250000</v>
      </c>
      <c r="H8" s="376"/>
      <c r="I8" s="372"/>
      <c r="J8" s="377" t="s">
        <v>379</v>
      </c>
      <c r="K8" s="378" t="s">
        <v>235</v>
      </c>
      <c r="L8" s="111" t="s">
        <v>236</v>
      </c>
      <c r="M8" s="106"/>
      <c r="N8" s="106"/>
      <c r="O8" s="106"/>
    </row>
    <row r="9" spans="1:15" s="107" customFormat="1" ht="31.5" customHeight="1" thickBot="1">
      <c r="A9" s="259" t="s">
        <v>4</v>
      </c>
      <c r="B9" s="260">
        <v>600</v>
      </c>
      <c r="C9" s="260">
        <v>60014</v>
      </c>
      <c r="D9" s="260">
        <v>6050</v>
      </c>
      <c r="E9" s="262" t="s">
        <v>237</v>
      </c>
      <c r="F9" s="428">
        <f>SUM(G9:I9)+1000000+400000-345996</f>
        <v>2108010</v>
      </c>
      <c r="G9" s="237">
        <f>400000-345994</f>
        <v>54006</v>
      </c>
      <c r="H9" s="237">
        <v>1000000</v>
      </c>
      <c r="I9" s="211"/>
      <c r="J9" s="212" t="s">
        <v>301</v>
      </c>
      <c r="K9" s="127" t="s">
        <v>305</v>
      </c>
      <c r="L9" s="111" t="s">
        <v>236</v>
      </c>
      <c r="M9" s="106"/>
      <c r="N9" s="106"/>
      <c r="O9" s="106"/>
    </row>
    <row r="10" spans="1:15" s="115" customFormat="1" ht="98.25" customHeight="1" thickBot="1">
      <c r="A10" s="367" t="s">
        <v>5</v>
      </c>
      <c r="B10" s="368">
        <v>600</v>
      </c>
      <c r="C10" s="368">
        <v>60014</v>
      </c>
      <c r="D10" s="368">
        <v>6300</v>
      </c>
      <c r="E10" s="371" t="s">
        <v>238</v>
      </c>
      <c r="F10" s="372">
        <f>SUM(G10:I10)</f>
        <v>0</v>
      </c>
      <c r="G10" s="372"/>
      <c r="H10" s="372">
        <v>0</v>
      </c>
      <c r="I10" s="369"/>
      <c r="J10" s="369"/>
      <c r="K10" s="370"/>
      <c r="L10" s="111" t="s">
        <v>236</v>
      </c>
      <c r="M10" s="114"/>
      <c r="N10" s="114"/>
      <c r="O10" s="114"/>
    </row>
    <row r="11" spans="1:15" s="115" customFormat="1" ht="51" customHeight="1" thickBot="1">
      <c r="A11" s="306" t="s">
        <v>6</v>
      </c>
      <c r="B11" s="112">
        <v>600</v>
      </c>
      <c r="C11" s="112">
        <v>60014</v>
      </c>
      <c r="D11" s="112">
        <v>6050</v>
      </c>
      <c r="E11" s="113" t="s">
        <v>348</v>
      </c>
      <c r="F11" s="264">
        <v>200000</v>
      </c>
      <c r="G11" s="208"/>
      <c r="H11" s="208"/>
      <c r="I11" s="305"/>
      <c r="J11" s="209" t="s">
        <v>255</v>
      </c>
      <c r="K11" s="136"/>
      <c r="L11" s="297"/>
      <c r="M11" s="114"/>
      <c r="N11" s="114"/>
      <c r="O11" s="114"/>
    </row>
    <row r="12" spans="1:15" s="120" customFormat="1" ht="27.95" customHeight="1" thickBot="1">
      <c r="A12" s="456" t="s">
        <v>239</v>
      </c>
      <c r="B12" s="457"/>
      <c r="C12" s="457"/>
      <c r="D12" s="457"/>
      <c r="E12" s="457"/>
      <c r="F12" s="207">
        <f>SUM(G12:J12)</f>
        <v>23410706.050000001</v>
      </c>
      <c r="G12" s="207">
        <f>SUM(G13:G22)</f>
        <v>45526</v>
      </c>
      <c r="H12" s="207">
        <f t="shared" ref="H12:I12" si="1">SUM(H13:H22)</f>
        <v>4238897</v>
      </c>
      <c r="I12" s="207">
        <f t="shared" si="1"/>
        <v>0</v>
      </c>
      <c r="J12" s="207">
        <f>3078800+6813523+2705007+6500000+900001+700000+165960+300000+320000-2705007+300000-0.95+48000</f>
        <v>19126283.050000001</v>
      </c>
      <c r="K12" s="116"/>
      <c r="L12" s="117"/>
      <c r="M12" s="118"/>
      <c r="N12" s="119"/>
      <c r="O12" s="119"/>
    </row>
    <row r="13" spans="1:15" s="123" customFormat="1" ht="42" customHeight="1" thickBot="1">
      <c r="A13" s="460" t="s">
        <v>7</v>
      </c>
      <c r="B13" s="112">
        <v>600</v>
      </c>
      <c r="C13" s="112">
        <v>60014</v>
      </c>
      <c r="D13" s="112">
        <v>6050</v>
      </c>
      <c r="E13" s="199" t="s">
        <v>240</v>
      </c>
      <c r="F13" s="264">
        <f>SUM(G13:I13)+700000</f>
        <v>4200000</v>
      </c>
      <c r="G13" s="237"/>
      <c r="H13" s="237">
        <v>3500000</v>
      </c>
      <c r="I13" s="208"/>
      <c r="J13" s="209" t="s">
        <v>241</v>
      </c>
      <c r="K13" s="110"/>
      <c r="L13" s="462" t="s">
        <v>236</v>
      </c>
      <c r="M13" s="121"/>
      <c r="N13" s="122"/>
    </row>
    <row r="14" spans="1:15" s="123" customFormat="1" ht="42" customHeight="1" thickBot="1">
      <c r="A14" s="461"/>
      <c r="B14" s="112">
        <v>600</v>
      </c>
      <c r="C14" s="112">
        <v>60014</v>
      </c>
      <c r="D14" s="112">
        <v>6100</v>
      </c>
      <c r="E14" s="199" t="s">
        <v>240</v>
      </c>
      <c r="F14" s="264">
        <v>900001</v>
      </c>
      <c r="G14" s="237"/>
      <c r="H14" s="237"/>
      <c r="I14" s="208"/>
      <c r="J14" s="209" t="s">
        <v>242</v>
      </c>
      <c r="K14" s="110"/>
      <c r="L14" s="463"/>
      <c r="M14" s="121"/>
      <c r="N14" s="122"/>
    </row>
    <row r="15" spans="1:15" s="115" customFormat="1" ht="42.75" customHeight="1" thickBot="1">
      <c r="A15" s="464" t="s">
        <v>35</v>
      </c>
      <c r="B15" s="368">
        <v>600</v>
      </c>
      <c r="C15" s="368">
        <v>60014</v>
      </c>
      <c r="D15" s="368">
        <v>6050</v>
      </c>
      <c r="E15" s="387" t="s">
        <v>243</v>
      </c>
      <c r="F15" s="372">
        <v>348000</v>
      </c>
      <c r="G15" s="376"/>
      <c r="H15" s="376"/>
      <c r="I15" s="372"/>
      <c r="J15" s="377" t="s">
        <v>380</v>
      </c>
      <c r="K15" s="378"/>
      <c r="L15" s="462" t="s">
        <v>236</v>
      </c>
      <c r="M15" s="118"/>
      <c r="N15" s="118"/>
      <c r="O15" s="114"/>
    </row>
    <row r="16" spans="1:15" s="115" customFormat="1" ht="42.75" customHeight="1" thickBot="1">
      <c r="A16" s="465"/>
      <c r="B16" s="112">
        <v>600</v>
      </c>
      <c r="C16" s="112">
        <v>60014</v>
      </c>
      <c r="D16" s="112">
        <v>6100</v>
      </c>
      <c r="E16" s="199" t="s">
        <v>243</v>
      </c>
      <c r="F16" s="264">
        <f>3078800+165960</f>
        <v>3244760</v>
      </c>
      <c r="G16" s="237"/>
      <c r="H16" s="237"/>
      <c r="I16" s="208"/>
      <c r="J16" s="209" t="s">
        <v>302</v>
      </c>
      <c r="K16" s="110"/>
      <c r="L16" s="463"/>
      <c r="M16" s="118"/>
      <c r="N16" s="118"/>
      <c r="O16" s="114"/>
    </row>
    <row r="17" spans="1:15" s="120" customFormat="1" ht="42.75" customHeight="1" thickBot="1">
      <c r="A17" s="124" t="s">
        <v>34</v>
      </c>
      <c r="B17" s="112">
        <v>600</v>
      </c>
      <c r="C17" s="112">
        <v>60014</v>
      </c>
      <c r="D17" s="112">
        <v>6050</v>
      </c>
      <c r="E17" s="281" t="s">
        <v>244</v>
      </c>
      <c r="F17" s="264">
        <f>SUM(G17:H17)+6813523+6500000+320000-0.95</f>
        <v>14339269.050000001</v>
      </c>
      <c r="G17" s="237"/>
      <c r="H17" s="237">
        <v>705747</v>
      </c>
      <c r="I17" s="208"/>
      <c r="J17" s="209" t="s">
        <v>331</v>
      </c>
      <c r="K17" s="110" t="s">
        <v>245</v>
      </c>
      <c r="L17" s="275" t="s">
        <v>236</v>
      </c>
      <c r="M17" s="119"/>
      <c r="N17" s="119"/>
      <c r="O17" s="119"/>
    </row>
    <row r="18" spans="1:15" s="115" customFormat="1" ht="46.5" customHeight="1" thickBot="1">
      <c r="A18" s="263" t="s">
        <v>228</v>
      </c>
      <c r="B18" s="112">
        <v>600</v>
      </c>
      <c r="C18" s="112">
        <v>60014</v>
      </c>
      <c r="D18" s="112">
        <v>6050</v>
      </c>
      <c r="E18" s="125" t="s">
        <v>246</v>
      </c>
      <c r="F18" s="264">
        <v>0</v>
      </c>
      <c r="G18" s="237"/>
      <c r="H18" s="237">
        <v>0</v>
      </c>
      <c r="I18" s="208"/>
      <c r="J18" s="209" t="s">
        <v>303</v>
      </c>
      <c r="K18" s="110"/>
      <c r="L18" s="196" t="s">
        <v>236</v>
      </c>
      <c r="M18" s="114"/>
      <c r="N18" s="114"/>
      <c r="O18" s="114"/>
    </row>
    <row r="19" spans="1:15" s="115" customFormat="1" ht="46.5" customHeight="1" thickBot="1">
      <c r="A19" s="124" t="s">
        <v>229</v>
      </c>
      <c r="B19" s="112">
        <v>600</v>
      </c>
      <c r="C19" s="112">
        <v>60014</v>
      </c>
      <c r="D19" s="112">
        <v>6050</v>
      </c>
      <c r="E19" s="125" t="s">
        <v>247</v>
      </c>
      <c r="F19" s="264">
        <f>SUM(G19:I19)</f>
        <v>44526</v>
      </c>
      <c r="G19" s="237">
        <f>220000-175474</f>
        <v>44526</v>
      </c>
      <c r="H19" s="261"/>
      <c r="I19" s="264"/>
      <c r="J19" s="265"/>
      <c r="K19" s="184"/>
      <c r="L19" s="298" t="s">
        <v>236</v>
      </c>
      <c r="M19" s="114"/>
      <c r="N19" s="114"/>
      <c r="O19" s="114"/>
    </row>
    <row r="20" spans="1:15" s="123" customFormat="1" ht="46.5" customHeight="1" thickBot="1">
      <c r="A20" s="124" t="s">
        <v>230</v>
      </c>
      <c r="B20" s="112">
        <v>600</v>
      </c>
      <c r="C20" s="112">
        <v>60014</v>
      </c>
      <c r="D20" s="112">
        <v>6100</v>
      </c>
      <c r="E20" s="125" t="s">
        <v>310</v>
      </c>
      <c r="F20" s="264">
        <v>300000</v>
      </c>
      <c r="G20" s="237"/>
      <c r="H20" s="237"/>
      <c r="I20" s="208"/>
      <c r="J20" s="209" t="s">
        <v>328</v>
      </c>
      <c r="K20" s="184"/>
      <c r="L20" s="200"/>
      <c r="M20" s="131"/>
      <c r="N20" s="131"/>
      <c r="O20" s="131"/>
    </row>
    <row r="21" spans="1:15" s="115" customFormat="1" ht="36" customHeight="1" thickBot="1">
      <c r="A21" s="124" t="s">
        <v>231</v>
      </c>
      <c r="B21" s="112">
        <v>600</v>
      </c>
      <c r="C21" s="112">
        <v>60014</v>
      </c>
      <c r="D21" s="112">
        <v>6050</v>
      </c>
      <c r="E21" s="125" t="s">
        <v>327</v>
      </c>
      <c r="F21" s="264">
        <f>SUM(G21:I21)</f>
        <v>33150</v>
      </c>
      <c r="G21" s="237"/>
      <c r="H21" s="237">
        <v>33150</v>
      </c>
      <c r="I21" s="208"/>
      <c r="J21" s="209"/>
      <c r="K21" s="184"/>
      <c r="L21" s="201"/>
      <c r="M21" s="114"/>
      <c r="N21" s="114"/>
      <c r="O21" s="114"/>
    </row>
    <row r="22" spans="1:15" s="115" customFormat="1" ht="36" customHeight="1" thickBot="1">
      <c r="A22" s="124" t="s">
        <v>232</v>
      </c>
      <c r="B22" s="112">
        <v>600</v>
      </c>
      <c r="C22" s="112">
        <v>60014</v>
      </c>
      <c r="D22" s="112">
        <v>6050</v>
      </c>
      <c r="E22" s="358" t="s">
        <v>365</v>
      </c>
      <c r="F22" s="264">
        <f>SUM(G22:I22)</f>
        <v>1000</v>
      </c>
      <c r="G22" s="237">
        <v>1000</v>
      </c>
      <c r="H22" s="261"/>
      <c r="I22" s="264"/>
      <c r="J22" s="265"/>
      <c r="K22" s="184"/>
      <c r="L22" s="298" t="s">
        <v>236</v>
      </c>
      <c r="M22" s="114"/>
      <c r="N22" s="114"/>
      <c r="O22" s="114"/>
    </row>
    <row r="23" spans="1:15" s="120" customFormat="1" ht="27.95" customHeight="1" thickBot="1">
      <c r="A23" s="456" t="s">
        <v>248</v>
      </c>
      <c r="B23" s="457"/>
      <c r="C23" s="457"/>
      <c r="D23" s="457"/>
      <c r="E23" s="457"/>
      <c r="F23" s="207">
        <f>SUM(G23:J23)</f>
        <v>3421871</v>
      </c>
      <c r="G23" s="207">
        <f>SUM(G24:G28)</f>
        <v>176748</v>
      </c>
      <c r="H23" s="207">
        <f t="shared" ref="H23:I23" si="2">SUM(H24:H28)</f>
        <v>1774353</v>
      </c>
      <c r="I23" s="207">
        <f t="shared" si="2"/>
        <v>0</v>
      </c>
      <c r="J23" s="210">
        <f>1127000+1000.87+152327.56+190442-0.43</f>
        <v>1470770.0000000002</v>
      </c>
      <c r="K23" s="104"/>
      <c r="L23" s="126"/>
      <c r="M23" s="119"/>
      <c r="N23" s="119"/>
      <c r="O23" s="119"/>
    </row>
    <row r="24" spans="1:15" s="129" customFormat="1" ht="35.1" customHeight="1" thickBot="1">
      <c r="A24" s="466" t="s">
        <v>257</v>
      </c>
      <c r="B24" s="307">
        <v>600</v>
      </c>
      <c r="C24" s="307">
        <v>60014</v>
      </c>
      <c r="D24" s="307">
        <v>6050</v>
      </c>
      <c r="E24" s="308" t="s">
        <v>249</v>
      </c>
      <c r="F24" s="429">
        <f>SUM(G24:I24)</f>
        <v>1464500</v>
      </c>
      <c r="G24" s="237">
        <v>41500</v>
      </c>
      <c r="H24" s="237">
        <v>1423000</v>
      </c>
      <c r="I24" s="211"/>
      <c r="J24" s="212"/>
      <c r="K24" s="309"/>
      <c r="L24" s="275" t="s">
        <v>236</v>
      </c>
      <c r="M24" s="128"/>
      <c r="N24" s="128"/>
      <c r="O24" s="128"/>
    </row>
    <row r="25" spans="1:15" s="129" customFormat="1" ht="35.1" customHeight="1" thickBot="1">
      <c r="A25" s="467"/>
      <c r="B25" s="307">
        <v>600</v>
      </c>
      <c r="C25" s="307">
        <v>60014</v>
      </c>
      <c r="D25" s="307">
        <v>6370</v>
      </c>
      <c r="E25" s="308" t="s">
        <v>249</v>
      </c>
      <c r="F25" s="429">
        <f>1127000</f>
        <v>1127000</v>
      </c>
      <c r="G25" s="237"/>
      <c r="H25" s="237"/>
      <c r="I25" s="211"/>
      <c r="J25" s="212" t="s">
        <v>250</v>
      </c>
      <c r="K25" s="309"/>
      <c r="L25" s="275" t="s">
        <v>236</v>
      </c>
      <c r="M25" s="128"/>
      <c r="N25" s="128"/>
      <c r="O25" s="128"/>
    </row>
    <row r="26" spans="1:15" s="123" customFormat="1" ht="35.1" customHeight="1" thickBot="1">
      <c r="A26" s="124" t="s">
        <v>260</v>
      </c>
      <c r="B26" s="130">
        <v>600</v>
      </c>
      <c r="C26" s="130">
        <v>60014</v>
      </c>
      <c r="D26" s="130">
        <v>6050</v>
      </c>
      <c r="E26" s="310" t="s">
        <v>251</v>
      </c>
      <c r="F26" s="264">
        <f>SUM(G26:I26)</f>
        <v>400000</v>
      </c>
      <c r="G26" s="237">
        <f>242900-194253</f>
        <v>48647</v>
      </c>
      <c r="H26" s="237">
        <f>157100+194253</f>
        <v>351353</v>
      </c>
      <c r="I26" s="208"/>
      <c r="J26" s="209"/>
      <c r="K26" s="184"/>
      <c r="L26" s="196" t="s">
        <v>236</v>
      </c>
      <c r="M26" s="131"/>
      <c r="N26" s="131"/>
      <c r="O26" s="131"/>
    </row>
    <row r="27" spans="1:15" s="123" customFormat="1" ht="77.25" customHeight="1" thickBot="1">
      <c r="A27" s="460" t="s">
        <v>263</v>
      </c>
      <c r="B27" s="130">
        <v>600</v>
      </c>
      <c r="C27" s="130">
        <v>60014</v>
      </c>
      <c r="D27" s="130">
        <v>6100</v>
      </c>
      <c r="E27" s="310" t="s">
        <v>304</v>
      </c>
      <c r="F27" s="264">
        <f>151619.67+707.46+1000.87</f>
        <v>153328</v>
      </c>
      <c r="G27" s="237"/>
      <c r="H27" s="237"/>
      <c r="I27" s="208"/>
      <c r="J27" s="209" t="s">
        <v>361</v>
      </c>
      <c r="K27" s="184"/>
      <c r="L27" s="462" t="s">
        <v>236</v>
      </c>
      <c r="M27" s="131"/>
      <c r="N27" s="195"/>
      <c r="O27" s="131"/>
    </row>
    <row r="28" spans="1:15" s="123" customFormat="1" ht="35.25" customHeight="1" thickBot="1">
      <c r="A28" s="461"/>
      <c r="B28" s="130">
        <v>600</v>
      </c>
      <c r="C28" s="130">
        <v>60014</v>
      </c>
      <c r="D28" s="130">
        <v>6050</v>
      </c>
      <c r="E28" s="310" t="s">
        <v>304</v>
      </c>
      <c r="F28" s="264">
        <f>G28+190442</f>
        <v>277043</v>
      </c>
      <c r="G28" s="237">
        <f>37114+49487</f>
        <v>86601</v>
      </c>
      <c r="H28" s="237"/>
      <c r="I28" s="208"/>
      <c r="J28" s="209" t="s">
        <v>306</v>
      </c>
      <c r="K28" s="110" t="s">
        <v>305</v>
      </c>
      <c r="L28" s="463"/>
      <c r="M28" s="131"/>
      <c r="N28" s="131"/>
      <c r="O28" s="131"/>
    </row>
    <row r="29" spans="1:15" s="115" customFormat="1" ht="27.95" customHeight="1" thickBot="1">
      <c r="A29" s="456" t="s">
        <v>252</v>
      </c>
      <c r="B29" s="457"/>
      <c r="C29" s="457"/>
      <c r="D29" s="457"/>
      <c r="E29" s="457"/>
      <c r="F29" s="207">
        <f>SUM(G29:J29)</f>
        <v>551850</v>
      </c>
      <c r="G29" s="207">
        <f>SUM(G30:G31)</f>
        <v>196296</v>
      </c>
      <c r="H29" s="207">
        <f t="shared" ref="H29:I29" si="3">SUM(H30:H31)</f>
        <v>0</v>
      </c>
      <c r="I29" s="207">
        <f t="shared" si="3"/>
        <v>0</v>
      </c>
      <c r="J29" s="210">
        <f>200000+155554</f>
        <v>355554</v>
      </c>
      <c r="K29" s="132"/>
      <c r="L29" s="133"/>
      <c r="M29" s="114"/>
      <c r="N29" s="114"/>
      <c r="O29" s="114"/>
    </row>
    <row r="30" spans="1:15" s="107" customFormat="1" ht="42.75" customHeight="1" thickBot="1">
      <c r="A30" s="124" t="s">
        <v>266</v>
      </c>
      <c r="B30" s="130">
        <v>600</v>
      </c>
      <c r="C30" s="130">
        <v>60014</v>
      </c>
      <c r="D30" s="130">
        <v>6050</v>
      </c>
      <c r="E30" s="134" t="s">
        <v>253</v>
      </c>
      <c r="F30" s="264">
        <f>G30</f>
        <v>116850</v>
      </c>
      <c r="G30" s="237">
        <f>150000-33150</f>
        <v>116850</v>
      </c>
      <c r="H30" s="261"/>
      <c r="I30" s="264"/>
      <c r="J30" s="265"/>
      <c r="K30" s="184"/>
      <c r="L30" s="290"/>
      <c r="M30" s="106"/>
      <c r="N30" s="106"/>
      <c r="O30" s="106"/>
    </row>
    <row r="31" spans="1:15" s="107" customFormat="1" ht="42.75" customHeight="1" thickBot="1">
      <c r="A31" s="124" t="s">
        <v>268</v>
      </c>
      <c r="B31" s="130">
        <v>600</v>
      </c>
      <c r="C31" s="130">
        <v>60014</v>
      </c>
      <c r="D31" s="130">
        <v>6050</v>
      </c>
      <c r="E31" s="134" t="s">
        <v>254</v>
      </c>
      <c r="F31" s="264">
        <f>G31+200000+155554</f>
        <v>435000</v>
      </c>
      <c r="G31" s="237">
        <f>200000-155554+35000</f>
        <v>79446</v>
      </c>
      <c r="H31" s="237"/>
      <c r="I31" s="208"/>
      <c r="J31" s="209" t="s">
        <v>332</v>
      </c>
      <c r="K31" s="110"/>
      <c r="L31" s="295"/>
      <c r="M31" s="106"/>
      <c r="N31" s="106"/>
      <c r="O31" s="106"/>
    </row>
    <row r="32" spans="1:15" s="115" customFormat="1" ht="27.95" customHeight="1" thickBot="1">
      <c r="A32" s="456" t="s">
        <v>256</v>
      </c>
      <c r="B32" s="457"/>
      <c r="C32" s="457"/>
      <c r="D32" s="457"/>
      <c r="E32" s="457"/>
      <c r="F32" s="207">
        <f>SUM(G32:J32)</f>
        <v>3323769</v>
      </c>
      <c r="G32" s="207">
        <f>SUM(G33:G36)</f>
        <v>185000</v>
      </c>
      <c r="H32" s="207">
        <f t="shared" ref="H32:I32" si="4">SUM(H33:H36)</f>
        <v>1178769</v>
      </c>
      <c r="I32" s="207">
        <f t="shared" si="4"/>
        <v>0</v>
      </c>
      <c r="J32" s="210">
        <f>1960000+2057537-2057537</f>
        <v>1960000</v>
      </c>
      <c r="K32" s="116"/>
      <c r="L32" s="133"/>
      <c r="M32" s="114"/>
      <c r="N32" s="114"/>
      <c r="O32" s="114"/>
    </row>
    <row r="33" spans="1:19" s="115" customFormat="1" ht="39.75" customHeight="1" thickBot="1">
      <c r="A33" s="460" t="s">
        <v>270</v>
      </c>
      <c r="B33" s="112">
        <v>600</v>
      </c>
      <c r="C33" s="112">
        <v>60014</v>
      </c>
      <c r="D33" s="112">
        <v>6050</v>
      </c>
      <c r="E33" s="135" t="s">
        <v>258</v>
      </c>
      <c r="F33" s="264">
        <f>SUM(G33:I33)</f>
        <v>185000</v>
      </c>
      <c r="G33" s="237">
        <v>185000</v>
      </c>
      <c r="H33" s="237"/>
      <c r="I33" s="208"/>
      <c r="J33" s="209"/>
      <c r="K33" s="110"/>
      <c r="L33" s="111" t="s">
        <v>236</v>
      </c>
      <c r="M33" s="114"/>
      <c r="N33" s="114"/>
      <c r="O33" s="114"/>
    </row>
    <row r="34" spans="1:19" s="115" customFormat="1" ht="36.75" customHeight="1" thickBot="1">
      <c r="A34" s="461"/>
      <c r="B34" s="112">
        <v>600</v>
      </c>
      <c r="C34" s="112">
        <v>60014</v>
      </c>
      <c r="D34" s="112">
        <v>6370</v>
      </c>
      <c r="E34" s="359" t="s">
        <v>258</v>
      </c>
      <c r="F34" s="264">
        <f>1960000</f>
        <v>1960000</v>
      </c>
      <c r="G34" s="237">
        <v>0</v>
      </c>
      <c r="H34" s="237"/>
      <c r="I34" s="208"/>
      <c r="J34" s="209" t="s">
        <v>259</v>
      </c>
      <c r="K34" s="136"/>
      <c r="L34" s="111" t="s">
        <v>236</v>
      </c>
      <c r="M34" s="114"/>
      <c r="N34" s="114"/>
      <c r="O34" s="114"/>
    </row>
    <row r="35" spans="1:19" s="123" customFormat="1" ht="35.25" customHeight="1" thickBot="1">
      <c r="A35" s="379" t="s">
        <v>272</v>
      </c>
      <c r="B35" s="368">
        <v>600</v>
      </c>
      <c r="C35" s="368">
        <v>60014</v>
      </c>
      <c r="D35" s="380">
        <v>6050</v>
      </c>
      <c r="E35" s="383" t="s">
        <v>261</v>
      </c>
      <c r="F35" s="384">
        <f>SUM(G35:I35)</f>
        <v>1028769</v>
      </c>
      <c r="G35" s="385"/>
      <c r="H35" s="385">
        <v>1028769</v>
      </c>
      <c r="I35" s="381"/>
      <c r="J35" s="386" t="s">
        <v>303</v>
      </c>
      <c r="K35" s="382"/>
      <c r="L35" s="196" t="s">
        <v>236</v>
      </c>
      <c r="M35" s="131"/>
      <c r="N35" s="138"/>
      <c r="O35" s="139"/>
      <c r="P35" s="139"/>
      <c r="Q35" s="140"/>
      <c r="R35" s="141"/>
      <c r="S35" s="142"/>
    </row>
    <row r="36" spans="1:19" s="123" customFormat="1" ht="39" customHeight="1" thickBot="1">
      <c r="A36" s="137" t="s">
        <v>275</v>
      </c>
      <c r="B36" s="112">
        <v>600</v>
      </c>
      <c r="C36" s="266">
        <v>60014</v>
      </c>
      <c r="D36" s="149">
        <v>6050</v>
      </c>
      <c r="E36" s="361" t="s">
        <v>329</v>
      </c>
      <c r="F36" s="282">
        <f>SUM(G36:I36)</f>
        <v>150000</v>
      </c>
      <c r="G36" s="268">
        <v>0</v>
      </c>
      <c r="H36" s="238">
        <v>150000</v>
      </c>
      <c r="I36" s="228"/>
      <c r="J36" s="213"/>
      <c r="K36" s="267"/>
      <c r="L36" s="203"/>
      <c r="M36" s="131"/>
      <c r="N36" s="233"/>
      <c r="O36" s="234"/>
      <c r="P36" s="234"/>
      <c r="Q36" s="140"/>
      <c r="R36" s="235"/>
      <c r="S36" s="142"/>
    </row>
    <row r="37" spans="1:19" s="123" customFormat="1" ht="27.95" customHeight="1" thickBot="1">
      <c r="A37" s="471" t="s">
        <v>262</v>
      </c>
      <c r="B37" s="472"/>
      <c r="C37" s="472"/>
      <c r="D37" s="473"/>
      <c r="E37" s="472"/>
      <c r="F37" s="214">
        <f>SUM(G37:J37)</f>
        <v>10000</v>
      </c>
      <c r="G37" s="215">
        <f>SUM(G38)</f>
        <v>10000</v>
      </c>
      <c r="H37" s="215"/>
      <c r="I37" s="216"/>
      <c r="J37" s="217"/>
      <c r="K37" s="143"/>
      <c r="L37" s="204"/>
      <c r="M37" s="131"/>
      <c r="N37" s="131"/>
      <c r="O37" s="131"/>
    </row>
    <row r="38" spans="1:19" s="123" customFormat="1" ht="42" customHeight="1" thickBot="1">
      <c r="A38" s="108" t="s">
        <v>278</v>
      </c>
      <c r="B38" s="149">
        <v>600</v>
      </c>
      <c r="C38" s="149">
        <v>60014</v>
      </c>
      <c r="D38" s="149">
        <v>6050</v>
      </c>
      <c r="E38" s="362" t="s">
        <v>264</v>
      </c>
      <c r="F38" s="282">
        <f>SUM(G38:I38)</f>
        <v>10000</v>
      </c>
      <c r="G38" s="239">
        <f>200000-190000</f>
        <v>10000</v>
      </c>
      <c r="H38" s="239"/>
      <c r="I38" s="218"/>
      <c r="J38" s="219"/>
      <c r="K38" s="153" t="s">
        <v>235</v>
      </c>
      <c r="L38" s="196" t="s">
        <v>236</v>
      </c>
      <c r="M38" s="131"/>
      <c r="N38" s="131"/>
      <c r="O38" s="131"/>
    </row>
    <row r="39" spans="1:19" s="123" customFormat="1" ht="33" customHeight="1" thickBot="1">
      <c r="A39" s="468" t="s">
        <v>307</v>
      </c>
      <c r="B39" s="469"/>
      <c r="C39" s="469"/>
      <c r="D39" s="469"/>
      <c r="E39" s="470"/>
      <c r="F39" s="430">
        <f>SUM(G39:J39)</f>
        <v>666632</v>
      </c>
      <c r="G39" s="220">
        <f>SUM(G40:G42)</f>
        <v>166632</v>
      </c>
      <c r="H39" s="220">
        <f t="shared" ref="H39:I39" si="5">SUM(H40:H42)</f>
        <v>0</v>
      </c>
      <c r="I39" s="220">
        <f t="shared" si="5"/>
        <v>0</v>
      </c>
      <c r="J39" s="198">
        <f>200000+300000</f>
        <v>500000</v>
      </c>
      <c r="K39" s="197"/>
      <c r="L39" s="205"/>
      <c r="M39" s="131"/>
      <c r="N39" s="131"/>
      <c r="O39" s="131"/>
    </row>
    <row r="40" spans="1:19" s="120" customFormat="1" ht="37.5" customHeight="1" thickBot="1">
      <c r="A40" s="108" t="s">
        <v>281</v>
      </c>
      <c r="B40" s="149">
        <v>600</v>
      </c>
      <c r="C40" s="149">
        <v>60014</v>
      </c>
      <c r="D40" s="149">
        <v>6050</v>
      </c>
      <c r="E40" s="362" t="s">
        <v>308</v>
      </c>
      <c r="F40" s="282">
        <f>SUM(G40:I40)</f>
        <v>166632</v>
      </c>
      <c r="G40" s="239">
        <f>100000+49487+17145</f>
        <v>166632</v>
      </c>
      <c r="H40" s="338"/>
      <c r="I40" s="282"/>
      <c r="J40" s="339"/>
      <c r="K40" s="315"/>
      <c r="L40" s="296"/>
      <c r="M40" s="119"/>
      <c r="N40" s="119"/>
      <c r="O40" s="119"/>
    </row>
    <row r="41" spans="1:19" s="123" customFormat="1" ht="42" customHeight="1" thickBot="1">
      <c r="A41" s="474" t="s">
        <v>283</v>
      </c>
      <c r="B41" s="149">
        <v>600</v>
      </c>
      <c r="C41" s="149">
        <v>60014</v>
      </c>
      <c r="D41" s="149">
        <v>6050</v>
      </c>
      <c r="E41" s="362" t="s">
        <v>309</v>
      </c>
      <c r="F41" s="282">
        <v>200000</v>
      </c>
      <c r="G41" s="239"/>
      <c r="H41" s="239"/>
      <c r="I41" s="218"/>
      <c r="J41" s="219" t="s">
        <v>255</v>
      </c>
      <c r="K41" s="153" t="s">
        <v>325</v>
      </c>
      <c r="L41" s="205"/>
      <c r="M41" s="131"/>
      <c r="N41" s="131"/>
      <c r="O41" s="131"/>
    </row>
    <row r="42" spans="1:19" s="123" customFormat="1" ht="42" customHeight="1" thickBot="1">
      <c r="A42" s="475"/>
      <c r="B42" s="149">
        <v>600</v>
      </c>
      <c r="C42" s="149">
        <v>60014</v>
      </c>
      <c r="D42" s="149">
        <v>6100</v>
      </c>
      <c r="E42" s="362" t="s">
        <v>309</v>
      </c>
      <c r="F42" s="282">
        <v>300000</v>
      </c>
      <c r="G42" s="239"/>
      <c r="H42" s="239"/>
      <c r="I42" s="218"/>
      <c r="J42" s="219" t="s">
        <v>328</v>
      </c>
      <c r="K42" s="153"/>
      <c r="L42" s="206"/>
      <c r="M42" s="131"/>
      <c r="N42" s="131"/>
      <c r="O42" s="131"/>
    </row>
    <row r="43" spans="1:19" s="146" customFormat="1" ht="27.95" customHeight="1" thickBot="1">
      <c r="A43" s="476" t="s">
        <v>265</v>
      </c>
      <c r="B43" s="477"/>
      <c r="C43" s="477"/>
      <c r="D43" s="477"/>
      <c r="E43" s="478"/>
      <c r="F43" s="221">
        <f>SUM(G43:J43)</f>
        <v>1399753</v>
      </c>
      <c r="G43" s="221">
        <f>SUM(G44:G50)</f>
        <v>387500</v>
      </c>
      <c r="H43" s="221">
        <f t="shared" ref="H43:I43" si="6">SUM(H44:H50)</f>
        <v>1012253</v>
      </c>
      <c r="I43" s="221">
        <f t="shared" si="6"/>
        <v>0</v>
      </c>
      <c r="J43" s="222">
        <f>1781250+6103750+1900000-1900000-1781250-6103750</f>
        <v>0</v>
      </c>
      <c r="K43" s="144"/>
      <c r="L43" s="202"/>
      <c r="M43" s="145"/>
      <c r="N43" s="145"/>
      <c r="O43" s="145"/>
    </row>
    <row r="44" spans="1:19" s="146" customFormat="1" ht="55.5" customHeight="1" thickBot="1">
      <c r="A44" s="311" t="s">
        <v>286</v>
      </c>
      <c r="B44" s="147">
        <v>600</v>
      </c>
      <c r="C44" s="147">
        <v>60014</v>
      </c>
      <c r="D44" s="147">
        <v>6050</v>
      </c>
      <c r="E44" s="360" t="s">
        <v>267</v>
      </c>
      <c r="F44" s="431"/>
      <c r="G44" s="218"/>
      <c r="H44" s="218"/>
      <c r="I44" s="223"/>
      <c r="J44" s="224"/>
      <c r="K44" s="148" t="s">
        <v>235</v>
      </c>
      <c r="L44" s="111" t="s">
        <v>236</v>
      </c>
      <c r="M44" s="145"/>
      <c r="N44" s="145"/>
      <c r="O44" s="145"/>
    </row>
    <row r="45" spans="1:19" s="107" customFormat="1" ht="39.950000000000003" customHeight="1" thickBot="1">
      <c r="A45" s="479" t="s">
        <v>290</v>
      </c>
      <c r="B45" s="312">
        <v>600</v>
      </c>
      <c r="C45" s="312">
        <v>60014</v>
      </c>
      <c r="D45" s="312">
        <v>6050</v>
      </c>
      <c r="E45" s="360" t="s">
        <v>269</v>
      </c>
      <c r="F45" s="432">
        <f>SUM(G45:I45)</f>
        <v>200000</v>
      </c>
      <c r="G45" s="218">
        <v>200000</v>
      </c>
      <c r="H45" s="218"/>
      <c r="I45" s="223"/>
      <c r="J45" s="224"/>
      <c r="K45" s="481" t="s">
        <v>235</v>
      </c>
      <c r="L45" s="483"/>
      <c r="M45" s="106"/>
      <c r="N45" s="106"/>
      <c r="O45" s="106"/>
    </row>
    <row r="46" spans="1:19" s="107" customFormat="1" ht="39.950000000000003" customHeight="1" thickBot="1">
      <c r="A46" s="480"/>
      <c r="B46" s="312">
        <v>600</v>
      </c>
      <c r="C46" s="312">
        <v>60014</v>
      </c>
      <c r="D46" s="312">
        <v>6370</v>
      </c>
      <c r="E46" s="360" t="s">
        <v>269</v>
      </c>
      <c r="F46" s="431">
        <v>0</v>
      </c>
      <c r="G46" s="218"/>
      <c r="H46" s="218"/>
      <c r="I46" s="223"/>
      <c r="J46" s="224" t="s">
        <v>349</v>
      </c>
      <c r="K46" s="482"/>
      <c r="L46" s="484"/>
      <c r="M46" s="106"/>
      <c r="N46" s="106"/>
      <c r="O46" s="106"/>
    </row>
    <row r="47" spans="1:19" s="168" customFormat="1" ht="46.5" customHeight="1" thickBot="1">
      <c r="A47" s="474" t="s">
        <v>299</v>
      </c>
      <c r="B47" s="149">
        <v>600</v>
      </c>
      <c r="C47" s="149">
        <v>60014</v>
      </c>
      <c r="D47" s="149">
        <v>6050</v>
      </c>
      <c r="E47" s="150" t="s">
        <v>271</v>
      </c>
      <c r="F47" s="282">
        <f>SUM(G47:I47)</f>
        <v>187500</v>
      </c>
      <c r="G47" s="218">
        <v>187500</v>
      </c>
      <c r="H47" s="218"/>
      <c r="I47" s="218"/>
      <c r="J47" s="219"/>
      <c r="K47" s="313"/>
      <c r="L47" s="275" t="s">
        <v>236</v>
      </c>
      <c r="M47" s="118"/>
      <c r="N47" s="118"/>
      <c r="O47" s="118"/>
    </row>
    <row r="48" spans="1:19" s="168" customFormat="1" ht="44.25" customHeight="1" thickBot="1">
      <c r="A48" s="475"/>
      <c r="B48" s="149">
        <v>600</v>
      </c>
      <c r="C48" s="149">
        <v>60014</v>
      </c>
      <c r="D48" s="149">
        <v>6370</v>
      </c>
      <c r="E48" s="150" t="s">
        <v>271</v>
      </c>
      <c r="F48" s="282">
        <v>0</v>
      </c>
      <c r="G48" s="218"/>
      <c r="H48" s="218"/>
      <c r="I48" s="218"/>
      <c r="J48" s="219" t="s">
        <v>349</v>
      </c>
      <c r="K48" s="313"/>
      <c r="L48" s="275" t="s">
        <v>236</v>
      </c>
      <c r="M48" s="118"/>
      <c r="N48" s="118"/>
      <c r="O48" s="118"/>
    </row>
    <row r="49" spans="1:15" s="168" customFormat="1" ht="39.950000000000003" customHeight="1" thickBot="1">
      <c r="A49" s="474" t="s">
        <v>312</v>
      </c>
      <c r="B49" s="149">
        <v>600</v>
      </c>
      <c r="C49" s="149">
        <v>60014</v>
      </c>
      <c r="D49" s="149">
        <v>6050</v>
      </c>
      <c r="E49" s="150" t="s">
        <v>273</v>
      </c>
      <c r="F49" s="282">
        <f>SUM(G49:I49)</f>
        <v>1012253</v>
      </c>
      <c r="G49" s="218"/>
      <c r="H49" s="218">
        <f>369753+642500</f>
        <v>1012253</v>
      </c>
      <c r="I49" s="218"/>
      <c r="J49" s="219"/>
      <c r="K49" s="313"/>
      <c r="L49" s="483" t="s">
        <v>236</v>
      </c>
      <c r="M49" s="294"/>
      <c r="N49" s="294"/>
      <c r="O49" s="118"/>
    </row>
    <row r="50" spans="1:15" s="168" customFormat="1" ht="39.950000000000003" customHeight="1" thickBot="1">
      <c r="A50" s="475"/>
      <c r="B50" s="149">
        <v>600</v>
      </c>
      <c r="C50" s="149">
        <v>60014</v>
      </c>
      <c r="D50" s="149">
        <v>6370</v>
      </c>
      <c r="E50" s="150" t="s">
        <v>273</v>
      </c>
      <c r="F50" s="282">
        <v>0</v>
      </c>
      <c r="G50" s="218"/>
      <c r="H50" s="218"/>
      <c r="I50" s="218"/>
      <c r="J50" s="219" t="s">
        <v>350</v>
      </c>
      <c r="K50" s="313"/>
      <c r="L50" s="485"/>
      <c r="M50" s="118"/>
      <c r="N50" s="118"/>
      <c r="O50" s="118"/>
    </row>
    <row r="51" spans="1:15" s="151" customFormat="1" ht="26.25" customHeight="1" thickBot="1">
      <c r="A51" s="468" t="s">
        <v>274</v>
      </c>
      <c r="B51" s="469"/>
      <c r="C51" s="469"/>
      <c r="D51" s="469"/>
      <c r="E51" s="470"/>
      <c r="F51" s="225">
        <f>SUM(G51:I51)</f>
        <v>495000</v>
      </c>
      <c r="G51" s="225">
        <f>G52</f>
        <v>495000</v>
      </c>
      <c r="H51" s="225">
        <f t="shared" ref="H51:I51" si="7">H52</f>
        <v>0</v>
      </c>
      <c r="I51" s="225">
        <f t="shared" si="7"/>
        <v>0</v>
      </c>
      <c r="J51" s="225"/>
      <c r="K51" s="152"/>
      <c r="L51" s="152"/>
      <c r="M51" s="93"/>
      <c r="N51" s="93"/>
      <c r="O51" s="93"/>
    </row>
    <row r="52" spans="1:15" s="115" customFormat="1" ht="30" customHeight="1" thickBot="1">
      <c r="A52" s="108" t="s">
        <v>313</v>
      </c>
      <c r="B52" s="149">
        <v>600</v>
      </c>
      <c r="C52" s="149">
        <v>60014</v>
      </c>
      <c r="D52" s="149">
        <v>6060</v>
      </c>
      <c r="E52" s="150" t="s">
        <v>276</v>
      </c>
      <c r="F52" s="282">
        <f>SUM(G52:I52)</f>
        <v>495000</v>
      </c>
      <c r="G52" s="218">
        <v>495000</v>
      </c>
      <c r="H52" s="218"/>
      <c r="I52" s="218"/>
      <c r="J52" s="219"/>
      <c r="K52" s="153"/>
      <c r="L52" s="154"/>
      <c r="M52" s="114"/>
      <c r="N52" s="114"/>
      <c r="O52" s="114"/>
    </row>
    <row r="53" spans="1:15" s="120" customFormat="1" ht="35.1" customHeight="1" thickBot="1">
      <c r="A53" s="486" t="s">
        <v>277</v>
      </c>
      <c r="B53" s="487"/>
      <c r="C53" s="487"/>
      <c r="D53" s="487"/>
      <c r="E53" s="487"/>
      <c r="F53" s="226">
        <f>SUM(F7,F12,F23,F29,F32,F37,F39,F43,F51)</f>
        <v>35847591.049999997</v>
      </c>
      <c r="G53" s="226">
        <f t="shared" ref="G53:J53" si="8">SUM(G7,G12,G23,G29,G32,G37,G39,G43,G51)</f>
        <v>1966708</v>
      </c>
      <c r="H53" s="226">
        <f t="shared" si="8"/>
        <v>9204272</v>
      </c>
      <c r="I53" s="226">
        <f t="shared" si="8"/>
        <v>0</v>
      </c>
      <c r="J53" s="226">
        <f t="shared" si="8"/>
        <v>24676611.050000001</v>
      </c>
      <c r="K53" s="155"/>
      <c r="L53" s="156"/>
      <c r="M53" s="157"/>
      <c r="N53" s="157"/>
      <c r="O53" s="119"/>
    </row>
    <row r="54" spans="1:15" s="120" customFormat="1" ht="41.25" customHeight="1" thickBot="1">
      <c r="A54" s="283" t="s">
        <v>314</v>
      </c>
      <c r="B54" s="284">
        <v>700</v>
      </c>
      <c r="C54" s="284">
        <v>70095</v>
      </c>
      <c r="D54" s="285">
        <v>6060</v>
      </c>
      <c r="E54" s="314" t="s">
        <v>333</v>
      </c>
      <c r="F54" s="286">
        <f>SUM(G54:I54)</f>
        <v>1200000</v>
      </c>
      <c r="G54" s="289"/>
      <c r="H54" s="289">
        <v>1200000</v>
      </c>
      <c r="I54" s="287"/>
      <c r="J54" s="287"/>
      <c r="K54" s="288"/>
      <c r="L54" s="156"/>
      <c r="M54" s="157"/>
      <c r="N54" s="157"/>
      <c r="O54" s="119"/>
    </row>
    <row r="55" spans="1:15" s="120" customFormat="1" ht="35.1" customHeight="1" thickBot="1">
      <c r="A55" s="488" t="s">
        <v>334</v>
      </c>
      <c r="B55" s="489"/>
      <c r="C55" s="489"/>
      <c r="D55" s="489"/>
      <c r="E55" s="490"/>
      <c r="F55" s="300">
        <f>F54</f>
        <v>1200000</v>
      </c>
      <c r="G55" s="301">
        <f t="shared" ref="G55:J55" si="9">G54</f>
        <v>0</v>
      </c>
      <c r="H55" s="301">
        <f t="shared" si="9"/>
        <v>1200000</v>
      </c>
      <c r="I55" s="301">
        <f t="shared" si="9"/>
        <v>0</v>
      </c>
      <c r="J55" s="301">
        <f t="shared" si="9"/>
        <v>0</v>
      </c>
      <c r="K55" s="302"/>
      <c r="L55" s="253"/>
      <c r="M55" s="157"/>
      <c r="N55" s="157"/>
      <c r="O55" s="119"/>
    </row>
    <row r="56" spans="1:15" s="120" customFormat="1" ht="54" customHeight="1" thickBot="1">
      <c r="A56" s="149" t="s">
        <v>315</v>
      </c>
      <c r="B56" s="149">
        <v>750</v>
      </c>
      <c r="C56" s="149">
        <v>75020</v>
      </c>
      <c r="D56" s="149">
        <v>6050</v>
      </c>
      <c r="E56" s="170" t="s">
        <v>362</v>
      </c>
      <c r="F56" s="282">
        <f>SUM(G56:I56)</f>
        <v>60000</v>
      </c>
      <c r="G56" s="218">
        <v>60000</v>
      </c>
      <c r="H56" s="218"/>
      <c r="I56" s="282"/>
      <c r="J56" s="282"/>
      <c r="K56" s="315"/>
      <c r="L56" s="436"/>
      <c r="M56" s="157"/>
      <c r="N56" s="157"/>
      <c r="O56" s="119"/>
    </row>
    <row r="57" spans="1:15" s="120" customFormat="1" ht="35.1" customHeight="1" thickBot="1">
      <c r="A57" s="491" t="s">
        <v>359</v>
      </c>
      <c r="B57" s="492"/>
      <c r="C57" s="492"/>
      <c r="D57" s="492"/>
      <c r="E57" s="493"/>
      <c r="F57" s="303">
        <f>F56</f>
        <v>60000</v>
      </c>
      <c r="G57" s="303">
        <f>G56</f>
        <v>60000</v>
      </c>
      <c r="H57" s="303">
        <f>H56</f>
        <v>0</v>
      </c>
      <c r="I57" s="303">
        <f>I56</f>
        <v>0</v>
      </c>
      <c r="J57" s="303">
        <f>J56</f>
        <v>0</v>
      </c>
      <c r="K57" s="185"/>
      <c r="L57" s="156"/>
      <c r="M57" s="157"/>
      <c r="N57" s="157"/>
      <c r="O57" s="119"/>
    </row>
    <row r="58" spans="1:15" s="120" customFormat="1" ht="35.1" customHeight="1" thickBot="1">
      <c r="A58" s="149" t="s">
        <v>316</v>
      </c>
      <c r="B58" s="149">
        <v>710</v>
      </c>
      <c r="C58" s="149">
        <v>71015</v>
      </c>
      <c r="D58" s="149">
        <v>6060</v>
      </c>
      <c r="E58" s="366" t="s">
        <v>375</v>
      </c>
      <c r="F58" s="282">
        <v>40005</v>
      </c>
      <c r="G58" s="282"/>
      <c r="H58" s="282"/>
      <c r="I58" s="282"/>
      <c r="J58" s="219" t="s">
        <v>376</v>
      </c>
      <c r="K58" s="315"/>
      <c r="L58" s="253"/>
      <c r="M58" s="157"/>
      <c r="N58" s="157"/>
      <c r="O58" s="119"/>
    </row>
    <row r="59" spans="1:15" s="120" customFormat="1" ht="35.1" customHeight="1" thickBot="1">
      <c r="A59" s="494" t="s">
        <v>377</v>
      </c>
      <c r="B59" s="495"/>
      <c r="C59" s="495"/>
      <c r="D59" s="495"/>
      <c r="E59" s="495"/>
      <c r="F59" s="363">
        <f>F58</f>
        <v>40005</v>
      </c>
      <c r="G59" s="363"/>
      <c r="H59" s="363"/>
      <c r="I59" s="363"/>
      <c r="J59" s="363">
        <v>40005</v>
      </c>
      <c r="K59" s="364"/>
      <c r="L59" s="253"/>
      <c r="M59" s="157"/>
      <c r="N59" s="157"/>
      <c r="O59" s="119"/>
    </row>
    <row r="60" spans="1:15" s="120" customFormat="1" ht="39" customHeight="1" thickBot="1">
      <c r="A60" s="160" t="s">
        <v>317</v>
      </c>
      <c r="B60" s="109">
        <v>754</v>
      </c>
      <c r="C60" s="109">
        <v>75410</v>
      </c>
      <c r="D60" s="109">
        <v>6170</v>
      </c>
      <c r="E60" s="161" t="s">
        <v>374</v>
      </c>
      <c r="F60" s="229">
        <f>G60+50000</f>
        <v>70000</v>
      </c>
      <c r="G60" s="228">
        <v>20000</v>
      </c>
      <c r="H60" s="228"/>
      <c r="I60" s="228"/>
      <c r="J60" s="213" t="s">
        <v>364</v>
      </c>
      <c r="K60" s="270"/>
      <c r="L60" s="163"/>
      <c r="M60" s="119"/>
      <c r="N60" s="119"/>
      <c r="O60" s="119"/>
    </row>
    <row r="61" spans="1:15" s="115" customFormat="1" ht="35.1" customHeight="1" thickBot="1">
      <c r="A61" s="505" t="s">
        <v>363</v>
      </c>
      <c r="B61" s="506"/>
      <c r="C61" s="506"/>
      <c r="D61" s="506"/>
      <c r="E61" s="507"/>
      <c r="F61" s="227">
        <v>70000</v>
      </c>
      <c r="G61" s="227">
        <v>20000</v>
      </c>
      <c r="H61" s="227"/>
      <c r="I61" s="227"/>
      <c r="J61" s="227">
        <v>50000</v>
      </c>
      <c r="K61" s="158"/>
      <c r="L61" s="163"/>
      <c r="M61" s="114"/>
      <c r="N61" s="114"/>
      <c r="O61" s="114"/>
    </row>
    <row r="62" spans="1:15" s="120" customFormat="1" ht="39" customHeight="1" thickBot="1">
      <c r="A62" s="407" t="s">
        <v>323</v>
      </c>
      <c r="B62" s="373">
        <v>754</v>
      </c>
      <c r="C62" s="373">
        <v>75411</v>
      </c>
      <c r="D62" s="380">
        <v>6050</v>
      </c>
      <c r="E62" s="442" t="s">
        <v>402</v>
      </c>
      <c r="F62" s="384">
        <f>G62</f>
        <v>100000</v>
      </c>
      <c r="G62" s="408">
        <v>100000</v>
      </c>
      <c r="H62" s="408"/>
      <c r="I62" s="408"/>
      <c r="J62" s="386"/>
      <c r="K62" s="409"/>
      <c r="L62" s="163"/>
      <c r="M62" s="119"/>
      <c r="N62" s="119"/>
      <c r="O62" s="119"/>
    </row>
    <row r="63" spans="1:15" s="115" customFormat="1" ht="35.1" customHeight="1" thickBot="1">
      <c r="A63" s="496" t="s">
        <v>394</v>
      </c>
      <c r="B63" s="497"/>
      <c r="C63" s="497"/>
      <c r="D63" s="497"/>
      <c r="E63" s="508"/>
      <c r="F63" s="405">
        <f>F62</f>
        <v>100000</v>
      </c>
      <c r="G63" s="405">
        <f>G62</f>
        <v>100000</v>
      </c>
      <c r="H63" s="405">
        <f t="shared" ref="H63:J63" si="10">H62</f>
        <v>0</v>
      </c>
      <c r="I63" s="405">
        <f t="shared" si="10"/>
        <v>0</v>
      </c>
      <c r="J63" s="405">
        <f t="shared" si="10"/>
        <v>0</v>
      </c>
      <c r="K63" s="406"/>
      <c r="L63" s="163"/>
      <c r="M63" s="114"/>
      <c r="N63" s="114"/>
      <c r="O63" s="114"/>
    </row>
    <row r="64" spans="1:15" s="120" customFormat="1" ht="34.5" customHeight="1" thickBot="1">
      <c r="A64" s="402" t="s">
        <v>336</v>
      </c>
      <c r="B64" s="403">
        <v>758</v>
      </c>
      <c r="C64" s="403">
        <v>75818</v>
      </c>
      <c r="D64" s="403">
        <v>6800</v>
      </c>
      <c r="E64" s="404" t="s">
        <v>279</v>
      </c>
      <c r="F64" s="365">
        <f>G64</f>
        <v>82855</v>
      </c>
      <c r="G64" s="342">
        <f>100000-17145</f>
        <v>82855</v>
      </c>
      <c r="H64" s="340"/>
      <c r="I64" s="340"/>
      <c r="J64" s="340"/>
      <c r="K64" s="341"/>
      <c r="L64" s="316"/>
      <c r="M64" s="119"/>
      <c r="N64" s="119"/>
      <c r="O64" s="119"/>
    </row>
    <row r="65" spans="1:16" s="115" customFormat="1" ht="35.1" customHeight="1" thickBot="1">
      <c r="A65" s="486" t="s">
        <v>280</v>
      </c>
      <c r="B65" s="487"/>
      <c r="C65" s="487"/>
      <c r="D65" s="487"/>
      <c r="E65" s="487"/>
      <c r="F65" s="227">
        <f>SUM(F64)</f>
        <v>82855</v>
      </c>
      <c r="G65" s="227">
        <f>SUM(G64)</f>
        <v>82855</v>
      </c>
      <c r="H65" s="227">
        <f>SUM(H64)</f>
        <v>0</v>
      </c>
      <c r="I65" s="227">
        <f>SUM(I64)</f>
        <v>0</v>
      </c>
      <c r="J65" s="227"/>
      <c r="K65" s="158"/>
      <c r="L65" s="159"/>
      <c r="M65" s="114"/>
      <c r="N65" s="114"/>
      <c r="O65" s="114"/>
    </row>
    <row r="66" spans="1:16" s="115" customFormat="1" ht="41.25" customHeight="1" thickBot="1">
      <c r="A66" s="149" t="s">
        <v>337</v>
      </c>
      <c r="B66" s="149">
        <v>801</v>
      </c>
      <c r="C66" s="149">
        <v>80120</v>
      </c>
      <c r="D66" s="149">
        <v>6580</v>
      </c>
      <c r="E66" s="170" t="s">
        <v>373</v>
      </c>
      <c r="F66" s="282">
        <f>SUM(G66:I66)</f>
        <v>17220</v>
      </c>
      <c r="G66" s="218">
        <v>17220</v>
      </c>
      <c r="H66" s="282"/>
      <c r="I66" s="282"/>
      <c r="J66" s="282"/>
      <c r="K66" s="315"/>
      <c r="L66" s="163"/>
      <c r="M66" s="114"/>
      <c r="N66" s="114"/>
      <c r="O66" s="114"/>
    </row>
    <row r="67" spans="1:16" s="115" customFormat="1" ht="35.1" customHeight="1" thickBot="1">
      <c r="A67" s="509" t="s">
        <v>366</v>
      </c>
      <c r="B67" s="510"/>
      <c r="C67" s="510"/>
      <c r="D67" s="510"/>
      <c r="E67" s="511"/>
      <c r="F67" s="226">
        <f>F66</f>
        <v>17220</v>
      </c>
      <c r="G67" s="226">
        <f>G66</f>
        <v>17220</v>
      </c>
      <c r="H67" s="226"/>
      <c r="I67" s="226"/>
      <c r="J67" s="226"/>
      <c r="K67" s="155"/>
      <c r="L67" s="163"/>
      <c r="M67" s="114"/>
      <c r="N67" s="114"/>
      <c r="O67" s="114"/>
    </row>
    <row r="68" spans="1:16" s="115" customFormat="1" ht="35.1" customHeight="1" thickBot="1">
      <c r="A68" s="160" t="s">
        <v>352</v>
      </c>
      <c r="B68" s="109">
        <v>851</v>
      </c>
      <c r="C68" s="109">
        <v>85111</v>
      </c>
      <c r="D68" s="109">
        <v>6010</v>
      </c>
      <c r="E68" s="161" t="s">
        <v>282</v>
      </c>
      <c r="F68" s="229">
        <f>SUM(G68:I68)</f>
        <v>400000</v>
      </c>
      <c r="G68" s="228"/>
      <c r="H68" s="228">
        <v>400000</v>
      </c>
      <c r="I68" s="229"/>
      <c r="J68" s="229"/>
      <c r="K68" s="162"/>
      <c r="L68" s="163"/>
      <c r="M68" s="114"/>
      <c r="N68" s="114"/>
      <c r="O68" s="114"/>
    </row>
    <row r="69" spans="1:16" s="115" customFormat="1" ht="58.5" customHeight="1" thickBot="1">
      <c r="A69" s="160" t="s">
        <v>353</v>
      </c>
      <c r="B69" s="109">
        <v>851</v>
      </c>
      <c r="C69" s="109">
        <v>85111</v>
      </c>
      <c r="D69" s="109">
        <v>6230</v>
      </c>
      <c r="E69" s="161" t="s">
        <v>284</v>
      </c>
      <c r="F69" s="229">
        <v>2412513.15</v>
      </c>
      <c r="G69" s="228"/>
      <c r="H69" s="228"/>
      <c r="I69" s="228"/>
      <c r="J69" s="269" t="s">
        <v>320</v>
      </c>
      <c r="K69" s="270"/>
      <c r="L69" s="111" t="s">
        <v>236</v>
      </c>
      <c r="M69" s="114"/>
      <c r="N69" s="114"/>
      <c r="O69" s="114"/>
    </row>
    <row r="70" spans="1:16" s="115" customFormat="1" ht="35.1" customHeight="1" thickBot="1">
      <c r="A70" s="512" t="s">
        <v>285</v>
      </c>
      <c r="B70" s="512"/>
      <c r="C70" s="512"/>
      <c r="D70" s="512"/>
      <c r="E70" s="512"/>
      <c r="F70" s="227">
        <f>SUM(F68:F69)</f>
        <v>2812513.15</v>
      </c>
      <c r="G70" s="227">
        <f t="shared" ref="G70:I70" si="11">SUM(G68:G69)</f>
        <v>0</v>
      </c>
      <c r="H70" s="227">
        <f t="shared" si="11"/>
        <v>400000</v>
      </c>
      <c r="I70" s="227">
        <f t="shared" si="11"/>
        <v>0</v>
      </c>
      <c r="J70" s="227">
        <v>2412513.15</v>
      </c>
      <c r="K70" s="158"/>
      <c r="L70" s="163"/>
      <c r="M70" s="114"/>
      <c r="N70" s="114"/>
      <c r="O70" s="114"/>
    </row>
    <row r="71" spans="1:16" s="166" customFormat="1" ht="35.25" customHeight="1" thickBot="1">
      <c r="A71" s="513" t="s">
        <v>357</v>
      </c>
      <c r="B71" s="112">
        <v>852</v>
      </c>
      <c r="C71" s="112">
        <v>85202</v>
      </c>
      <c r="D71" s="112">
        <v>6050</v>
      </c>
      <c r="E71" s="164" t="s">
        <v>287</v>
      </c>
      <c r="F71" s="264">
        <f>SUM(G71:I71)</f>
        <v>4006626</v>
      </c>
      <c r="G71" s="208">
        <v>252898</v>
      </c>
      <c r="H71" s="208">
        <v>3753728</v>
      </c>
      <c r="I71" s="208"/>
      <c r="J71" s="209"/>
      <c r="K71" s="110"/>
      <c r="L71" s="165" t="s">
        <v>236</v>
      </c>
      <c r="M71" s="106"/>
      <c r="N71" s="106"/>
      <c r="O71" s="106"/>
      <c r="P71" s="107"/>
    </row>
    <row r="72" spans="1:16" s="166" customFormat="1" ht="42" customHeight="1" thickBot="1">
      <c r="A72" s="514"/>
      <c r="B72" s="109">
        <v>852</v>
      </c>
      <c r="C72" s="109">
        <v>85202</v>
      </c>
      <c r="D72" s="109">
        <v>6370</v>
      </c>
      <c r="E72" s="164" t="s">
        <v>287</v>
      </c>
      <c r="F72" s="433">
        <f>4675000</f>
        <v>4675000</v>
      </c>
      <c r="G72" s="230"/>
      <c r="H72" s="230"/>
      <c r="I72" s="230"/>
      <c r="J72" s="213" t="s">
        <v>288</v>
      </c>
      <c r="K72" s="167"/>
      <c r="L72" s="291" t="s">
        <v>236</v>
      </c>
      <c r="M72" s="106"/>
      <c r="N72" s="106"/>
      <c r="O72" s="106"/>
      <c r="P72" s="107"/>
    </row>
    <row r="73" spans="1:16" s="169" customFormat="1" ht="51.75" customHeight="1" thickBot="1">
      <c r="A73" s="149" t="s">
        <v>358</v>
      </c>
      <c r="B73" s="109">
        <v>852</v>
      </c>
      <c r="C73" s="109">
        <v>85202</v>
      </c>
      <c r="D73" s="149">
        <v>6050</v>
      </c>
      <c r="E73" s="317" t="s">
        <v>367</v>
      </c>
      <c r="F73" s="282">
        <f>SUM(G73:I73)</f>
        <v>84839.83</v>
      </c>
      <c r="G73" s="218">
        <f>75839.83+9000</f>
        <v>84839.83</v>
      </c>
      <c r="H73" s="282"/>
      <c r="I73" s="282"/>
      <c r="J73" s="339"/>
      <c r="K73" s="315"/>
      <c r="L73" s="293"/>
      <c r="M73" s="118"/>
      <c r="N73" s="118"/>
      <c r="O73" s="118"/>
      <c r="P73" s="168"/>
    </row>
    <row r="74" spans="1:16" s="166" customFormat="1" ht="42" customHeight="1" thickBot="1">
      <c r="A74" s="149" t="s">
        <v>360</v>
      </c>
      <c r="B74" s="318">
        <v>852</v>
      </c>
      <c r="C74" s="319">
        <v>85202</v>
      </c>
      <c r="D74" s="149">
        <v>6060</v>
      </c>
      <c r="E74" s="317" t="s">
        <v>351</v>
      </c>
      <c r="F74" s="282">
        <f>SUM(G74:I74)</f>
        <v>3000</v>
      </c>
      <c r="G74" s="218">
        <v>3000</v>
      </c>
      <c r="H74" s="218"/>
      <c r="I74" s="218"/>
      <c r="J74" s="219"/>
      <c r="K74" s="315"/>
      <c r="L74" s="293"/>
      <c r="M74" s="106"/>
      <c r="N74" s="106"/>
      <c r="O74" s="106"/>
      <c r="P74" s="107"/>
    </row>
    <row r="75" spans="1:16" s="169" customFormat="1" ht="42" customHeight="1" thickBot="1">
      <c r="A75" s="515" t="s">
        <v>289</v>
      </c>
      <c r="B75" s="515"/>
      <c r="C75" s="515"/>
      <c r="D75" s="515"/>
      <c r="E75" s="515"/>
      <c r="F75" s="292">
        <f>SUM(F71:F74)</f>
        <v>8769465.8300000001</v>
      </c>
      <c r="G75" s="292">
        <f t="shared" ref="G75:I75" si="12">SUM(G71:G74)</f>
        <v>340737.83</v>
      </c>
      <c r="H75" s="292">
        <f t="shared" si="12"/>
        <v>3753728</v>
      </c>
      <c r="I75" s="292">
        <f t="shared" si="12"/>
        <v>0</v>
      </c>
      <c r="J75" s="320">
        <v>4675000</v>
      </c>
      <c r="K75" s="321"/>
      <c r="L75" s="253"/>
      <c r="M75" s="118"/>
      <c r="N75" s="118"/>
      <c r="O75" s="118"/>
      <c r="P75" s="168"/>
    </row>
    <row r="76" spans="1:16" s="169" customFormat="1" ht="42" customHeight="1" thickBot="1">
      <c r="A76" s="149" t="s">
        <v>368</v>
      </c>
      <c r="B76" s="149">
        <v>852</v>
      </c>
      <c r="C76" s="149">
        <v>85218</v>
      </c>
      <c r="D76" s="149">
        <v>6050</v>
      </c>
      <c r="E76" s="170" t="s">
        <v>354</v>
      </c>
      <c r="F76" s="282">
        <f>SUM(G76:I76)</f>
        <v>45012</v>
      </c>
      <c r="G76" s="218">
        <f>35012+10000</f>
        <v>45012</v>
      </c>
      <c r="H76" s="282"/>
      <c r="I76" s="282"/>
      <c r="J76" s="322"/>
      <c r="K76" s="315"/>
      <c r="L76" s="323"/>
      <c r="M76" s="118"/>
      <c r="N76" s="118"/>
      <c r="O76" s="118"/>
      <c r="P76" s="168"/>
    </row>
    <row r="77" spans="1:16" s="169" customFormat="1" ht="42" customHeight="1" thickBot="1">
      <c r="A77" s="149" t="s">
        <v>369</v>
      </c>
      <c r="B77" s="149">
        <v>852</v>
      </c>
      <c r="C77" s="149">
        <v>85218</v>
      </c>
      <c r="D77" s="149">
        <v>6060</v>
      </c>
      <c r="E77" s="170" t="s">
        <v>355</v>
      </c>
      <c r="F77" s="282">
        <f>SUM(G77:I77)</f>
        <v>2114</v>
      </c>
      <c r="G77" s="218">
        <v>2114</v>
      </c>
      <c r="H77" s="218"/>
      <c r="I77" s="282"/>
      <c r="J77" s="322"/>
      <c r="K77" s="315"/>
      <c r="L77" s="323"/>
      <c r="M77" s="118"/>
      <c r="N77" s="118"/>
      <c r="O77" s="118"/>
      <c r="P77" s="168"/>
    </row>
    <row r="78" spans="1:16" s="169" customFormat="1" ht="42" customHeight="1" thickBot="1">
      <c r="A78" s="515" t="s">
        <v>356</v>
      </c>
      <c r="B78" s="515"/>
      <c r="C78" s="515"/>
      <c r="D78" s="515"/>
      <c r="E78" s="515"/>
      <c r="F78" s="292">
        <f>SUM(F76:F77)</f>
        <v>47126</v>
      </c>
      <c r="G78" s="292">
        <f t="shared" ref="G78:J78" si="13">SUM(G76:G77)</f>
        <v>47126</v>
      </c>
      <c r="H78" s="292">
        <f t="shared" si="13"/>
        <v>0</v>
      </c>
      <c r="I78" s="292">
        <f t="shared" si="13"/>
        <v>0</v>
      </c>
      <c r="J78" s="320">
        <f t="shared" si="13"/>
        <v>0</v>
      </c>
      <c r="K78" s="324"/>
      <c r="L78" s="325"/>
      <c r="M78" s="118"/>
      <c r="N78" s="118"/>
      <c r="O78" s="118"/>
      <c r="P78" s="168"/>
    </row>
    <row r="79" spans="1:16" s="169" customFormat="1" ht="86.25" customHeight="1" thickBot="1">
      <c r="A79" s="149" t="s">
        <v>370</v>
      </c>
      <c r="B79" s="149">
        <v>853</v>
      </c>
      <c r="C79" s="149">
        <v>85311</v>
      </c>
      <c r="D79" s="149">
        <v>6230</v>
      </c>
      <c r="E79" s="326" t="s">
        <v>347</v>
      </c>
      <c r="F79" s="282">
        <f>SUM(G79:I79)</f>
        <v>20000</v>
      </c>
      <c r="G79" s="218">
        <v>20000</v>
      </c>
      <c r="H79" s="282"/>
      <c r="I79" s="282"/>
      <c r="J79" s="322"/>
      <c r="K79" s="315"/>
      <c r="L79" s="327"/>
      <c r="M79" s="118"/>
      <c r="N79" s="118"/>
      <c r="O79" s="118"/>
      <c r="P79" s="168"/>
    </row>
    <row r="80" spans="1:16" s="169" customFormat="1" ht="42" customHeight="1" thickBot="1">
      <c r="A80" s="516" t="s">
        <v>335</v>
      </c>
      <c r="B80" s="516"/>
      <c r="C80" s="516"/>
      <c r="D80" s="516"/>
      <c r="E80" s="516"/>
      <c r="F80" s="231">
        <f>F79</f>
        <v>20000</v>
      </c>
      <c r="G80" s="231">
        <f t="shared" ref="G80:J80" si="14">G79</f>
        <v>20000</v>
      </c>
      <c r="H80" s="231">
        <f t="shared" si="14"/>
        <v>0</v>
      </c>
      <c r="I80" s="231">
        <f t="shared" si="14"/>
        <v>0</v>
      </c>
      <c r="J80" s="328">
        <f t="shared" si="14"/>
        <v>0</v>
      </c>
      <c r="K80" s="185"/>
      <c r="L80" s="327"/>
      <c r="M80" s="118"/>
      <c r="N80" s="118"/>
      <c r="O80" s="118"/>
      <c r="P80" s="168"/>
    </row>
    <row r="81" spans="1:16" s="254" customFormat="1" ht="55.5" customHeight="1" thickBot="1">
      <c r="A81" s="271" t="s">
        <v>371</v>
      </c>
      <c r="B81" s="271">
        <v>854</v>
      </c>
      <c r="C81" s="271">
        <v>85403</v>
      </c>
      <c r="D81" s="271">
        <v>6050</v>
      </c>
      <c r="E81" s="273" t="s">
        <v>330</v>
      </c>
      <c r="F81" s="272">
        <f>SUM(G81:I81)</f>
        <v>910630</v>
      </c>
      <c r="G81" s="274">
        <v>910630</v>
      </c>
      <c r="H81" s="435"/>
      <c r="I81" s="272"/>
      <c r="J81" s="329"/>
      <c r="K81" s="330"/>
      <c r="L81" s="327"/>
      <c r="M81" s="93"/>
      <c r="N81" s="93"/>
      <c r="O81" s="93"/>
      <c r="P81" s="151"/>
    </row>
    <row r="82" spans="1:16" s="169" customFormat="1" ht="42" customHeight="1" thickBot="1">
      <c r="A82" s="496" t="s">
        <v>322</v>
      </c>
      <c r="B82" s="497"/>
      <c r="C82" s="497"/>
      <c r="D82" s="497"/>
      <c r="E82" s="498"/>
      <c r="F82" s="231">
        <f>SUM(F81)</f>
        <v>910630</v>
      </c>
      <c r="G82" s="231">
        <f t="shared" ref="G82:J82" si="15">SUM(G81)</f>
        <v>910630</v>
      </c>
      <c r="H82" s="231">
        <f t="shared" si="15"/>
        <v>0</v>
      </c>
      <c r="I82" s="231">
        <f t="shared" si="15"/>
        <v>0</v>
      </c>
      <c r="J82" s="328">
        <f t="shared" si="15"/>
        <v>0</v>
      </c>
      <c r="K82" s="185"/>
      <c r="L82" s="331"/>
      <c r="M82" s="118"/>
      <c r="N82" s="118"/>
      <c r="O82" s="118"/>
      <c r="P82" s="168"/>
    </row>
    <row r="83" spans="1:16" s="169" customFormat="1" ht="42" customHeight="1" thickBot="1">
      <c r="A83" s="149" t="s">
        <v>378</v>
      </c>
      <c r="B83" s="149">
        <v>854</v>
      </c>
      <c r="C83" s="149">
        <v>85407</v>
      </c>
      <c r="D83" s="149">
        <v>6050</v>
      </c>
      <c r="E83" s="170" t="s">
        <v>324</v>
      </c>
      <c r="F83" s="282">
        <f>G83+44678</f>
        <v>70000</v>
      </c>
      <c r="G83" s="218">
        <v>25322</v>
      </c>
      <c r="H83" s="218"/>
      <c r="I83" s="218"/>
      <c r="J83" s="332" t="s">
        <v>311</v>
      </c>
      <c r="K83" s="153"/>
      <c r="L83" s="333"/>
      <c r="M83" s="118"/>
      <c r="N83" s="118"/>
      <c r="O83" s="118"/>
      <c r="P83" s="168"/>
    </row>
    <row r="84" spans="1:16" s="169" customFormat="1" ht="37.5" customHeight="1" thickBot="1">
      <c r="A84" s="499" t="s">
        <v>298</v>
      </c>
      <c r="B84" s="500"/>
      <c r="C84" s="500"/>
      <c r="D84" s="500"/>
      <c r="E84" s="501"/>
      <c r="F84" s="231">
        <f>SUM(F83)</f>
        <v>70000</v>
      </c>
      <c r="G84" s="231">
        <f>SUM(G83)</f>
        <v>25322</v>
      </c>
      <c r="H84" s="231">
        <f>SUM(H83)</f>
        <v>0</v>
      </c>
      <c r="I84" s="231">
        <f>SUM(I83)</f>
        <v>0</v>
      </c>
      <c r="J84" s="328">
        <v>44678</v>
      </c>
      <c r="K84" s="185"/>
      <c r="L84" s="331"/>
      <c r="M84" s="118"/>
      <c r="N84" s="118"/>
      <c r="O84" s="118"/>
      <c r="P84" s="168"/>
    </row>
    <row r="85" spans="1:16" s="107" customFormat="1" ht="35.1" customHeight="1" thickBot="1">
      <c r="A85" s="149" t="s">
        <v>395</v>
      </c>
      <c r="B85" s="149">
        <v>855</v>
      </c>
      <c r="C85" s="149">
        <v>85510</v>
      </c>
      <c r="D85" s="149">
        <v>6050</v>
      </c>
      <c r="E85" s="170" t="s">
        <v>291</v>
      </c>
      <c r="F85" s="282">
        <f>SUM(G85:I85)</f>
        <v>20000</v>
      </c>
      <c r="G85" s="218">
        <v>20000</v>
      </c>
      <c r="H85" s="218"/>
      <c r="I85" s="218"/>
      <c r="J85" s="334"/>
      <c r="K85" s="153"/>
      <c r="L85" s="236"/>
      <c r="M85" s="106"/>
      <c r="N85" s="106"/>
      <c r="O85" s="106"/>
    </row>
    <row r="86" spans="1:16" s="168" customFormat="1" ht="35.1" customHeight="1" thickBot="1">
      <c r="A86" s="499" t="s">
        <v>292</v>
      </c>
      <c r="B86" s="500"/>
      <c r="C86" s="500"/>
      <c r="D86" s="500"/>
      <c r="E86" s="501"/>
      <c r="F86" s="226">
        <f>SUM(F85:F85)</f>
        <v>20000</v>
      </c>
      <c r="G86" s="226">
        <f>SUM(G85:G85)</f>
        <v>20000</v>
      </c>
      <c r="H86" s="226">
        <f>SUM(H85:H85)</f>
        <v>0</v>
      </c>
      <c r="I86" s="226">
        <f>SUM(I85:I85)</f>
        <v>0</v>
      </c>
      <c r="J86" s="335">
        <f>SUM(J85:J85)</f>
        <v>0</v>
      </c>
      <c r="K86" s="324"/>
      <c r="L86" s="163"/>
      <c r="M86" s="118"/>
      <c r="N86" s="118"/>
      <c r="O86" s="118"/>
    </row>
    <row r="87" spans="1:16" s="169" customFormat="1" ht="36" customHeight="1" thickBot="1">
      <c r="A87" s="502" t="s">
        <v>293</v>
      </c>
      <c r="B87" s="503"/>
      <c r="C87" s="503"/>
      <c r="D87" s="503"/>
      <c r="E87" s="504"/>
      <c r="F87" s="232">
        <f>F53+F55+F57+F61+F63+N66+F65+F67+F70+F75+F78+F80+F59+F82+F84+F86</f>
        <v>50067406.029999994</v>
      </c>
      <c r="G87" s="232">
        <f t="shared" ref="G87:J87" si="16">G53+G55+G57+G61+G63+O66+G65+G67+G70+G75+G78+G80+G59+G82+G84+G86</f>
        <v>3610598.83</v>
      </c>
      <c r="H87" s="232">
        <f t="shared" si="16"/>
        <v>14558000</v>
      </c>
      <c r="I87" s="232">
        <f t="shared" si="16"/>
        <v>0</v>
      </c>
      <c r="J87" s="232">
        <f t="shared" si="16"/>
        <v>31898807.199999999</v>
      </c>
      <c r="K87" s="336"/>
      <c r="L87" s="337"/>
      <c r="M87" s="255"/>
      <c r="N87" s="118"/>
      <c r="O87" s="118"/>
      <c r="P87" s="168"/>
    </row>
    <row r="88" spans="1:16" s="168" customFormat="1" ht="26.25" customHeight="1">
      <c r="A88" s="171" t="s">
        <v>326</v>
      </c>
      <c r="B88" s="172"/>
      <c r="C88" s="172"/>
      <c r="D88" s="172"/>
      <c r="E88" s="95"/>
      <c r="F88" s="434"/>
      <c r="G88" s="173"/>
      <c r="H88" s="173"/>
      <c r="I88" s="174"/>
      <c r="J88" s="174"/>
      <c r="K88" s="39"/>
      <c r="L88" s="93"/>
      <c r="M88" s="118"/>
      <c r="N88" s="118"/>
      <c r="O88" s="118"/>
    </row>
    <row r="89" spans="1:16" s="115" customFormat="1" ht="20.25" customHeight="1">
      <c r="A89" s="171" t="s">
        <v>294</v>
      </c>
      <c r="B89" s="172"/>
      <c r="C89" s="172"/>
      <c r="D89" s="172"/>
      <c r="E89" s="95"/>
      <c r="F89" s="172"/>
      <c r="G89" s="174"/>
      <c r="H89" s="173"/>
      <c r="I89" s="173"/>
      <c r="J89" s="173"/>
      <c r="K89" s="437"/>
      <c r="L89" s="93"/>
      <c r="M89" s="114"/>
      <c r="N89" s="114"/>
      <c r="O89" s="114"/>
    </row>
    <row r="90" spans="1:16" s="168" customFormat="1" ht="21" customHeight="1">
      <c r="A90" s="171" t="s">
        <v>295</v>
      </c>
      <c r="B90" s="172"/>
      <c r="C90" s="172"/>
      <c r="D90" s="172"/>
      <c r="E90" s="95"/>
      <c r="F90" s="434"/>
      <c r="G90" s="174"/>
      <c r="H90" s="173"/>
      <c r="I90" s="276"/>
      <c r="J90" s="276"/>
      <c r="K90" s="175"/>
      <c r="L90" s="93"/>
      <c r="M90" s="118"/>
      <c r="N90" s="118"/>
      <c r="O90" s="118"/>
    </row>
    <row r="91" spans="1:16" s="178" customFormat="1" ht="21" customHeight="1">
      <c r="A91" s="171" t="s">
        <v>296</v>
      </c>
      <c r="B91" s="172"/>
      <c r="C91" s="172"/>
      <c r="D91" s="172"/>
      <c r="E91" s="172"/>
      <c r="F91" s="172"/>
      <c r="G91" s="174"/>
      <c r="H91" s="174"/>
      <c r="I91" s="173"/>
      <c r="J91" s="173"/>
      <c r="K91" s="39"/>
      <c r="L91" s="176"/>
      <c r="M91" s="177"/>
      <c r="N91" s="177"/>
      <c r="O91" s="177"/>
    </row>
    <row r="92" spans="1:16" s="180" customFormat="1" ht="19.5" customHeight="1">
      <c r="A92" s="95" t="s">
        <v>297</v>
      </c>
      <c r="B92" s="172"/>
      <c r="C92" s="172"/>
      <c r="D92" s="172"/>
      <c r="E92" s="174"/>
      <c r="F92" s="434"/>
      <c r="G92" s="174"/>
      <c r="H92" s="174"/>
      <c r="I92" s="174"/>
      <c r="J92" s="174"/>
      <c r="K92" s="175"/>
      <c r="L92" s="176"/>
      <c r="M92" s="179"/>
      <c r="N92" s="179"/>
      <c r="O92" s="179"/>
    </row>
    <row r="93" spans="1:16" s="168" customFormat="1" ht="30" customHeight="1">
      <c r="A93" s="90"/>
      <c r="B93" s="90"/>
      <c r="C93" s="90"/>
      <c r="D93" s="90"/>
      <c r="E93" s="91"/>
      <c r="F93" s="90"/>
      <c r="G93" s="91"/>
      <c r="H93" s="181"/>
      <c r="I93" s="91"/>
      <c r="J93" s="181"/>
      <c r="K93" s="92"/>
      <c r="L93" s="93"/>
      <c r="M93" s="255"/>
      <c r="N93" s="118"/>
      <c r="O93" s="118"/>
    </row>
    <row r="94" spans="1:16" s="107" customFormat="1" ht="27" customHeight="1">
      <c r="A94" s="90"/>
      <c r="B94" s="90"/>
      <c r="C94" s="90"/>
      <c r="D94" s="90"/>
      <c r="E94" s="91"/>
      <c r="F94" s="90"/>
      <c r="G94" s="91"/>
      <c r="H94" s="91"/>
      <c r="I94" s="91"/>
      <c r="J94" s="91"/>
      <c r="K94" s="92"/>
      <c r="L94" s="93"/>
      <c r="M94" s="106"/>
      <c r="N94" s="106"/>
      <c r="O94" s="106"/>
    </row>
    <row r="96" spans="1:16" s="183" customFormat="1" ht="12.75" customHeight="1">
      <c r="A96" s="90"/>
      <c r="B96" s="90"/>
      <c r="C96" s="90"/>
      <c r="D96" s="90"/>
      <c r="E96" s="91"/>
      <c r="F96" s="90"/>
      <c r="G96" s="91"/>
      <c r="H96" s="91"/>
      <c r="I96" s="91"/>
      <c r="J96" s="91"/>
      <c r="K96" s="92"/>
      <c r="L96" s="93"/>
      <c r="M96" s="182"/>
      <c r="N96" s="182"/>
      <c r="O96" s="182"/>
    </row>
    <row r="97" spans="1:15" s="183" customFormat="1" ht="12.75" customHeight="1">
      <c r="A97" s="90"/>
      <c r="B97" s="90"/>
      <c r="C97" s="90"/>
      <c r="D97" s="90"/>
      <c r="E97" s="91"/>
      <c r="F97" s="90"/>
      <c r="G97" s="91"/>
      <c r="H97" s="91"/>
      <c r="I97" s="91"/>
      <c r="J97" s="91"/>
      <c r="K97" s="92"/>
      <c r="L97" s="93"/>
      <c r="M97" s="182"/>
      <c r="N97" s="182"/>
      <c r="O97" s="182"/>
    </row>
    <row r="98" spans="1:15" s="183" customFormat="1" ht="12.75" customHeight="1">
      <c r="A98" s="90"/>
      <c r="B98" s="90"/>
      <c r="C98" s="90"/>
      <c r="D98" s="90"/>
      <c r="E98" s="91"/>
      <c r="F98" s="90"/>
      <c r="G98" s="91"/>
      <c r="H98" s="91"/>
      <c r="I98" s="91"/>
      <c r="J98" s="91"/>
      <c r="K98" s="92"/>
      <c r="L98" s="93"/>
      <c r="M98" s="182"/>
      <c r="N98" s="182"/>
      <c r="O98" s="182"/>
    </row>
  </sheetData>
  <sheetProtection algorithmName="SHA-512" hashValue="IBn9KswNvun/QvfXF1tZB7udbIktNrqQWIJLT2H5y6bI4BDvinRdBf+ZEAbm6F3XP6QbVR7d1IeXdFlPOsQZvA==" saltValue="k9Un3rQf6kj2/kVSeS6mVw==" spinCount="100000" sheet="1" objects="1" scenarios="1"/>
  <mergeCells count="51">
    <mergeCell ref="A82:E82"/>
    <mergeCell ref="A84:E84"/>
    <mergeCell ref="A86:E86"/>
    <mergeCell ref="A87:E87"/>
    <mergeCell ref="A61:E61"/>
    <mergeCell ref="A63:E63"/>
    <mergeCell ref="A67:E67"/>
    <mergeCell ref="A70:E70"/>
    <mergeCell ref="A71:A72"/>
    <mergeCell ref="A75:E75"/>
    <mergeCell ref="A78:E78"/>
    <mergeCell ref="A80:E80"/>
    <mergeCell ref="A53:E53"/>
    <mergeCell ref="A55:E55"/>
    <mergeCell ref="A57:E57"/>
    <mergeCell ref="A59:E59"/>
    <mergeCell ref="A65:E65"/>
    <mergeCell ref="K45:K46"/>
    <mergeCell ref="L45:L46"/>
    <mergeCell ref="A47:A48"/>
    <mergeCell ref="A49:A50"/>
    <mergeCell ref="L49:L50"/>
    <mergeCell ref="A51:E51"/>
    <mergeCell ref="A33:A34"/>
    <mergeCell ref="A37:E37"/>
    <mergeCell ref="A39:E39"/>
    <mergeCell ref="A41:A42"/>
    <mergeCell ref="A43:E43"/>
    <mergeCell ref="A45:A46"/>
    <mergeCell ref="A32:E32"/>
    <mergeCell ref="L4:L5"/>
    <mergeCell ref="A7:E7"/>
    <mergeCell ref="A12:E12"/>
    <mergeCell ref="A13:A14"/>
    <mergeCell ref="L13:L14"/>
    <mergeCell ref="A15:A16"/>
    <mergeCell ref="L15:L16"/>
    <mergeCell ref="A23:E23"/>
    <mergeCell ref="A24:A25"/>
    <mergeCell ref="A27:A28"/>
    <mergeCell ref="L27:L28"/>
    <mergeCell ref="A29:E29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11811023622047245" right="0.11811023622047245" top="1.2598425196850394" bottom="0.78740157480314965" header="0.51181102362204722" footer="0.31496062992125984"/>
  <pageSetup paperSize="9" scale="85" fitToHeight="0" orientation="landscape" verticalDpi="0" r:id="rId1"/>
  <headerFooter differentOddEven="1" differentFirst="1" alignWithMargins="0">
    <oddFooter>&amp;C&amp;P</oddFooter>
    <evenFooter>&amp;C&amp;P</evenFooter>
    <firstHeader>&amp;R&amp;10Tabela Nr 2a
do uchwały Nr ...............
Rady Powiatu  Otwockiego
z dnia 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3:H36"/>
  <sheetViews>
    <sheetView showGridLines="0" workbookViewId="0">
      <selection activeCell="E25" sqref="E25"/>
    </sheetView>
  </sheetViews>
  <sheetFormatPr defaultColWidth="9.33203125" defaultRowHeight="12.75"/>
  <cols>
    <col min="1" max="1" width="2.5" style="2" customWidth="1"/>
    <col min="2" max="2" width="5.83203125" style="2" customWidth="1"/>
    <col min="3" max="3" width="67.1640625" style="2" customWidth="1"/>
    <col min="4" max="4" width="15.33203125" style="2" customWidth="1"/>
    <col min="5" max="5" width="20.33203125" style="2" customWidth="1"/>
    <col min="6" max="6" width="9.33203125" style="2"/>
    <col min="7" max="7" width="11.83203125" style="2" bestFit="1" customWidth="1"/>
    <col min="8" max="8" width="12.5" style="2" bestFit="1" customWidth="1"/>
    <col min="9" max="16384" width="9.33203125" style="2"/>
  </cols>
  <sheetData>
    <row r="3" spans="2:5" s="1" customFormat="1" ht="15" customHeight="1">
      <c r="B3" s="517" t="s">
        <v>47</v>
      </c>
      <c r="C3" s="517"/>
      <c r="D3" s="517"/>
      <c r="E3" s="517"/>
    </row>
    <row r="4" spans="2:5">
      <c r="E4" s="3"/>
    </row>
    <row r="5" spans="2:5" ht="54" customHeight="1">
      <c r="B5" s="4" t="s">
        <v>2</v>
      </c>
      <c r="C5" s="4" t="s">
        <v>8</v>
      </c>
      <c r="D5" s="5" t="s">
        <v>9</v>
      </c>
      <c r="E5" s="5" t="s">
        <v>10</v>
      </c>
    </row>
    <row r="6" spans="2:5" s="22" customFormat="1" ht="16.5" customHeight="1">
      <c r="B6" s="23">
        <v>1</v>
      </c>
      <c r="C6" s="23">
        <v>2</v>
      </c>
      <c r="D6" s="23">
        <v>3</v>
      </c>
      <c r="E6" s="24">
        <v>4</v>
      </c>
    </row>
    <row r="7" spans="2:5" s="8" customFormat="1" ht="24.75" customHeight="1">
      <c r="B7" s="6" t="s">
        <v>3</v>
      </c>
      <c r="C7" s="7" t="s">
        <v>11</v>
      </c>
      <c r="D7" s="6"/>
      <c r="E7" s="83">
        <f>SUM(E8:E9)</f>
        <v>203035802.72</v>
      </c>
    </row>
    <row r="8" spans="2:5" s="11" customFormat="1" ht="24.75" customHeight="1">
      <c r="B8" s="9"/>
      <c r="C8" s="10" t="s">
        <v>12</v>
      </c>
      <c r="D8" s="9"/>
      <c r="E8" s="82">
        <v>184776183.72</v>
      </c>
    </row>
    <row r="9" spans="2:5" s="11" customFormat="1" ht="24.75" customHeight="1">
      <c r="B9" s="9"/>
      <c r="C9" s="10" t="s">
        <v>13</v>
      </c>
      <c r="D9" s="9"/>
      <c r="E9" s="82">
        <v>18259619</v>
      </c>
    </row>
    <row r="10" spans="2:5" s="8" customFormat="1" ht="24.75" customHeight="1">
      <c r="B10" s="6" t="s">
        <v>4</v>
      </c>
      <c r="C10" s="7" t="s">
        <v>14</v>
      </c>
      <c r="D10" s="6"/>
      <c r="E10" s="84">
        <f>SUM(E11,E12)</f>
        <v>238283688.58000001</v>
      </c>
    </row>
    <row r="11" spans="2:5" s="11" customFormat="1" ht="24.75" customHeight="1">
      <c r="B11" s="9"/>
      <c r="C11" s="10" t="s">
        <v>28</v>
      </c>
      <c r="D11" s="9"/>
      <c r="E11" s="85">
        <v>188216282.55000001</v>
      </c>
    </row>
    <row r="12" spans="2:5" s="11" customFormat="1" ht="24.75" customHeight="1">
      <c r="B12" s="9"/>
      <c r="C12" s="10" t="s">
        <v>15</v>
      </c>
      <c r="D12" s="9"/>
      <c r="E12" s="85">
        <v>50067406.030000001</v>
      </c>
    </row>
    <row r="13" spans="2:5" s="8" customFormat="1" ht="24.75" customHeight="1">
      <c r="B13" s="6" t="s">
        <v>5</v>
      </c>
      <c r="C13" s="7" t="s">
        <v>16</v>
      </c>
      <c r="D13" s="12"/>
      <c r="E13" s="83">
        <f>E7-E10</f>
        <v>-35247885.860000014</v>
      </c>
    </row>
    <row r="14" spans="2:5" ht="24.75" customHeight="1">
      <c r="B14" s="518" t="s">
        <v>17</v>
      </c>
      <c r="C14" s="519"/>
      <c r="D14" s="13"/>
      <c r="E14" s="187">
        <f>E15+E23+E24+E25+E27</f>
        <v>39589885.859999999</v>
      </c>
    </row>
    <row r="15" spans="2:5" ht="81.75" customHeight="1">
      <c r="B15" s="15" t="s">
        <v>3</v>
      </c>
      <c r="C15" s="32" t="s">
        <v>38</v>
      </c>
      <c r="D15" s="6" t="s">
        <v>37</v>
      </c>
      <c r="E15" s="192">
        <f>E17+E20</f>
        <v>16266174.49</v>
      </c>
    </row>
    <row r="16" spans="2:5" ht="18.75" customHeight="1">
      <c r="B16" s="29"/>
      <c r="C16" s="520" t="s">
        <v>33</v>
      </c>
      <c r="D16" s="520"/>
      <c r="E16" s="520"/>
    </row>
    <row r="17" spans="2:8" s="11" customFormat="1" ht="24.95" customHeight="1">
      <c r="B17" s="30"/>
      <c r="C17" s="193" t="s">
        <v>42</v>
      </c>
      <c r="D17" s="31"/>
      <c r="E17" s="191">
        <f>SUM(E18:E19)</f>
        <v>7198476.5800000001</v>
      </c>
    </row>
    <row r="18" spans="2:8" ht="24.95" customHeight="1">
      <c r="B18" s="34"/>
      <c r="C18" s="36" t="s">
        <v>44</v>
      </c>
      <c r="D18" s="35"/>
      <c r="E18" s="186">
        <f>3078800+2412513+900001+166961.02</f>
        <v>6558275.0199999996</v>
      </c>
      <c r="G18" s="28"/>
    </row>
    <row r="19" spans="2:8" ht="24.95" customHeight="1">
      <c r="B19" s="15"/>
      <c r="C19" s="36" t="s">
        <v>300</v>
      </c>
      <c r="D19" s="35"/>
      <c r="E19" s="186">
        <v>640201.56000000006</v>
      </c>
      <c r="G19" s="28"/>
    </row>
    <row r="20" spans="2:8" s="11" customFormat="1" ht="24.95" customHeight="1">
      <c r="B20" s="30"/>
      <c r="C20" s="194" t="s">
        <v>43</v>
      </c>
      <c r="D20" s="30"/>
      <c r="E20" s="304">
        <f>E21+E22</f>
        <v>9067697.9100000001</v>
      </c>
      <c r="H20" s="38"/>
    </row>
    <row r="21" spans="2:8" ht="24.95" customHeight="1">
      <c r="B21" s="34"/>
      <c r="C21" s="37" t="s">
        <v>45</v>
      </c>
      <c r="D21" s="34"/>
      <c r="E21" s="188">
        <f>6813523-0.95</f>
        <v>6813522.0499999998</v>
      </c>
    </row>
    <row r="22" spans="2:8" ht="24.95" customHeight="1">
      <c r="B22" s="34"/>
      <c r="C22" s="37" t="s">
        <v>46</v>
      </c>
      <c r="D22" s="34"/>
      <c r="E22" s="188">
        <f>2254176-0.14</f>
        <v>2254175.86</v>
      </c>
      <c r="H22" s="28"/>
    </row>
    <row r="23" spans="2:8" ht="60.75" customHeight="1">
      <c r="B23" s="15" t="s">
        <v>4</v>
      </c>
      <c r="C23" s="26" t="s">
        <v>39</v>
      </c>
      <c r="D23" s="6" t="s">
        <v>36</v>
      </c>
      <c r="E23" s="84">
        <f>17882+8835+94000+22048-0.5</f>
        <v>142764.5</v>
      </c>
      <c r="G23" s="28"/>
    </row>
    <row r="24" spans="2:8" ht="31.5" customHeight="1">
      <c r="B24" s="15" t="s">
        <v>5</v>
      </c>
      <c r="C24" s="27" t="s">
        <v>40</v>
      </c>
      <c r="D24" s="33" t="s">
        <v>41</v>
      </c>
      <c r="E24" s="84">
        <v>0</v>
      </c>
    </row>
    <row r="25" spans="2:8" ht="31.5" customHeight="1">
      <c r="B25" s="15" t="s">
        <v>6</v>
      </c>
      <c r="C25" s="18" t="s">
        <v>25</v>
      </c>
      <c r="D25" s="6" t="s">
        <v>19</v>
      </c>
      <c r="E25" s="84">
        <f>435715+888747+24000+5000+1000+50000+642500+4860+4029900+3250-270+281854-2231006.96+50000+173679.83+60000+20+555000+263223-956525</f>
        <v>4280946.87</v>
      </c>
    </row>
    <row r="26" spans="2:8" ht="32.25" customHeight="1">
      <c r="B26" s="15" t="s">
        <v>7</v>
      </c>
      <c r="C26" s="25" t="s">
        <v>29</v>
      </c>
      <c r="D26" s="6" t="s">
        <v>30</v>
      </c>
      <c r="E26" s="189">
        <v>0</v>
      </c>
    </row>
    <row r="27" spans="2:8" ht="24.75" customHeight="1">
      <c r="B27" s="15" t="s">
        <v>35</v>
      </c>
      <c r="C27" s="16" t="s">
        <v>23</v>
      </c>
      <c r="D27" s="6" t="s">
        <v>18</v>
      </c>
      <c r="E27" s="84">
        <v>18900000</v>
      </c>
    </row>
    <row r="28" spans="2:8" ht="27" customHeight="1">
      <c r="B28" s="15" t="s">
        <v>34</v>
      </c>
      <c r="C28" s="18" t="s">
        <v>24</v>
      </c>
      <c r="D28" s="6" t="s">
        <v>18</v>
      </c>
      <c r="E28" s="190">
        <v>0</v>
      </c>
    </row>
    <row r="29" spans="2:8" ht="24.75" customHeight="1">
      <c r="B29" s="518" t="s">
        <v>20</v>
      </c>
      <c r="C29" s="519"/>
      <c r="D29" s="19"/>
      <c r="E29" s="14">
        <f>SUM(E30:E32)</f>
        <v>4342000</v>
      </c>
    </row>
    <row r="30" spans="2:8" ht="24.75" customHeight="1">
      <c r="B30" s="15" t="s">
        <v>3</v>
      </c>
      <c r="C30" s="18" t="s">
        <v>32</v>
      </c>
      <c r="D30" s="6" t="s">
        <v>31</v>
      </c>
      <c r="E30" s="17">
        <v>0</v>
      </c>
    </row>
    <row r="31" spans="2:8" ht="24.75" customHeight="1">
      <c r="B31" s="15" t="s">
        <v>4</v>
      </c>
      <c r="C31" s="18" t="s">
        <v>26</v>
      </c>
      <c r="D31" s="6" t="s">
        <v>21</v>
      </c>
      <c r="E31" s="17">
        <v>4342000</v>
      </c>
    </row>
    <row r="32" spans="2:8" ht="24.75" customHeight="1">
      <c r="B32" s="15" t="s">
        <v>5</v>
      </c>
      <c r="C32" s="18" t="s">
        <v>27</v>
      </c>
      <c r="D32" s="6" t="s">
        <v>21</v>
      </c>
      <c r="E32" s="17">
        <v>0</v>
      </c>
    </row>
    <row r="33" spans="2:5" ht="21.75" customHeight="1">
      <c r="B33" s="20"/>
      <c r="D33" s="20"/>
      <c r="E33" s="21"/>
    </row>
    <row r="34" spans="2:5" ht="24.75" customHeight="1"/>
    <row r="35" spans="2:5" ht="24.75" customHeight="1"/>
    <row r="36" spans="2:5" ht="24.75" customHeight="1"/>
  </sheetData>
  <sheetProtection algorithmName="SHA-512" hashValue="adZJCfQGByKZl3o4feQKWWjWONOkI93CvxKFkwGo18cPJOc9BDGo000lXQeiU+4GQxlS12KBtAJ9N7sDItwuvw==" saltValue="64v5mMMsjEWT1Ioc9/iqhw==" spinCount="100000" sheet="1" formatColumns="0" formatRows="0"/>
  <mergeCells count="4">
    <mergeCell ref="B3:E3"/>
    <mergeCell ref="B14:C14"/>
    <mergeCell ref="B29:C29"/>
    <mergeCell ref="C16:E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86" orientation="portrait" verticalDpi="300" r:id="rId1"/>
  <headerFooter differentOddEven="1" differentFirst="1" alignWithMargins="0">
    <firstHeader>&amp;R&amp;10Tabela Nr 3 
do uchwały Nr ...............
Rady Powiatu  Otwockiego
z dnia .......................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4BB6-C561-49F4-BAEA-BCF699B598FA}">
  <sheetPr>
    <tabColor rgb="FF92D050"/>
    <pageSetUpPr fitToPage="1"/>
  </sheetPr>
  <dimension ref="A2:F187"/>
  <sheetViews>
    <sheetView zoomScaleNormal="100" workbookViewId="0">
      <pane ySplit="5" topLeftCell="A30" activePane="bottomLeft" state="frozen"/>
      <selection pane="bottomLeft" activeCell="A30" sqref="A30:XFD30"/>
    </sheetView>
  </sheetViews>
  <sheetFormatPr defaultRowHeight="12.75"/>
  <cols>
    <col min="1" max="1" width="6.33203125" style="421" customWidth="1"/>
    <col min="2" max="3" width="9.5" style="421" customWidth="1"/>
    <col min="4" max="4" width="63.6640625" style="421" customWidth="1"/>
    <col min="5" max="6" width="17.83203125" style="421" customWidth="1"/>
    <col min="7" max="240" width="9.33203125" style="421"/>
    <col min="241" max="241" width="3" style="421" customWidth="1"/>
    <col min="242" max="242" width="5.33203125" style="421" customWidth="1"/>
    <col min="243" max="243" width="5.6640625" style="421" customWidth="1"/>
    <col min="244" max="244" width="22" style="421" customWidth="1"/>
    <col min="245" max="246" width="10.5" style="421" customWidth="1"/>
    <col min="247" max="247" width="8.33203125" style="421" customWidth="1"/>
    <col min="248" max="248" width="10.5" style="421" customWidth="1"/>
    <col min="249" max="249" width="9" style="421" customWidth="1"/>
    <col min="250" max="253" width="8.33203125" style="421" customWidth="1"/>
    <col min="254" max="254" width="9" style="421" customWidth="1"/>
    <col min="255" max="255" width="8.33203125" style="421" customWidth="1"/>
    <col min="256" max="256" width="5.5" style="421" customWidth="1"/>
    <col min="257" max="257" width="2.83203125" style="421" customWidth="1"/>
    <col min="258" max="258" width="2" style="421" customWidth="1"/>
    <col min="259" max="259" width="6.5" style="421" customWidth="1"/>
    <col min="260" max="260" width="8.5" style="421" customWidth="1"/>
    <col min="261" max="496" width="9.33203125" style="421"/>
    <col min="497" max="497" width="3" style="421" customWidth="1"/>
    <col min="498" max="498" width="5.33203125" style="421" customWidth="1"/>
    <col min="499" max="499" width="5.6640625" style="421" customWidth="1"/>
    <col min="500" max="500" width="22" style="421" customWidth="1"/>
    <col min="501" max="502" width="10.5" style="421" customWidth="1"/>
    <col min="503" max="503" width="8.33203125" style="421" customWidth="1"/>
    <col min="504" max="504" width="10.5" style="421" customWidth="1"/>
    <col min="505" max="505" width="9" style="421" customWidth="1"/>
    <col min="506" max="509" width="8.33203125" style="421" customWidth="1"/>
    <col min="510" max="510" width="9" style="421" customWidth="1"/>
    <col min="511" max="511" width="8.33203125" style="421" customWidth="1"/>
    <col min="512" max="512" width="5.5" style="421" customWidth="1"/>
    <col min="513" max="513" width="2.83203125" style="421" customWidth="1"/>
    <col min="514" max="514" width="2" style="421" customWidth="1"/>
    <col min="515" max="515" width="6.5" style="421" customWidth="1"/>
    <col min="516" max="516" width="8.5" style="421" customWidth="1"/>
    <col min="517" max="752" width="9.33203125" style="421"/>
    <col min="753" max="753" width="3" style="421" customWidth="1"/>
    <col min="754" max="754" width="5.33203125" style="421" customWidth="1"/>
    <col min="755" max="755" width="5.6640625" style="421" customWidth="1"/>
    <col min="756" max="756" width="22" style="421" customWidth="1"/>
    <col min="757" max="758" width="10.5" style="421" customWidth="1"/>
    <col min="759" max="759" width="8.33203125" style="421" customWidth="1"/>
    <col min="760" max="760" width="10.5" style="421" customWidth="1"/>
    <col min="761" max="761" width="9" style="421" customWidth="1"/>
    <col min="762" max="765" width="8.33203125" style="421" customWidth="1"/>
    <col min="766" max="766" width="9" style="421" customWidth="1"/>
    <col min="767" max="767" width="8.33203125" style="421" customWidth="1"/>
    <col min="768" max="768" width="5.5" style="421" customWidth="1"/>
    <col min="769" max="769" width="2.83203125" style="421" customWidth="1"/>
    <col min="770" max="770" width="2" style="421" customWidth="1"/>
    <col min="771" max="771" width="6.5" style="421" customWidth="1"/>
    <col min="772" max="772" width="8.5" style="421" customWidth="1"/>
    <col min="773" max="1008" width="9.33203125" style="421"/>
    <col min="1009" max="1009" width="3" style="421" customWidth="1"/>
    <col min="1010" max="1010" width="5.33203125" style="421" customWidth="1"/>
    <col min="1011" max="1011" width="5.6640625" style="421" customWidth="1"/>
    <col min="1012" max="1012" width="22" style="421" customWidth="1"/>
    <col min="1013" max="1014" width="10.5" style="421" customWidth="1"/>
    <col min="1015" max="1015" width="8.33203125" style="421" customWidth="1"/>
    <col min="1016" max="1016" width="10.5" style="421" customWidth="1"/>
    <col min="1017" max="1017" width="9" style="421" customWidth="1"/>
    <col min="1018" max="1021" width="8.33203125" style="421" customWidth="1"/>
    <col min="1022" max="1022" width="9" style="421" customWidth="1"/>
    <col min="1023" max="1023" width="8.33203125" style="421" customWidth="1"/>
    <col min="1024" max="1024" width="5.5" style="421" customWidth="1"/>
    <col min="1025" max="1025" width="2.83203125" style="421" customWidth="1"/>
    <col min="1026" max="1026" width="2" style="421" customWidth="1"/>
    <col min="1027" max="1027" width="6.5" style="421" customWidth="1"/>
    <col min="1028" max="1028" width="8.5" style="421" customWidth="1"/>
    <col min="1029" max="1264" width="9.33203125" style="421"/>
    <col min="1265" max="1265" width="3" style="421" customWidth="1"/>
    <col min="1266" max="1266" width="5.33203125" style="421" customWidth="1"/>
    <col min="1267" max="1267" width="5.6640625" style="421" customWidth="1"/>
    <col min="1268" max="1268" width="22" style="421" customWidth="1"/>
    <col min="1269" max="1270" width="10.5" style="421" customWidth="1"/>
    <col min="1271" max="1271" width="8.33203125" style="421" customWidth="1"/>
    <col min="1272" max="1272" width="10.5" style="421" customWidth="1"/>
    <col min="1273" max="1273" width="9" style="421" customWidth="1"/>
    <col min="1274" max="1277" width="8.33203125" style="421" customWidth="1"/>
    <col min="1278" max="1278" width="9" style="421" customWidth="1"/>
    <col min="1279" max="1279" width="8.33203125" style="421" customWidth="1"/>
    <col min="1280" max="1280" width="5.5" style="421" customWidth="1"/>
    <col min="1281" max="1281" width="2.83203125" style="421" customWidth="1"/>
    <col min="1282" max="1282" width="2" style="421" customWidth="1"/>
    <col min="1283" max="1283" width="6.5" style="421" customWidth="1"/>
    <col min="1284" max="1284" width="8.5" style="421" customWidth="1"/>
    <col min="1285" max="1520" width="9.33203125" style="421"/>
    <col min="1521" max="1521" width="3" style="421" customWidth="1"/>
    <col min="1522" max="1522" width="5.33203125" style="421" customWidth="1"/>
    <col min="1523" max="1523" width="5.6640625" style="421" customWidth="1"/>
    <col min="1524" max="1524" width="22" style="421" customWidth="1"/>
    <col min="1525" max="1526" width="10.5" style="421" customWidth="1"/>
    <col min="1527" max="1527" width="8.33203125" style="421" customWidth="1"/>
    <col min="1528" max="1528" width="10.5" style="421" customWidth="1"/>
    <col min="1529" max="1529" width="9" style="421" customWidth="1"/>
    <col min="1530" max="1533" width="8.33203125" style="421" customWidth="1"/>
    <col min="1534" max="1534" width="9" style="421" customWidth="1"/>
    <col min="1535" max="1535" width="8.33203125" style="421" customWidth="1"/>
    <col min="1536" max="1536" width="5.5" style="421" customWidth="1"/>
    <col min="1537" max="1537" width="2.83203125" style="421" customWidth="1"/>
    <col min="1538" max="1538" width="2" style="421" customWidth="1"/>
    <col min="1539" max="1539" width="6.5" style="421" customWidth="1"/>
    <col min="1540" max="1540" width="8.5" style="421" customWidth="1"/>
    <col min="1541" max="1776" width="9.33203125" style="421"/>
    <col min="1777" max="1777" width="3" style="421" customWidth="1"/>
    <col min="1778" max="1778" width="5.33203125" style="421" customWidth="1"/>
    <col min="1779" max="1779" width="5.6640625" style="421" customWidth="1"/>
    <col min="1780" max="1780" width="22" style="421" customWidth="1"/>
    <col min="1781" max="1782" width="10.5" style="421" customWidth="1"/>
    <col min="1783" max="1783" width="8.33203125" style="421" customWidth="1"/>
    <col min="1784" max="1784" width="10.5" style="421" customWidth="1"/>
    <col min="1785" max="1785" width="9" style="421" customWidth="1"/>
    <col min="1786" max="1789" width="8.33203125" style="421" customWidth="1"/>
    <col min="1790" max="1790" width="9" style="421" customWidth="1"/>
    <col min="1791" max="1791" width="8.33203125" style="421" customWidth="1"/>
    <col min="1792" max="1792" width="5.5" style="421" customWidth="1"/>
    <col min="1793" max="1793" width="2.83203125" style="421" customWidth="1"/>
    <col min="1794" max="1794" width="2" style="421" customWidth="1"/>
    <col min="1795" max="1795" width="6.5" style="421" customWidth="1"/>
    <col min="1796" max="1796" width="8.5" style="421" customWidth="1"/>
    <col min="1797" max="2032" width="9.33203125" style="421"/>
    <col min="2033" max="2033" width="3" style="421" customWidth="1"/>
    <col min="2034" max="2034" width="5.33203125" style="421" customWidth="1"/>
    <col min="2035" max="2035" width="5.6640625" style="421" customWidth="1"/>
    <col min="2036" max="2036" width="22" style="421" customWidth="1"/>
    <col min="2037" max="2038" width="10.5" style="421" customWidth="1"/>
    <col min="2039" max="2039" width="8.33203125" style="421" customWidth="1"/>
    <col min="2040" max="2040" width="10.5" style="421" customWidth="1"/>
    <col min="2041" max="2041" width="9" style="421" customWidth="1"/>
    <col min="2042" max="2045" width="8.33203125" style="421" customWidth="1"/>
    <col min="2046" max="2046" width="9" style="421" customWidth="1"/>
    <col min="2047" max="2047" width="8.33203125" style="421" customWidth="1"/>
    <col min="2048" max="2048" width="5.5" style="421" customWidth="1"/>
    <col min="2049" max="2049" width="2.83203125" style="421" customWidth="1"/>
    <col min="2050" max="2050" width="2" style="421" customWidth="1"/>
    <col min="2051" max="2051" width="6.5" style="421" customWidth="1"/>
    <col min="2052" max="2052" width="8.5" style="421" customWidth="1"/>
    <col min="2053" max="2288" width="9.33203125" style="421"/>
    <col min="2289" max="2289" width="3" style="421" customWidth="1"/>
    <col min="2290" max="2290" width="5.33203125" style="421" customWidth="1"/>
    <col min="2291" max="2291" width="5.6640625" style="421" customWidth="1"/>
    <col min="2292" max="2292" width="22" style="421" customWidth="1"/>
    <col min="2293" max="2294" width="10.5" style="421" customWidth="1"/>
    <col min="2295" max="2295" width="8.33203125" style="421" customWidth="1"/>
    <col min="2296" max="2296" width="10.5" style="421" customWidth="1"/>
    <col min="2297" max="2297" width="9" style="421" customWidth="1"/>
    <col min="2298" max="2301" width="8.33203125" style="421" customWidth="1"/>
    <col min="2302" max="2302" width="9" style="421" customWidth="1"/>
    <col min="2303" max="2303" width="8.33203125" style="421" customWidth="1"/>
    <col min="2304" max="2304" width="5.5" style="421" customWidth="1"/>
    <col min="2305" max="2305" width="2.83203125" style="421" customWidth="1"/>
    <col min="2306" max="2306" width="2" style="421" customWidth="1"/>
    <col min="2307" max="2307" width="6.5" style="421" customWidth="1"/>
    <col min="2308" max="2308" width="8.5" style="421" customWidth="1"/>
    <col min="2309" max="2544" width="9.33203125" style="421"/>
    <col min="2545" max="2545" width="3" style="421" customWidth="1"/>
    <col min="2546" max="2546" width="5.33203125" style="421" customWidth="1"/>
    <col min="2547" max="2547" width="5.6640625" style="421" customWidth="1"/>
    <col min="2548" max="2548" width="22" style="421" customWidth="1"/>
    <col min="2549" max="2550" width="10.5" style="421" customWidth="1"/>
    <col min="2551" max="2551" width="8.33203125" style="421" customWidth="1"/>
    <col min="2552" max="2552" width="10.5" style="421" customWidth="1"/>
    <col min="2553" max="2553" width="9" style="421" customWidth="1"/>
    <col min="2554" max="2557" width="8.33203125" style="421" customWidth="1"/>
    <col min="2558" max="2558" width="9" style="421" customWidth="1"/>
    <col min="2559" max="2559" width="8.33203125" style="421" customWidth="1"/>
    <col min="2560" max="2560" width="5.5" style="421" customWidth="1"/>
    <col min="2561" max="2561" width="2.83203125" style="421" customWidth="1"/>
    <col min="2562" max="2562" width="2" style="421" customWidth="1"/>
    <col min="2563" max="2563" width="6.5" style="421" customWidth="1"/>
    <col min="2564" max="2564" width="8.5" style="421" customWidth="1"/>
    <col min="2565" max="2800" width="9.33203125" style="421"/>
    <col min="2801" max="2801" width="3" style="421" customWidth="1"/>
    <col min="2802" max="2802" width="5.33203125" style="421" customWidth="1"/>
    <col min="2803" max="2803" width="5.6640625" style="421" customWidth="1"/>
    <col min="2804" max="2804" width="22" style="421" customWidth="1"/>
    <col min="2805" max="2806" width="10.5" style="421" customWidth="1"/>
    <col min="2807" max="2807" width="8.33203125" style="421" customWidth="1"/>
    <col min="2808" max="2808" width="10.5" style="421" customWidth="1"/>
    <col min="2809" max="2809" width="9" style="421" customWidth="1"/>
    <col min="2810" max="2813" width="8.33203125" style="421" customWidth="1"/>
    <col min="2814" max="2814" width="9" style="421" customWidth="1"/>
    <col min="2815" max="2815" width="8.33203125" style="421" customWidth="1"/>
    <col min="2816" max="2816" width="5.5" style="421" customWidth="1"/>
    <col min="2817" max="2817" width="2.83203125" style="421" customWidth="1"/>
    <col min="2818" max="2818" width="2" style="421" customWidth="1"/>
    <col min="2819" max="2819" width="6.5" style="421" customWidth="1"/>
    <col min="2820" max="2820" width="8.5" style="421" customWidth="1"/>
    <col min="2821" max="3056" width="9.33203125" style="421"/>
    <col min="3057" max="3057" width="3" style="421" customWidth="1"/>
    <col min="3058" max="3058" width="5.33203125" style="421" customWidth="1"/>
    <col min="3059" max="3059" width="5.6640625" style="421" customWidth="1"/>
    <col min="3060" max="3060" width="22" style="421" customWidth="1"/>
    <col min="3061" max="3062" width="10.5" style="421" customWidth="1"/>
    <col min="3063" max="3063" width="8.33203125" style="421" customWidth="1"/>
    <col min="3064" max="3064" width="10.5" style="421" customWidth="1"/>
    <col min="3065" max="3065" width="9" style="421" customWidth="1"/>
    <col min="3066" max="3069" width="8.33203125" style="421" customWidth="1"/>
    <col min="3070" max="3070" width="9" style="421" customWidth="1"/>
    <col min="3071" max="3071" width="8.33203125" style="421" customWidth="1"/>
    <col min="3072" max="3072" width="5.5" style="421" customWidth="1"/>
    <col min="3073" max="3073" width="2.83203125" style="421" customWidth="1"/>
    <col min="3074" max="3074" width="2" style="421" customWidth="1"/>
    <col min="3075" max="3075" width="6.5" style="421" customWidth="1"/>
    <col min="3076" max="3076" width="8.5" style="421" customWidth="1"/>
    <col min="3077" max="3312" width="9.33203125" style="421"/>
    <col min="3313" max="3313" width="3" style="421" customWidth="1"/>
    <col min="3314" max="3314" width="5.33203125" style="421" customWidth="1"/>
    <col min="3315" max="3315" width="5.6640625" style="421" customWidth="1"/>
    <col min="3316" max="3316" width="22" style="421" customWidth="1"/>
    <col min="3317" max="3318" width="10.5" style="421" customWidth="1"/>
    <col min="3319" max="3319" width="8.33203125" style="421" customWidth="1"/>
    <col min="3320" max="3320" width="10.5" style="421" customWidth="1"/>
    <col min="3321" max="3321" width="9" style="421" customWidth="1"/>
    <col min="3322" max="3325" width="8.33203125" style="421" customWidth="1"/>
    <col min="3326" max="3326" width="9" style="421" customWidth="1"/>
    <col min="3327" max="3327" width="8.33203125" style="421" customWidth="1"/>
    <col min="3328" max="3328" width="5.5" style="421" customWidth="1"/>
    <col min="3329" max="3329" width="2.83203125" style="421" customWidth="1"/>
    <col min="3330" max="3330" width="2" style="421" customWidth="1"/>
    <col min="3331" max="3331" width="6.5" style="421" customWidth="1"/>
    <col min="3332" max="3332" width="8.5" style="421" customWidth="1"/>
    <col min="3333" max="3568" width="9.33203125" style="421"/>
    <col min="3569" max="3569" width="3" style="421" customWidth="1"/>
    <col min="3570" max="3570" width="5.33203125" style="421" customWidth="1"/>
    <col min="3571" max="3571" width="5.6640625" style="421" customWidth="1"/>
    <col min="3572" max="3572" width="22" style="421" customWidth="1"/>
    <col min="3573" max="3574" width="10.5" style="421" customWidth="1"/>
    <col min="3575" max="3575" width="8.33203125" style="421" customWidth="1"/>
    <col min="3576" max="3576" width="10.5" style="421" customWidth="1"/>
    <col min="3577" max="3577" width="9" style="421" customWidth="1"/>
    <col min="3578" max="3581" width="8.33203125" style="421" customWidth="1"/>
    <col min="3582" max="3582" width="9" style="421" customWidth="1"/>
    <col min="3583" max="3583" width="8.33203125" style="421" customWidth="1"/>
    <col min="3584" max="3584" width="5.5" style="421" customWidth="1"/>
    <col min="3585" max="3585" width="2.83203125" style="421" customWidth="1"/>
    <col min="3586" max="3586" width="2" style="421" customWidth="1"/>
    <col min="3587" max="3587" width="6.5" style="421" customWidth="1"/>
    <col min="3588" max="3588" width="8.5" style="421" customWidth="1"/>
    <col min="3589" max="3824" width="9.33203125" style="421"/>
    <col min="3825" max="3825" width="3" style="421" customWidth="1"/>
    <col min="3826" max="3826" width="5.33203125" style="421" customWidth="1"/>
    <col min="3827" max="3827" width="5.6640625" style="421" customWidth="1"/>
    <col min="3828" max="3828" width="22" style="421" customWidth="1"/>
    <col min="3829" max="3830" width="10.5" style="421" customWidth="1"/>
    <col min="3831" max="3831" width="8.33203125" style="421" customWidth="1"/>
    <col min="3832" max="3832" width="10.5" style="421" customWidth="1"/>
    <col min="3833" max="3833" width="9" style="421" customWidth="1"/>
    <col min="3834" max="3837" width="8.33203125" style="421" customWidth="1"/>
    <col min="3838" max="3838" width="9" style="421" customWidth="1"/>
    <col min="3839" max="3839" width="8.33203125" style="421" customWidth="1"/>
    <col min="3840" max="3840" width="5.5" style="421" customWidth="1"/>
    <col min="3841" max="3841" width="2.83203125" style="421" customWidth="1"/>
    <col min="3842" max="3842" width="2" style="421" customWidth="1"/>
    <col min="3843" max="3843" width="6.5" style="421" customWidth="1"/>
    <col min="3844" max="3844" width="8.5" style="421" customWidth="1"/>
    <col min="3845" max="4080" width="9.33203125" style="421"/>
    <col min="4081" max="4081" width="3" style="421" customWidth="1"/>
    <col min="4082" max="4082" width="5.33203125" style="421" customWidth="1"/>
    <col min="4083" max="4083" width="5.6640625" style="421" customWidth="1"/>
    <col min="4084" max="4084" width="22" style="421" customWidth="1"/>
    <col min="4085" max="4086" width="10.5" style="421" customWidth="1"/>
    <col min="4087" max="4087" width="8.33203125" style="421" customWidth="1"/>
    <col min="4088" max="4088" width="10.5" style="421" customWidth="1"/>
    <col min="4089" max="4089" width="9" style="421" customWidth="1"/>
    <col min="4090" max="4093" width="8.33203125" style="421" customWidth="1"/>
    <col min="4094" max="4094" width="9" style="421" customWidth="1"/>
    <col min="4095" max="4095" width="8.33203125" style="421" customWidth="1"/>
    <col min="4096" max="4096" width="5.5" style="421" customWidth="1"/>
    <col min="4097" max="4097" width="2.83203125" style="421" customWidth="1"/>
    <col min="4098" max="4098" width="2" style="421" customWidth="1"/>
    <col min="4099" max="4099" width="6.5" style="421" customWidth="1"/>
    <col min="4100" max="4100" width="8.5" style="421" customWidth="1"/>
    <col min="4101" max="4336" width="9.33203125" style="421"/>
    <col min="4337" max="4337" width="3" style="421" customWidth="1"/>
    <col min="4338" max="4338" width="5.33203125" style="421" customWidth="1"/>
    <col min="4339" max="4339" width="5.6640625" style="421" customWidth="1"/>
    <col min="4340" max="4340" width="22" style="421" customWidth="1"/>
    <col min="4341" max="4342" width="10.5" style="421" customWidth="1"/>
    <col min="4343" max="4343" width="8.33203125" style="421" customWidth="1"/>
    <col min="4344" max="4344" width="10.5" style="421" customWidth="1"/>
    <col min="4345" max="4345" width="9" style="421" customWidth="1"/>
    <col min="4346" max="4349" width="8.33203125" style="421" customWidth="1"/>
    <col min="4350" max="4350" width="9" style="421" customWidth="1"/>
    <col min="4351" max="4351" width="8.33203125" style="421" customWidth="1"/>
    <col min="4352" max="4352" width="5.5" style="421" customWidth="1"/>
    <col min="4353" max="4353" width="2.83203125" style="421" customWidth="1"/>
    <col min="4354" max="4354" width="2" style="421" customWidth="1"/>
    <col min="4355" max="4355" width="6.5" style="421" customWidth="1"/>
    <col min="4356" max="4356" width="8.5" style="421" customWidth="1"/>
    <col min="4357" max="4592" width="9.33203125" style="421"/>
    <col min="4593" max="4593" width="3" style="421" customWidth="1"/>
    <col min="4594" max="4594" width="5.33203125" style="421" customWidth="1"/>
    <col min="4595" max="4595" width="5.6640625" style="421" customWidth="1"/>
    <col min="4596" max="4596" width="22" style="421" customWidth="1"/>
    <col min="4597" max="4598" width="10.5" style="421" customWidth="1"/>
    <col min="4599" max="4599" width="8.33203125" style="421" customWidth="1"/>
    <col min="4600" max="4600" width="10.5" style="421" customWidth="1"/>
    <col min="4601" max="4601" width="9" style="421" customWidth="1"/>
    <col min="4602" max="4605" width="8.33203125" style="421" customWidth="1"/>
    <col min="4606" max="4606" width="9" style="421" customWidth="1"/>
    <col min="4607" max="4607" width="8.33203125" style="421" customWidth="1"/>
    <col min="4608" max="4608" width="5.5" style="421" customWidth="1"/>
    <col min="4609" max="4609" width="2.83203125" style="421" customWidth="1"/>
    <col min="4610" max="4610" width="2" style="421" customWidth="1"/>
    <col min="4611" max="4611" width="6.5" style="421" customWidth="1"/>
    <col min="4612" max="4612" width="8.5" style="421" customWidth="1"/>
    <col min="4613" max="4848" width="9.33203125" style="421"/>
    <col min="4849" max="4849" width="3" style="421" customWidth="1"/>
    <col min="4850" max="4850" width="5.33203125" style="421" customWidth="1"/>
    <col min="4851" max="4851" width="5.6640625" style="421" customWidth="1"/>
    <col min="4852" max="4852" width="22" style="421" customWidth="1"/>
    <col min="4853" max="4854" width="10.5" style="421" customWidth="1"/>
    <col min="4855" max="4855" width="8.33203125" style="421" customWidth="1"/>
    <col min="4856" max="4856" width="10.5" style="421" customWidth="1"/>
    <col min="4857" max="4857" width="9" style="421" customWidth="1"/>
    <col min="4858" max="4861" width="8.33203125" style="421" customWidth="1"/>
    <col min="4862" max="4862" width="9" style="421" customWidth="1"/>
    <col min="4863" max="4863" width="8.33203125" style="421" customWidth="1"/>
    <col min="4864" max="4864" width="5.5" style="421" customWidth="1"/>
    <col min="4865" max="4865" width="2.83203125" style="421" customWidth="1"/>
    <col min="4866" max="4866" width="2" style="421" customWidth="1"/>
    <col min="4867" max="4867" width="6.5" style="421" customWidth="1"/>
    <col min="4868" max="4868" width="8.5" style="421" customWidth="1"/>
    <col min="4869" max="5104" width="9.33203125" style="421"/>
    <col min="5105" max="5105" width="3" style="421" customWidth="1"/>
    <col min="5106" max="5106" width="5.33203125" style="421" customWidth="1"/>
    <col min="5107" max="5107" width="5.6640625" style="421" customWidth="1"/>
    <col min="5108" max="5108" width="22" style="421" customWidth="1"/>
    <col min="5109" max="5110" width="10.5" style="421" customWidth="1"/>
    <col min="5111" max="5111" width="8.33203125" style="421" customWidth="1"/>
    <col min="5112" max="5112" width="10.5" style="421" customWidth="1"/>
    <col min="5113" max="5113" width="9" style="421" customWidth="1"/>
    <col min="5114" max="5117" width="8.33203125" style="421" customWidth="1"/>
    <col min="5118" max="5118" width="9" style="421" customWidth="1"/>
    <col min="5119" max="5119" width="8.33203125" style="421" customWidth="1"/>
    <col min="5120" max="5120" width="5.5" style="421" customWidth="1"/>
    <col min="5121" max="5121" width="2.83203125" style="421" customWidth="1"/>
    <col min="5122" max="5122" width="2" style="421" customWidth="1"/>
    <col min="5123" max="5123" width="6.5" style="421" customWidth="1"/>
    <col min="5124" max="5124" width="8.5" style="421" customWidth="1"/>
    <col min="5125" max="5360" width="9.33203125" style="421"/>
    <col min="5361" max="5361" width="3" style="421" customWidth="1"/>
    <col min="5362" max="5362" width="5.33203125" style="421" customWidth="1"/>
    <col min="5363" max="5363" width="5.6640625" style="421" customWidth="1"/>
    <col min="5364" max="5364" width="22" style="421" customWidth="1"/>
    <col min="5365" max="5366" width="10.5" style="421" customWidth="1"/>
    <col min="5367" max="5367" width="8.33203125" style="421" customWidth="1"/>
    <col min="5368" max="5368" width="10.5" style="421" customWidth="1"/>
    <col min="5369" max="5369" width="9" style="421" customWidth="1"/>
    <col min="5370" max="5373" width="8.33203125" style="421" customWidth="1"/>
    <col min="5374" max="5374" width="9" style="421" customWidth="1"/>
    <col min="5375" max="5375" width="8.33203125" style="421" customWidth="1"/>
    <col min="5376" max="5376" width="5.5" style="421" customWidth="1"/>
    <col min="5377" max="5377" width="2.83203125" style="421" customWidth="1"/>
    <col min="5378" max="5378" width="2" style="421" customWidth="1"/>
    <col min="5379" max="5379" width="6.5" style="421" customWidth="1"/>
    <col min="5380" max="5380" width="8.5" style="421" customWidth="1"/>
    <col min="5381" max="5616" width="9.33203125" style="421"/>
    <col min="5617" max="5617" width="3" style="421" customWidth="1"/>
    <col min="5618" max="5618" width="5.33203125" style="421" customWidth="1"/>
    <col min="5619" max="5619" width="5.6640625" style="421" customWidth="1"/>
    <col min="5620" max="5620" width="22" style="421" customWidth="1"/>
    <col min="5621" max="5622" width="10.5" style="421" customWidth="1"/>
    <col min="5623" max="5623" width="8.33203125" style="421" customWidth="1"/>
    <col min="5624" max="5624" width="10.5" style="421" customWidth="1"/>
    <col min="5625" max="5625" width="9" style="421" customWidth="1"/>
    <col min="5626" max="5629" width="8.33203125" style="421" customWidth="1"/>
    <col min="5630" max="5630" width="9" style="421" customWidth="1"/>
    <col min="5631" max="5631" width="8.33203125" style="421" customWidth="1"/>
    <col min="5632" max="5632" width="5.5" style="421" customWidth="1"/>
    <col min="5633" max="5633" width="2.83203125" style="421" customWidth="1"/>
    <col min="5634" max="5634" width="2" style="421" customWidth="1"/>
    <col min="5635" max="5635" width="6.5" style="421" customWidth="1"/>
    <col min="5636" max="5636" width="8.5" style="421" customWidth="1"/>
    <col min="5637" max="5872" width="9.33203125" style="421"/>
    <col min="5873" max="5873" width="3" style="421" customWidth="1"/>
    <col min="5874" max="5874" width="5.33203125" style="421" customWidth="1"/>
    <col min="5875" max="5875" width="5.6640625" style="421" customWidth="1"/>
    <col min="5876" max="5876" width="22" style="421" customWidth="1"/>
    <col min="5877" max="5878" width="10.5" style="421" customWidth="1"/>
    <col min="5879" max="5879" width="8.33203125" style="421" customWidth="1"/>
    <col min="5880" max="5880" width="10.5" style="421" customWidth="1"/>
    <col min="5881" max="5881" width="9" style="421" customWidth="1"/>
    <col min="5882" max="5885" width="8.33203125" style="421" customWidth="1"/>
    <col min="5886" max="5886" width="9" style="421" customWidth="1"/>
    <col min="5887" max="5887" width="8.33203125" style="421" customWidth="1"/>
    <col min="5888" max="5888" width="5.5" style="421" customWidth="1"/>
    <col min="5889" max="5889" width="2.83203125" style="421" customWidth="1"/>
    <col min="5890" max="5890" width="2" style="421" customWidth="1"/>
    <col min="5891" max="5891" width="6.5" style="421" customWidth="1"/>
    <col min="5892" max="5892" width="8.5" style="421" customWidth="1"/>
    <col min="5893" max="6128" width="9.33203125" style="421"/>
    <col min="6129" max="6129" width="3" style="421" customWidth="1"/>
    <col min="6130" max="6130" width="5.33203125" style="421" customWidth="1"/>
    <col min="6131" max="6131" width="5.6640625" style="421" customWidth="1"/>
    <col min="6132" max="6132" width="22" style="421" customWidth="1"/>
    <col min="6133" max="6134" width="10.5" style="421" customWidth="1"/>
    <col min="6135" max="6135" width="8.33203125" style="421" customWidth="1"/>
    <col min="6136" max="6136" width="10.5" style="421" customWidth="1"/>
    <col min="6137" max="6137" width="9" style="421" customWidth="1"/>
    <col min="6138" max="6141" width="8.33203125" style="421" customWidth="1"/>
    <col min="6142" max="6142" width="9" style="421" customWidth="1"/>
    <col min="6143" max="6143" width="8.33203125" style="421" customWidth="1"/>
    <col min="6144" max="6144" width="5.5" style="421" customWidth="1"/>
    <col min="6145" max="6145" width="2.83203125" style="421" customWidth="1"/>
    <col min="6146" max="6146" width="2" style="421" customWidth="1"/>
    <col min="6147" max="6147" width="6.5" style="421" customWidth="1"/>
    <col min="6148" max="6148" width="8.5" style="421" customWidth="1"/>
    <col min="6149" max="6384" width="9.33203125" style="421"/>
    <col min="6385" max="6385" width="3" style="421" customWidth="1"/>
    <col min="6386" max="6386" width="5.33203125" style="421" customWidth="1"/>
    <col min="6387" max="6387" width="5.6640625" style="421" customWidth="1"/>
    <col min="6388" max="6388" width="22" style="421" customWidth="1"/>
    <col min="6389" max="6390" width="10.5" style="421" customWidth="1"/>
    <col min="6391" max="6391" width="8.33203125" style="421" customWidth="1"/>
    <col min="6392" max="6392" width="10.5" style="421" customWidth="1"/>
    <col min="6393" max="6393" width="9" style="421" customWidth="1"/>
    <col min="6394" max="6397" width="8.33203125" style="421" customWidth="1"/>
    <col min="6398" max="6398" width="9" style="421" customWidth="1"/>
    <col min="6399" max="6399" width="8.33203125" style="421" customWidth="1"/>
    <col min="6400" max="6400" width="5.5" style="421" customWidth="1"/>
    <col min="6401" max="6401" width="2.83203125" style="421" customWidth="1"/>
    <col min="6402" max="6402" width="2" style="421" customWidth="1"/>
    <col min="6403" max="6403" width="6.5" style="421" customWidth="1"/>
    <col min="6404" max="6404" width="8.5" style="421" customWidth="1"/>
    <col min="6405" max="6640" width="9.33203125" style="421"/>
    <col min="6641" max="6641" width="3" style="421" customWidth="1"/>
    <col min="6642" max="6642" width="5.33203125" style="421" customWidth="1"/>
    <col min="6643" max="6643" width="5.6640625" style="421" customWidth="1"/>
    <col min="6644" max="6644" width="22" style="421" customWidth="1"/>
    <col min="6645" max="6646" width="10.5" style="421" customWidth="1"/>
    <col min="6647" max="6647" width="8.33203125" style="421" customWidth="1"/>
    <col min="6648" max="6648" width="10.5" style="421" customWidth="1"/>
    <col min="6649" max="6649" width="9" style="421" customWidth="1"/>
    <col min="6650" max="6653" width="8.33203125" style="421" customWidth="1"/>
    <col min="6654" max="6654" width="9" style="421" customWidth="1"/>
    <col min="6655" max="6655" width="8.33203125" style="421" customWidth="1"/>
    <col min="6656" max="6656" width="5.5" style="421" customWidth="1"/>
    <col min="6657" max="6657" width="2.83203125" style="421" customWidth="1"/>
    <col min="6658" max="6658" width="2" style="421" customWidth="1"/>
    <col min="6659" max="6659" width="6.5" style="421" customWidth="1"/>
    <col min="6660" max="6660" width="8.5" style="421" customWidth="1"/>
    <col min="6661" max="6896" width="9.33203125" style="421"/>
    <col min="6897" max="6897" width="3" style="421" customWidth="1"/>
    <col min="6898" max="6898" width="5.33203125" style="421" customWidth="1"/>
    <col min="6899" max="6899" width="5.6640625" style="421" customWidth="1"/>
    <col min="6900" max="6900" width="22" style="421" customWidth="1"/>
    <col min="6901" max="6902" width="10.5" style="421" customWidth="1"/>
    <col min="6903" max="6903" width="8.33203125" style="421" customWidth="1"/>
    <col min="6904" max="6904" width="10.5" style="421" customWidth="1"/>
    <col min="6905" max="6905" width="9" style="421" customWidth="1"/>
    <col min="6906" max="6909" width="8.33203125" style="421" customWidth="1"/>
    <col min="6910" max="6910" width="9" style="421" customWidth="1"/>
    <col min="6911" max="6911" width="8.33203125" style="421" customWidth="1"/>
    <col min="6912" max="6912" width="5.5" style="421" customWidth="1"/>
    <col min="6913" max="6913" width="2.83203125" style="421" customWidth="1"/>
    <col min="6914" max="6914" width="2" style="421" customWidth="1"/>
    <col min="6915" max="6915" width="6.5" style="421" customWidth="1"/>
    <col min="6916" max="6916" width="8.5" style="421" customWidth="1"/>
    <col min="6917" max="7152" width="9.33203125" style="421"/>
    <col min="7153" max="7153" width="3" style="421" customWidth="1"/>
    <col min="7154" max="7154" width="5.33203125" style="421" customWidth="1"/>
    <col min="7155" max="7155" width="5.6640625" style="421" customWidth="1"/>
    <col min="7156" max="7156" width="22" style="421" customWidth="1"/>
    <col min="7157" max="7158" width="10.5" style="421" customWidth="1"/>
    <col min="7159" max="7159" width="8.33203125" style="421" customWidth="1"/>
    <col min="7160" max="7160" width="10.5" style="421" customWidth="1"/>
    <col min="7161" max="7161" width="9" style="421" customWidth="1"/>
    <col min="7162" max="7165" width="8.33203125" style="421" customWidth="1"/>
    <col min="7166" max="7166" width="9" style="421" customWidth="1"/>
    <col min="7167" max="7167" width="8.33203125" style="421" customWidth="1"/>
    <col min="7168" max="7168" width="5.5" style="421" customWidth="1"/>
    <col min="7169" max="7169" width="2.83203125" style="421" customWidth="1"/>
    <col min="7170" max="7170" width="2" style="421" customWidth="1"/>
    <col min="7171" max="7171" width="6.5" style="421" customWidth="1"/>
    <col min="7172" max="7172" width="8.5" style="421" customWidth="1"/>
    <col min="7173" max="7408" width="9.33203125" style="421"/>
    <col min="7409" max="7409" width="3" style="421" customWidth="1"/>
    <col min="7410" max="7410" width="5.33203125" style="421" customWidth="1"/>
    <col min="7411" max="7411" width="5.6640625" style="421" customWidth="1"/>
    <col min="7412" max="7412" width="22" style="421" customWidth="1"/>
    <col min="7413" max="7414" width="10.5" style="421" customWidth="1"/>
    <col min="7415" max="7415" width="8.33203125" style="421" customWidth="1"/>
    <col min="7416" max="7416" width="10.5" style="421" customWidth="1"/>
    <col min="7417" max="7417" width="9" style="421" customWidth="1"/>
    <col min="7418" max="7421" width="8.33203125" style="421" customWidth="1"/>
    <col min="7422" max="7422" width="9" style="421" customWidth="1"/>
    <col min="7423" max="7423" width="8.33203125" style="421" customWidth="1"/>
    <col min="7424" max="7424" width="5.5" style="421" customWidth="1"/>
    <col min="7425" max="7425" width="2.83203125" style="421" customWidth="1"/>
    <col min="7426" max="7426" width="2" style="421" customWidth="1"/>
    <col min="7427" max="7427" width="6.5" style="421" customWidth="1"/>
    <col min="7428" max="7428" width="8.5" style="421" customWidth="1"/>
    <col min="7429" max="7664" width="9.33203125" style="421"/>
    <col min="7665" max="7665" width="3" style="421" customWidth="1"/>
    <col min="7666" max="7666" width="5.33203125" style="421" customWidth="1"/>
    <col min="7667" max="7667" width="5.6640625" style="421" customWidth="1"/>
    <col min="7668" max="7668" width="22" style="421" customWidth="1"/>
    <col min="7669" max="7670" width="10.5" style="421" customWidth="1"/>
    <col min="7671" max="7671" width="8.33203125" style="421" customWidth="1"/>
    <col min="7672" max="7672" width="10.5" style="421" customWidth="1"/>
    <col min="7673" max="7673" width="9" style="421" customWidth="1"/>
    <col min="7674" max="7677" width="8.33203125" style="421" customWidth="1"/>
    <col min="7678" max="7678" width="9" style="421" customWidth="1"/>
    <col min="7679" max="7679" width="8.33203125" style="421" customWidth="1"/>
    <col min="7680" max="7680" width="5.5" style="421" customWidth="1"/>
    <col min="7681" max="7681" width="2.83203125" style="421" customWidth="1"/>
    <col min="7682" max="7682" width="2" style="421" customWidth="1"/>
    <col min="7683" max="7683" width="6.5" style="421" customWidth="1"/>
    <col min="7684" max="7684" width="8.5" style="421" customWidth="1"/>
    <col min="7685" max="7920" width="9.33203125" style="421"/>
    <col min="7921" max="7921" width="3" style="421" customWidth="1"/>
    <col min="7922" max="7922" width="5.33203125" style="421" customWidth="1"/>
    <col min="7923" max="7923" width="5.6640625" style="421" customWidth="1"/>
    <col min="7924" max="7924" width="22" style="421" customWidth="1"/>
    <col min="7925" max="7926" width="10.5" style="421" customWidth="1"/>
    <col min="7927" max="7927" width="8.33203125" style="421" customWidth="1"/>
    <col min="7928" max="7928" width="10.5" style="421" customWidth="1"/>
    <col min="7929" max="7929" width="9" style="421" customWidth="1"/>
    <col min="7930" max="7933" width="8.33203125" style="421" customWidth="1"/>
    <col min="7934" max="7934" width="9" style="421" customWidth="1"/>
    <col min="7935" max="7935" width="8.33203125" style="421" customWidth="1"/>
    <col min="7936" max="7936" width="5.5" style="421" customWidth="1"/>
    <col min="7937" max="7937" width="2.83203125" style="421" customWidth="1"/>
    <col min="7938" max="7938" width="2" style="421" customWidth="1"/>
    <col min="7939" max="7939" width="6.5" style="421" customWidth="1"/>
    <col min="7940" max="7940" width="8.5" style="421" customWidth="1"/>
    <col min="7941" max="8176" width="9.33203125" style="421"/>
    <col min="8177" max="8177" width="3" style="421" customWidth="1"/>
    <col min="8178" max="8178" width="5.33203125" style="421" customWidth="1"/>
    <col min="8179" max="8179" width="5.6640625" style="421" customWidth="1"/>
    <col min="8180" max="8180" width="22" style="421" customWidth="1"/>
    <col min="8181" max="8182" width="10.5" style="421" customWidth="1"/>
    <col min="8183" max="8183" width="8.33203125" style="421" customWidth="1"/>
    <col min="8184" max="8184" width="10.5" style="421" customWidth="1"/>
    <col min="8185" max="8185" width="9" style="421" customWidth="1"/>
    <col min="8186" max="8189" width="8.33203125" style="421" customWidth="1"/>
    <col min="8190" max="8190" width="9" style="421" customWidth="1"/>
    <col min="8191" max="8191" width="8.33203125" style="421" customWidth="1"/>
    <col min="8192" max="8192" width="5.5" style="421" customWidth="1"/>
    <col min="8193" max="8193" width="2.83203125" style="421" customWidth="1"/>
    <col min="8194" max="8194" width="2" style="421" customWidth="1"/>
    <col min="8195" max="8195" width="6.5" style="421" customWidth="1"/>
    <col min="8196" max="8196" width="8.5" style="421" customWidth="1"/>
    <col min="8197" max="8432" width="9.33203125" style="421"/>
    <col min="8433" max="8433" width="3" style="421" customWidth="1"/>
    <col min="8434" max="8434" width="5.33203125" style="421" customWidth="1"/>
    <col min="8435" max="8435" width="5.6640625" style="421" customWidth="1"/>
    <col min="8436" max="8436" width="22" style="421" customWidth="1"/>
    <col min="8437" max="8438" width="10.5" style="421" customWidth="1"/>
    <col min="8439" max="8439" width="8.33203125" style="421" customWidth="1"/>
    <col min="8440" max="8440" width="10.5" style="421" customWidth="1"/>
    <col min="8441" max="8441" width="9" style="421" customWidth="1"/>
    <col min="8442" max="8445" width="8.33203125" style="421" customWidth="1"/>
    <col min="8446" max="8446" width="9" style="421" customWidth="1"/>
    <col min="8447" max="8447" width="8.33203125" style="421" customWidth="1"/>
    <col min="8448" max="8448" width="5.5" style="421" customWidth="1"/>
    <col min="8449" max="8449" width="2.83203125" style="421" customWidth="1"/>
    <col min="8450" max="8450" width="2" style="421" customWidth="1"/>
    <col min="8451" max="8451" width="6.5" style="421" customWidth="1"/>
    <col min="8452" max="8452" width="8.5" style="421" customWidth="1"/>
    <col min="8453" max="8688" width="9.33203125" style="421"/>
    <col min="8689" max="8689" width="3" style="421" customWidth="1"/>
    <col min="8690" max="8690" width="5.33203125" style="421" customWidth="1"/>
    <col min="8691" max="8691" width="5.6640625" style="421" customWidth="1"/>
    <col min="8692" max="8692" width="22" style="421" customWidth="1"/>
    <col min="8693" max="8694" width="10.5" style="421" customWidth="1"/>
    <col min="8695" max="8695" width="8.33203125" style="421" customWidth="1"/>
    <col min="8696" max="8696" width="10.5" style="421" customWidth="1"/>
    <col min="8697" max="8697" width="9" style="421" customWidth="1"/>
    <col min="8698" max="8701" width="8.33203125" style="421" customWidth="1"/>
    <col min="8702" max="8702" width="9" style="421" customWidth="1"/>
    <col min="8703" max="8703" width="8.33203125" style="421" customWidth="1"/>
    <col min="8704" max="8704" width="5.5" style="421" customWidth="1"/>
    <col min="8705" max="8705" width="2.83203125" style="421" customWidth="1"/>
    <col min="8706" max="8706" width="2" style="421" customWidth="1"/>
    <col min="8707" max="8707" width="6.5" style="421" customWidth="1"/>
    <col min="8708" max="8708" width="8.5" style="421" customWidth="1"/>
    <col min="8709" max="8944" width="9.33203125" style="421"/>
    <col min="8945" max="8945" width="3" style="421" customWidth="1"/>
    <col min="8946" max="8946" width="5.33203125" style="421" customWidth="1"/>
    <col min="8947" max="8947" width="5.6640625" style="421" customWidth="1"/>
    <col min="8948" max="8948" width="22" style="421" customWidth="1"/>
    <col min="8949" max="8950" width="10.5" style="421" customWidth="1"/>
    <col min="8951" max="8951" width="8.33203125" style="421" customWidth="1"/>
    <col min="8952" max="8952" width="10.5" style="421" customWidth="1"/>
    <col min="8953" max="8953" width="9" style="421" customWidth="1"/>
    <col min="8954" max="8957" width="8.33203125" style="421" customWidth="1"/>
    <col min="8958" max="8958" width="9" style="421" customWidth="1"/>
    <col min="8959" max="8959" width="8.33203125" style="421" customWidth="1"/>
    <col min="8960" max="8960" width="5.5" style="421" customWidth="1"/>
    <col min="8961" max="8961" width="2.83203125" style="421" customWidth="1"/>
    <col min="8962" max="8962" width="2" style="421" customWidth="1"/>
    <col min="8963" max="8963" width="6.5" style="421" customWidth="1"/>
    <col min="8964" max="8964" width="8.5" style="421" customWidth="1"/>
    <col min="8965" max="9200" width="9.33203125" style="421"/>
    <col min="9201" max="9201" width="3" style="421" customWidth="1"/>
    <col min="9202" max="9202" width="5.33203125" style="421" customWidth="1"/>
    <col min="9203" max="9203" width="5.6640625" style="421" customWidth="1"/>
    <col min="9204" max="9204" width="22" style="421" customWidth="1"/>
    <col min="9205" max="9206" width="10.5" style="421" customWidth="1"/>
    <col min="9207" max="9207" width="8.33203125" style="421" customWidth="1"/>
    <col min="9208" max="9208" width="10.5" style="421" customWidth="1"/>
    <col min="9209" max="9209" width="9" style="421" customWidth="1"/>
    <col min="9210" max="9213" width="8.33203125" style="421" customWidth="1"/>
    <col min="9214" max="9214" width="9" style="421" customWidth="1"/>
    <col min="9215" max="9215" width="8.33203125" style="421" customWidth="1"/>
    <col min="9216" max="9216" width="5.5" style="421" customWidth="1"/>
    <col min="9217" max="9217" width="2.83203125" style="421" customWidth="1"/>
    <col min="9218" max="9218" width="2" style="421" customWidth="1"/>
    <col min="9219" max="9219" width="6.5" style="421" customWidth="1"/>
    <col min="9220" max="9220" width="8.5" style="421" customWidth="1"/>
    <col min="9221" max="9456" width="9.33203125" style="421"/>
    <col min="9457" max="9457" width="3" style="421" customWidth="1"/>
    <col min="9458" max="9458" width="5.33203125" style="421" customWidth="1"/>
    <col min="9459" max="9459" width="5.6640625" style="421" customWidth="1"/>
    <col min="9460" max="9460" width="22" style="421" customWidth="1"/>
    <col min="9461" max="9462" width="10.5" style="421" customWidth="1"/>
    <col min="9463" max="9463" width="8.33203125" style="421" customWidth="1"/>
    <col min="9464" max="9464" width="10.5" style="421" customWidth="1"/>
    <col min="9465" max="9465" width="9" style="421" customWidth="1"/>
    <col min="9466" max="9469" width="8.33203125" style="421" customWidth="1"/>
    <col min="9470" max="9470" width="9" style="421" customWidth="1"/>
    <col min="9471" max="9471" width="8.33203125" style="421" customWidth="1"/>
    <col min="9472" max="9472" width="5.5" style="421" customWidth="1"/>
    <col min="9473" max="9473" width="2.83203125" style="421" customWidth="1"/>
    <col min="9474" max="9474" width="2" style="421" customWidth="1"/>
    <col min="9475" max="9475" width="6.5" style="421" customWidth="1"/>
    <col min="9476" max="9476" width="8.5" style="421" customWidth="1"/>
    <col min="9477" max="9712" width="9.33203125" style="421"/>
    <col min="9713" max="9713" width="3" style="421" customWidth="1"/>
    <col min="9714" max="9714" width="5.33203125" style="421" customWidth="1"/>
    <col min="9715" max="9715" width="5.6640625" style="421" customWidth="1"/>
    <col min="9716" max="9716" width="22" style="421" customWidth="1"/>
    <col min="9717" max="9718" width="10.5" style="421" customWidth="1"/>
    <col min="9719" max="9719" width="8.33203125" style="421" customWidth="1"/>
    <col min="9720" max="9720" width="10.5" style="421" customWidth="1"/>
    <col min="9721" max="9721" width="9" style="421" customWidth="1"/>
    <col min="9722" max="9725" width="8.33203125" style="421" customWidth="1"/>
    <col min="9726" max="9726" width="9" style="421" customWidth="1"/>
    <col min="9727" max="9727" width="8.33203125" style="421" customWidth="1"/>
    <col min="9728" max="9728" width="5.5" style="421" customWidth="1"/>
    <col min="9729" max="9729" width="2.83203125" style="421" customWidth="1"/>
    <col min="9730" max="9730" width="2" style="421" customWidth="1"/>
    <col min="9731" max="9731" width="6.5" style="421" customWidth="1"/>
    <col min="9732" max="9732" width="8.5" style="421" customWidth="1"/>
    <col min="9733" max="9968" width="9.33203125" style="421"/>
    <col min="9969" max="9969" width="3" style="421" customWidth="1"/>
    <col min="9970" max="9970" width="5.33203125" style="421" customWidth="1"/>
    <col min="9971" max="9971" width="5.6640625" style="421" customWidth="1"/>
    <col min="9972" max="9972" width="22" style="421" customWidth="1"/>
    <col min="9973" max="9974" width="10.5" style="421" customWidth="1"/>
    <col min="9975" max="9975" width="8.33203125" style="421" customWidth="1"/>
    <col min="9976" max="9976" width="10.5" style="421" customWidth="1"/>
    <col min="9977" max="9977" width="9" style="421" customWidth="1"/>
    <col min="9978" max="9981" width="8.33203125" style="421" customWidth="1"/>
    <col min="9982" max="9982" width="9" style="421" customWidth="1"/>
    <col min="9983" max="9983" width="8.33203125" style="421" customWidth="1"/>
    <col min="9984" max="9984" width="5.5" style="421" customWidth="1"/>
    <col min="9985" max="9985" width="2.83203125" style="421" customWidth="1"/>
    <col min="9986" max="9986" width="2" style="421" customWidth="1"/>
    <col min="9987" max="9987" width="6.5" style="421" customWidth="1"/>
    <col min="9988" max="9988" width="8.5" style="421" customWidth="1"/>
    <col min="9989" max="10224" width="9.33203125" style="421"/>
    <col min="10225" max="10225" width="3" style="421" customWidth="1"/>
    <col min="10226" max="10226" width="5.33203125" style="421" customWidth="1"/>
    <col min="10227" max="10227" width="5.6640625" style="421" customWidth="1"/>
    <col min="10228" max="10228" width="22" style="421" customWidth="1"/>
    <col min="10229" max="10230" width="10.5" style="421" customWidth="1"/>
    <col min="10231" max="10231" width="8.33203125" style="421" customWidth="1"/>
    <col min="10232" max="10232" width="10.5" style="421" customWidth="1"/>
    <col min="10233" max="10233" width="9" style="421" customWidth="1"/>
    <col min="10234" max="10237" width="8.33203125" style="421" customWidth="1"/>
    <col min="10238" max="10238" width="9" style="421" customWidth="1"/>
    <col min="10239" max="10239" width="8.33203125" style="421" customWidth="1"/>
    <col min="10240" max="10240" width="5.5" style="421" customWidth="1"/>
    <col min="10241" max="10241" width="2.83203125" style="421" customWidth="1"/>
    <col min="10242" max="10242" width="2" style="421" customWidth="1"/>
    <col min="10243" max="10243" width="6.5" style="421" customWidth="1"/>
    <col min="10244" max="10244" width="8.5" style="421" customWidth="1"/>
    <col min="10245" max="10480" width="9.33203125" style="421"/>
    <col min="10481" max="10481" width="3" style="421" customWidth="1"/>
    <col min="10482" max="10482" width="5.33203125" style="421" customWidth="1"/>
    <col min="10483" max="10483" width="5.6640625" style="421" customWidth="1"/>
    <col min="10484" max="10484" width="22" style="421" customWidth="1"/>
    <col min="10485" max="10486" width="10.5" style="421" customWidth="1"/>
    <col min="10487" max="10487" width="8.33203125" style="421" customWidth="1"/>
    <col min="10488" max="10488" width="10.5" style="421" customWidth="1"/>
    <col min="10489" max="10489" width="9" style="421" customWidth="1"/>
    <col min="10490" max="10493" width="8.33203125" style="421" customWidth="1"/>
    <col min="10494" max="10494" width="9" style="421" customWidth="1"/>
    <col min="10495" max="10495" width="8.33203125" style="421" customWidth="1"/>
    <col min="10496" max="10496" width="5.5" style="421" customWidth="1"/>
    <col min="10497" max="10497" width="2.83203125" style="421" customWidth="1"/>
    <col min="10498" max="10498" width="2" style="421" customWidth="1"/>
    <col min="10499" max="10499" width="6.5" style="421" customWidth="1"/>
    <col min="10500" max="10500" width="8.5" style="421" customWidth="1"/>
    <col min="10501" max="10736" width="9.33203125" style="421"/>
    <col min="10737" max="10737" width="3" style="421" customWidth="1"/>
    <col min="10738" max="10738" width="5.33203125" style="421" customWidth="1"/>
    <col min="10739" max="10739" width="5.6640625" style="421" customWidth="1"/>
    <col min="10740" max="10740" width="22" style="421" customWidth="1"/>
    <col min="10741" max="10742" width="10.5" style="421" customWidth="1"/>
    <col min="10743" max="10743" width="8.33203125" style="421" customWidth="1"/>
    <col min="10744" max="10744" width="10.5" style="421" customWidth="1"/>
    <col min="10745" max="10745" width="9" style="421" customWidth="1"/>
    <col min="10746" max="10749" width="8.33203125" style="421" customWidth="1"/>
    <col min="10750" max="10750" width="9" style="421" customWidth="1"/>
    <col min="10751" max="10751" width="8.33203125" style="421" customWidth="1"/>
    <col min="10752" max="10752" width="5.5" style="421" customWidth="1"/>
    <col min="10753" max="10753" width="2.83203125" style="421" customWidth="1"/>
    <col min="10754" max="10754" width="2" style="421" customWidth="1"/>
    <col min="10755" max="10755" width="6.5" style="421" customWidth="1"/>
    <col min="10756" max="10756" width="8.5" style="421" customWidth="1"/>
    <col min="10757" max="10992" width="9.33203125" style="421"/>
    <col min="10993" max="10993" width="3" style="421" customWidth="1"/>
    <col min="10994" max="10994" width="5.33203125" style="421" customWidth="1"/>
    <col min="10995" max="10995" width="5.6640625" style="421" customWidth="1"/>
    <col min="10996" max="10996" width="22" style="421" customWidth="1"/>
    <col min="10997" max="10998" width="10.5" style="421" customWidth="1"/>
    <col min="10999" max="10999" width="8.33203125" style="421" customWidth="1"/>
    <col min="11000" max="11000" width="10.5" style="421" customWidth="1"/>
    <col min="11001" max="11001" width="9" style="421" customWidth="1"/>
    <col min="11002" max="11005" width="8.33203125" style="421" customWidth="1"/>
    <col min="11006" max="11006" width="9" style="421" customWidth="1"/>
    <col min="11007" max="11007" width="8.33203125" style="421" customWidth="1"/>
    <col min="11008" max="11008" width="5.5" style="421" customWidth="1"/>
    <col min="11009" max="11009" width="2.83203125" style="421" customWidth="1"/>
    <col min="11010" max="11010" width="2" style="421" customWidth="1"/>
    <col min="11011" max="11011" width="6.5" style="421" customWidth="1"/>
    <col min="11012" max="11012" width="8.5" style="421" customWidth="1"/>
    <col min="11013" max="11248" width="9.33203125" style="421"/>
    <col min="11249" max="11249" width="3" style="421" customWidth="1"/>
    <col min="11250" max="11250" width="5.33203125" style="421" customWidth="1"/>
    <col min="11251" max="11251" width="5.6640625" style="421" customWidth="1"/>
    <col min="11252" max="11252" width="22" style="421" customWidth="1"/>
    <col min="11253" max="11254" width="10.5" style="421" customWidth="1"/>
    <col min="11255" max="11255" width="8.33203125" style="421" customWidth="1"/>
    <col min="11256" max="11256" width="10.5" style="421" customWidth="1"/>
    <col min="11257" max="11257" width="9" style="421" customWidth="1"/>
    <col min="11258" max="11261" width="8.33203125" style="421" customWidth="1"/>
    <col min="11262" max="11262" width="9" style="421" customWidth="1"/>
    <col min="11263" max="11263" width="8.33203125" style="421" customWidth="1"/>
    <col min="11264" max="11264" width="5.5" style="421" customWidth="1"/>
    <col min="11265" max="11265" width="2.83203125" style="421" customWidth="1"/>
    <col min="11266" max="11266" width="2" style="421" customWidth="1"/>
    <col min="11267" max="11267" width="6.5" style="421" customWidth="1"/>
    <col min="11268" max="11268" width="8.5" style="421" customWidth="1"/>
    <col min="11269" max="11504" width="9.33203125" style="421"/>
    <col min="11505" max="11505" width="3" style="421" customWidth="1"/>
    <col min="11506" max="11506" width="5.33203125" style="421" customWidth="1"/>
    <col min="11507" max="11507" width="5.6640625" style="421" customWidth="1"/>
    <col min="11508" max="11508" width="22" style="421" customWidth="1"/>
    <col min="11509" max="11510" width="10.5" style="421" customWidth="1"/>
    <col min="11511" max="11511" width="8.33203125" style="421" customWidth="1"/>
    <col min="11512" max="11512" width="10.5" style="421" customWidth="1"/>
    <col min="11513" max="11513" width="9" style="421" customWidth="1"/>
    <col min="11514" max="11517" width="8.33203125" style="421" customWidth="1"/>
    <col min="11518" max="11518" width="9" style="421" customWidth="1"/>
    <col min="11519" max="11519" width="8.33203125" style="421" customWidth="1"/>
    <col min="11520" max="11520" width="5.5" style="421" customWidth="1"/>
    <col min="11521" max="11521" width="2.83203125" style="421" customWidth="1"/>
    <col min="11522" max="11522" width="2" style="421" customWidth="1"/>
    <col min="11523" max="11523" width="6.5" style="421" customWidth="1"/>
    <col min="11524" max="11524" width="8.5" style="421" customWidth="1"/>
    <col min="11525" max="11760" width="9.33203125" style="421"/>
    <col min="11761" max="11761" width="3" style="421" customWidth="1"/>
    <col min="11762" max="11762" width="5.33203125" style="421" customWidth="1"/>
    <col min="11763" max="11763" width="5.6640625" style="421" customWidth="1"/>
    <col min="11764" max="11764" width="22" style="421" customWidth="1"/>
    <col min="11765" max="11766" width="10.5" style="421" customWidth="1"/>
    <col min="11767" max="11767" width="8.33203125" style="421" customWidth="1"/>
    <col min="11768" max="11768" width="10.5" style="421" customWidth="1"/>
    <col min="11769" max="11769" width="9" style="421" customWidth="1"/>
    <col min="11770" max="11773" width="8.33203125" style="421" customWidth="1"/>
    <col min="11774" max="11774" width="9" style="421" customWidth="1"/>
    <col min="11775" max="11775" width="8.33203125" style="421" customWidth="1"/>
    <col min="11776" max="11776" width="5.5" style="421" customWidth="1"/>
    <col min="11777" max="11777" width="2.83203125" style="421" customWidth="1"/>
    <col min="11778" max="11778" width="2" style="421" customWidth="1"/>
    <col min="11779" max="11779" width="6.5" style="421" customWidth="1"/>
    <col min="11780" max="11780" width="8.5" style="421" customWidth="1"/>
    <col min="11781" max="12016" width="9.33203125" style="421"/>
    <col min="12017" max="12017" width="3" style="421" customWidth="1"/>
    <col min="12018" max="12018" width="5.33203125" style="421" customWidth="1"/>
    <col min="12019" max="12019" width="5.6640625" style="421" customWidth="1"/>
    <col min="12020" max="12020" width="22" style="421" customWidth="1"/>
    <col min="12021" max="12022" width="10.5" style="421" customWidth="1"/>
    <col min="12023" max="12023" width="8.33203125" style="421" customWidth="1"/>
    <col min="12024" max="12024" width="10.5" style="421" customWidth="1"/>
    <col min="12025" max="12025" width="9" style="421" customWidth="1"/>
    <col min="12026" max="12029" width="8.33203125" style="421" customWidth="1"/>
    <col min="12030" max="12030" width="9" style="421" customWidth="1"/>
    <col min="12031" max="12031" width="8.33203125" style="421" customWidth="1"/>
    <col min="12032" max="12032" width="5.5" style="421" customWidth="1"/>
    <col min="12033" max="12033" width="2.83203125" style="421" customWidth="1"/>
    <col min="12034" max="12034" width="2" style="421" customWidth="1"/>
    <col min="12035" max="12035" width="6.5" style="421" customWidth="1"/>
    <col min="12036" max="12036" width="8.5" style="421" customWidth="1"/>
    <col min="12037" max="12272" width="9.33203125" style="421"/>
    <col min="12273" max="12273" width="3" style="421" customWidth="1"/>
    <col min="12274" max="12274" width="5.33203125" style="421" customWidth="1"/>
    <col min="12275" max="12275" width="5.6640625" style="421" customWidth="1"/>
    <col min="12276" max="12276" width="22" style="421" customWidth="1"/>
    <col min="12277" max="12278" width="10.5" style="421" customWidth="1"/>
    <col min="12279" max="12279" width="8.33203125" style="421" customWidth="1"/>
    <col min="12280" max="12280" width="10.5" style="421" customWidth="1"/>
    <col min="12281" max="12281" width="9" style="421" customWidth="1"/>
    <col min="12282" max="12285" width="8.33203125" style="421" customWidth="1"/>
    <col min="12286" max="12286" width="9" style="421" customWidth="1"/>
    <col min="12287" max="12287" width="8.33203125" style="421" customWidth="1"/>
    <col min="12288" max="12288" width="5.5" style="421" customWidth="1"/>
    <col min="12289" max="12289" width="2.83203125" style="421" customWidth="1"/>
    <col min="12290" max="12290" width="2" style="421" customWidth="1"/>
    <col min="12291" max="12291" width="6.5" style="421" customWidth="1"/>
    <col min="12292" max="12292" width="8.5" style="421" customWidth="1"/>
    <col min="12293" max="12528" width="9.33203125" style="421"/>
    <col min="12529" max="12529" width="3" style="421" customWidth="1"/>
    <col min="12530" max="12530" width="5.33203125" style="421" customWidth="1"/>
    <col min="12531" max="12531" width="5.6640625" style="421" customWidth="1"/>
    <col min="12532" max="12532" width="22" style="421" customWidth="1"/>
    <col min="12533" max="12534" width="10.5" style="421" customWidth="1"/>
    <col min="12535" max="12535" width="8.33203125" style="421" customWidth="1"/>
    <col min="12536" max="12536" width="10.5" style="421" customWidth="1"/>
    <col min="12537" max="12537" width="9" style="421" customWidth="1"/>
    <col min="12538" max="12541" width="8.33203125" style="421" customWidth="1"/>
    <col min="12542" max="12542" width="9" style="421" customWidth="1"/>
    <col min="12543" max="12543" width="8.33203125" style="421" customWidth="1"/>
    <col min="12544" max="12544" width="5.5" style="421" customWidth="1"/>
    <col min="12545" max="12545" width="2.83203125" style="421" customWidth="1"/>
    <col min="12546" max="12546" width="2" style="421" customWidth="1"/>
    <col min="12547" max="12547" width="6.5" style="421" customWidth="1"/>
    <col min="12548" max="12548" width="8.5" style="421" customWidth="1"/>
    <col min="12549" max="12784" width="9.33203125" style="421"/>
    <col min="12785" max="12785" width="3" style="421" customWidth="1"/>
    <col min="12786" max="12786" width="5.33203125" style="421" customWidth="1"/>
    <col min="12787" max="12787" width="5.6640625" style="421" customWidth="1"/>
    <col min="12788" max="12788" width="22" style="421" customWidth="1"/>
    <col min="12789" max="12790" width="10.5" style="421" customWidth="1"/>
    <col min="12791" max="12791" width="8.33203125" style="421" customWidth="1"/>
    <col min="12792" max="12792" width="10.5" style="421" customWidth="1"/>
    <col min="12793" max="12793" width="9" style="421" customWidth="1"/>
    <col min="12794" max="12797" width="8.33203125" style="421" customWidth="1"/>
    <col min="12798" max="12798" width="9" style="421" customWidth="1"/>
    <col min="12799" max="12799" width="8.33203125" style="421" customWidth="1"/>
    <col min="12800" max="12800" width="5.5" style="421" customWidth="1"/>
    <col min="12801" max="12801" width="2.83203125" style="421" customWidth="1"/>
    <col min="12802" max="12802" width="2" style="421" customWidth="1"/>
    <col min="12803" max="12803" width="6.5" style="421" customWidth="1"/>
    <col min="12804" max="12804" width="8.5" style="421" customWidth="1"/>
    <col min="12805" max="13040" width="9.33203125" style="421"/>
    <col min="13041" max="13041" width="3" style="421" customWidth="1"/>
    <col min="13042" max="13042" width="5.33203125" style="421" customWidth="1"/>
    <col min="13043" max="13043" width="5.6640625" style="421" customWidth="1"/>
    <col min="13044" max="13044" width="22" style="421" customWidth="1"/>
    <col min="13045" max="13046" width="10.5" style="421" customWidth="1"/>
    <col min="13047" max="13047" width="8.33203125" style="421" customWidth="1"/>
    <col min="13048" max="13048" width="10.5" style="421" customWidth="1"/>
    <col min="13049" max="13049" width="9" style="421" customWidth="1"/>
    <col min="13050" max="13053" width="8.33203125" style="421" customWidth="1"/>
    <col min="13054" max="13054" width="9" style="421" customWidth="1"/>
    <col min="13055" max="13055" width="8.33203125" style="421" customWidth="1"/>
    <col min="13056" max="13056" width="5.5" style="421" customWidth="1"/>
    <col min="13057" max="13057" width="2.83203125" style="421" customWidth="1"/>
    <col min="13058" max="13058" width="2" style="421" customWidth="1"/>
    <col min="13059" max="13059" width="6.5" style="421" customWidth="1"/>
    <col min="13060" max="13060" width="8.5" style="421" customWidth="1"/>
    <col min="13061" max="13296" width="9.33203125" style="421"/>
    <col min="13297" max="13297" width="3" style="421" customWidth="1"/>
    <col min="13298" max="13298" width="5.33203125" style="421" customWidth="1"/>
    <col min="13299" max="13299" width="5.6640625" style="421" customWidth="1"/>
    <col min="13300" max="13300" width="22" style="421" customWidth="1"/>
    <col min="13301" max="13302" width="10.5" style="421" customWidth="1"/>
    <col min="13303" max="13303" width="8.33203125" style="421" customWidth="1"/>
    <col min="13304" max="13304" width="10.5" style="421" customWidth="1"/>
    <col min="13305" max="13305" width="9" style="421" customWidth="1"/>
    <col min="13306" max="13309" width="8.33203125" style="421" customWidth="1"/>
    <col min="13310" max="13310" width="9" style="421" customWidth="1"/>
    <col min="13311" max="13311" width="8.33203125" style="421" customWidth="1"/>
    <col min="13312" max="13312" width="5.5" style="421" customWidth="1"/>
    <col min="13313" max="13313" width="2.83203125" style="421" customWidth="1"/>
    <col min="13314" max="13314" width="2" style="421" customWidth="1"/>
    <col min="13315" max="13315" width="6.5" style="421" customWidth="1"/>
    <col min="13316" max="13316" width="8.5" style="421" customWidth="1"/>
    <col min="13317" max="13552" width="9.33203125" style="421"/>
    <col min="13553" max="13553" width="3" style="421" customWidth="1"/>
    <col min="13554" max="13554" width="5.33203125" style="421" customWidth="1"/>
    <col min="13555" max="13555" width="5.6640625" style="421" customWidth="1"/>
    <col min="13556" max="13556" width="22" style="421" customWidth="1"/>
    <col min="13557" max="13558" width="10.5" style="421" customWidth="1"/>
    <col min="13559" max="13559" width="8.33203125" style="421" customWidth="1"/>
    <col min="13560" max="13560" width="10.5" style="421" customWidth="1"/>
    <col min="13561" max="13561" width="9" style="421" customWidth="1"/>
    <col min="13562" max="13565" width="8.33203125" style="421" customWidth="1"/>
    <col min="13566" max="13566" width="9" style="421" customWidth="1"/>
    <col min="13567" max="13567" width="8.33203125" style="421" customWidth="1"/>
    <col min="13568" max="13568" width="5.5" style="421" customWidth="1"/>
    <col min="13569" max="13569" width="2.83203125" style="421" customWidth="1"/>
    <col min="13570" max="13570" width="2" style="421" customWidth="1"/>
    <col min="13571" max="13571" width="6.5" style="421" customWidth="1"/>
    <col min="13572" max="13572" width="8.5" style="421" customWidth="1"/>
    <col min="13573" max="13808" width="9.33203125" style="421"/>
    <col min="13809" max="13809" width="3" style="421" customWidth="1"/>
    <col min="13810" max="13810" width="5.33203125" style="421" customWidth="1"/>
    <col min="13811" max="13811" width="5.6640625" style="421" customWidth="1"/>
    <col min="13812" max="13812" width="22" style="421" customWidth="1"/>
    <col min="13813" max="13814" width="10.5" style="421" customWidth="1"/>
    <col min="13815" max="13815" width="8.33203125" style="421" customWidth="1"/>
    <col min="13816" max="13816" width="10.5" style="421" customWidth="1"/>
    <col min="13817" max="13817" width="9" style="421" customWidth="1"/>
    <col min="13818" max="13821" width="8.33203125" style="421" customWidth="1"/>
    <col min="13822" max="13822" width="9" style="421" customWidth="1"/>
    <col min="13823" max="13823" width="8.33203125" style="421" customWidth="1"/>
    <col min="13824" max="13824" width="5.5" style="421" customWidth="1"/>
    <col min="13825" max="13825" width="2.83203125" style="421" customWidth="1"/>
    <col min="13826" max="13826" width="2" style="421" customWidth="1"/>
    <col min="13827" max="13827" width="6.5" style="421" customWidth="1"/>
    <col min="13828" max="13828" width="8.5" style="421" customWidth="1"/>
    <col min="13829" max="14064" width="9.33203125" style="421"/>
    <col min="14065" max="14065" width="3" style="421" customWidth="1"/>
    <col min="14066" max="14066" width="5.33203125" style="421" customWidth="1"/>
    <col min="14067" max="14067" width="5.6640625" style="421" customWidth="1"/>
    <col min="14068" max="14068" width="22" style="421" customWidth="1"/>
    <col min="14069" max="14070" width="10.5" style="421" customWidth="1"/>
    <col min="14071" max="14071" width="8.33203125" style="421" customWidth="1"/>
    <col min="14072" max="14072" width="10.5" style="421" customWidth="1"/>
    <col min="14073" max="14073" width="9" style="421" customWidth="1"/>
    <col min="14074" max="14077" width="8.33203125" style="421" customWidth="1"/>
    <col min="14078" max="14078" width="9" style="421" customWidth="1"/>
    <col min="14079" max="14079" width="8.33203125" style="421" customWidth="1"/>
    <col min="14080" max="14080" width="5.5" style="421" customWidth="1"/>
    <col min="14081" max="14081" width="2.83203125" style="421" customWidth="1"/>
    <col min="14082" max="14082" width="2" style="421" customWidth="1"/>
    <col min="14083" max="14083" width="6.5" style="421" customWidth="1"/>
    <col min="14084" max="14084" width="8.5" style="421" customWidth="1"/>
    <col min="14085" max="14320" width="9.33203125" style="421"/>
    <col min="14321" max="14321" width="3" style="421" customWidth="1"/>
    <col min="14322" max="14322" width="5.33203125" style="421" customWidth="1"/>
    <col min="14323" max="14323" width="5.6640625" style="421" customWidth="1"/>
    <col min="14324" max="14324" width="22" style="421" customWidth="1"/>
    <col min="14325" max="14326" width="10.5" style="421" customWidth="1"/>
    <col min="14327" max="14327" width="8.33203125" style="421" customWidth="1"/>
    <col min="14328" max="14328" width="10.5" style="421" customWidth="1"/>
    <col min="14329" max="14329" width="9" style="421" customWidth="1"/>
    <col min="14330" max="14333" width="8.33203125" style="421" customWidth="1"/>
    <col min="14334" max="14334" width="9" style="421" customWidth="1"/>
    <col min="14335" max="14335" width="8.33203125" style="421" customWidth="1"/>
    <col min="14336" max="14336" width="5.5" style="421" customWidth="1"/>
    <col min="14337" max="14337" width="2.83203125" style="421" customWidth="1"/>
    <col min="14338" max="14338" width="2" style="421" customWidth="1"/>
    <col min="14339" max="14339" width="6.5" style="421" customWidth="1"/>
    <col min="14340" max="14340" width="8.5" style="421" customWidth="1"/>
    <col min="14341" max="14576" width="9.33203125" style="421"/>
    <col min="14577" max="14577" width="3" style="421" customWidth="1"/>
    <col min="14578" max="14578" width="5.33203125" style="421" customWidth="1"/>
    <col min="14579" max="14579" width="5.6640625" style="421" customWidth="1"/>
    <col min="14580" max="14580" width="22" style="421" customWidth="1"/>
    <col min="14581" max="14582" width="10.5" style="421" customWidth="1"/>
    <col min="14583" max="14583" width="8.33203125" style="421" customWidth="1"/>
    <col min="14584" max="14584" width="10.5" style="421" customWidth="1"/>
    <col min="14585" max="14585" width="9" style="421" customWidth="1"/>
    <col min="14586" max="14589" width="8.33203125" style="421" customWidth="1"/>
    <col min="14590" max="14590" width="9" style="421" customWidth="1"/>
    <col min="14591" max="14591" width="8.33203125" style="421" customWidth="1"/>
    <col min="14592" max="14592" width="5.5" style="421" customWidth="1"/>
    <col min="14593" max="14593" width="2.83203125" style="421" customWidth="1"/>
    <col min="14594" max="14594" width="2" style="421" customWidth="1"/>
    <col min="14595" max="14595" width="6.5" style="421" customWidth="1"/>
    <col min="14596" max="14596" width="8.5" style="421" customWidth="1"/>
    <col min="14597" max="14832" width="9.33203125" style="421"/>
    <col min="14833" max="14833" width="3" style="421" customWidth="1"/>
    <col min="14834" max="14834" width="5.33203125" style="421" customWidth="1"/>
    <col min="14835" max="14835" width="5.6640625" style="421" customWidth="1"/>
    <col min="14836" max="14836" width="22" style="421" customWidth="1"/>
    <col min="14837" max="14838" width="10.5" style="421" customWidth="1"/>
    <col min="14839" max="14839" width="8.33203125" style="421" customWidth="1"/>
    <col min="14840" max="14840" width="10.5" style="421" customWidth="1"/>
    <col min="14841" max="14841" width="9" style="421" customWidth="1"/>
    <col min="14842" max="14845" width="8.33203125" style="421" customWidth="1"/>
    <col min="14846" max="14846" width="9" style="421" customWidth="1"/>
    <col min="14847" max="14847" width="8.33203125" style="421" customWidth="1"/>
    <col min="14848" max="14848" width="5.5" style="421" customWidth="1"/>
    <col min="14849" max="14849" width="2.83203125" style="421" customWidth="1"/>
    <col min="14850" max="14850" width="2" style="421" customWidth="1"/>
    <col min="14851" max="14851" width="6.5" style="421" customWidth="1"/>
    <col min="14852" max="14852" width="8.5" style="421" customWidth="1"/>
    <col min="14853" max="15088" width="9.33203125" style="421"/>
    <col min="15089" max="15089" width="3" style="421" customWidth="1"/>
    <col min="15090" max="15090" width="5.33203125" style="421" customWidth="1"/>
    <col min="15091" max="15091" width="5.6640625" style="421" customWidth="1"/>
    <col min="15092" max="15092" width="22" style="421" customWidth="1"/>
    <col min="15093" max="15094" width="10.5" style="421" customWidth="1"/>
    <col min="15095" max="15095" width="8.33203125" style="421" customWidth="1"/>
    <col min="15096" max="15096" width="10.5" style="421" customWidth="1"/>
    <col min="15097" max="15097" width="9" style="421" customWidth="1"/>
    <col min="15098" max="15101" width="8.33203125" style="421" customWidth="1"/>
    <col min="15102" max="15102" width="9" style="421" customWidth="1"/>
    <col min="15103" max="15103" width="8.33203125" style="421" customWidth="1"/>
    <col min="15104" max="15104" width="5.5" style="421" customWidth="1"/>
    <col min="15105" max="15105" width="2.83203125" style="421" customWidth="1"/>
    <col min="15106" max="15106" width="2" style="421" customWidth="1"/>
    <col min="15107" max="15107" width="6.5" style="421" customWidth="1"/>
    <col min="15108" max="15108" width="8.5" style="421" customWidth="1"/>
    <col min="15109" max="15344" width="9.33203125" style="421"/>
    <col min="15345" max="15345" width="3" style="421" customWidth="1"/>
    <col min="15346" max="15346" width="5.33203125" style="421" customWidth="1"/>
    <col min="15347" max="15347" width="5.6640625" style="421" customWidth="1"/>
    <col min="15348" max="15348" width="22" style="421" customWidth="1"/>
    <col min="15349" max="15350" width="10.5" style="421" customWidth="1"/>
    <col min="15351" max="15351" width="8.33203125" style="421" customWidth="1"/>
    <col min="15352" max="15352" width="10.5" style="421" customWidth="1"/>
    <col min="15353" max="15353" width="9" style="421" customWidth="1"/>
    <col min="15354" max="15357" width="8.33203125" style="421" customWidth="1"/>
    <col min="15358" max="15358" width="9" style="421" customWidth="1"/>
    <col min="15359" max="15359" width="8.33203125" style="421" customWidth="1"/>
    <col min="15360" max="15360" width="5.5" style="421" customWidth="1"/>
    <col min="15361" max="15361" width="2.83203125" style="421" customWidth="1"/>
    <col min="15362" max="15362" width="2" style="421" customWidth="1"/>
    <col min="15363" max="15363" width="6.5" style="421" customWidth="1"/>
    <col min="15364" max="15364" width="8.5" style="421" customWidth="1"/>
    <col min="15365" max="15600" width="9.33203125" style="421"/>
    <col min="15601" max="15601" width="3" style="421" customWidth="1"/>
    <col min="15602" max="15602" width="5.33203125" style="421" customWidth="1"/>
    <col min="15603" max="15603" width="5.6640625" style="421" customWidth="1"/>
    <col min="15604" max="15604" width="22" style="421" customWidth="1"/>
    <col min="15605" max="15606" width="10.5" style="421" customWidth="1"/>
    <col min="15607" max="15607" width="8.33203125" style="421" customWidth="1"/>
    <col min="15608" max="15608" width="10.5" style="421" customWidth="1"/>
    <col min="15609" max="15609" width="9" style="421" customWidth="1"/>
    <col min="15610" max="15613" width="8.33203125" style="421" customWidth="1"/>
    <col min="15614" max="15614" width="9" style="421" customWidth="1"/>
    <col min="15615" max="15615" width="8.33203125" style="421" customWidth="1"/>
    <col min="15616" max="15616" width="5.5" style="421" customWidth="1"/>
    <col min="15617" max="15617" width="2.83203125" style="421" customWidth="1"/>
    <col min="15618" max="15618" width="2" style="421" customWidth="1"/>
    <col min="15619" max="15619" width="6.5" style="421" customWidth="1"/>
    <col min="15620" max="15620" width="8.5" style="421" customWidth="1"/>
    <col min="15621" max="15856" width="9.33203125" style="421"/>
    <col min="15857" max="15857" width="3" style="421" customWidth="1"/>
    <col min="15858" max="15858" width="5.33203125" style="421" customWidth="1"/>
    <col min="15859" max="15859" width="5.6640625" style="421" customWidth="1"/>
    <col min="15860" max="15860" width="22" style="421" customWidth="1"/>
    <col min="15861" max="15862" width="10.5" style="421" customWidth="1"/>
    <col min="15863" max="15863" width="8.33203125" style="421" customWidth="1"/>
    <col min="15864" max="15864" width="10.5" style="421" customWidth="1"/>
    <col min="15865" max="15865" width="9" style="421" customWidth="1"/>
    <col min="15866" max="15869" width="8.33203125" style="421" customWidth="1"/>
    <col min="15870" max="15870" width="9" style="421" customWidth="1"/>
    <col min="15871" max="15871" width="8.33203125" style="421" customWidth="1"/>
    <col min="15872" max="15872" width="5.5" style="421" customWidth="1"/>
    <col min="15873" max="15873" width="2.83203125" style="421" customWidth="1"/>
    <col min="15874" max="15874" width="2" style="421" customWidth="1"/>
    <col min="15875" max="15875" width="6.5" style="421" customWidth="1"/>
    <col min="15876" max="15876" width="8.5" style="421" customWidth="1"/>
    <col min="15877" max="16112" width="9.33203125" style="421"/>
    <col min="16113" max="16113" width="3" style="421" customWidth="1"/>
    <col min="16114" max="16114" width="5.33203125" style="421" customWidth="1"/>
    <col min="16115" max="16115" width="5.6640625" style="421" customWidth="1"/>
    <col min="16116" max="16116" width="22" style="421" customWidth="1"/>
    <col min="16117" max="16118" width="10.5" style="421" customWidth="1"/>
    <col min="16119" max="16119" width="8.33203125" style="421" customWidth="1"/>
    <col min="16120" max="16120" width="10.5" style="421" customWidth="1"/>
    <col min="16121" max="16121" width="9" style="421" customWidth="1"/>
    <col min="16122" max="16125" width="8.33203125" style="421" customWidth="1"/>
    <col min="16126" max="16126" width="9" style="421" customWidth="1"/>
    <col min="16127" max="16127" width="8.33203125" style="421" customWidth="1"/>
    <col min="16128" max="16128" width="5.5" style="421" customWidth="1"/>
    <col min="16129" max="16129" width="2.83203125" style="421" customWidth="1"/>
    <col min="16130" max="16130" width="2" style="421" customWidth="1"/>
    <col min="16131" max="16131" width="6.5" style="421" customWidth="1"/>
    <col min="16132" max="16132" width="8.5" style="421" customWidth="1"/>
    <col min="16133" max="16384" width="9.33203125" style="421"/>
  </cols>
  <sheetData>
    <row r="2" spans="1:6" s="357" customFormat="1">
      <c r="A2" s="357" t="s">
        <v>157</v>
      </c>
    </row>
    <row r="3" spans="1:6" s="357" customFormat="1" ht="41.25" customHeight="1">
      <c r="A3" s="521" t="s">
        <v>215</v>
      </c>
      <c r="B3" s="521"/>
      <c r="C3" s="521"/>
      <c r="D3" s="521"/>
      <c r="E3" s="521"/>
      <c r="F3" s="521"/>
    </row>
    <row r="4" spans="1:6" s="357" customFormat="1">
      <c r="A4" s="416"/>
      <c r="B4" s="416"/>
      <c r="C4" s="416"/>
      <c r="D4" s="416"/>
      <c r="E4" s="416"/>
      <c r="F4" s="416"/>
    </row>
    <row r="5" spans="1:6" s="419" customFormat="1" ht="18" customHeight="1">
      <c r="A5" s="86" t="s">
        <v>0</v>
      </c>
      <c r="B5" s="86" t="s">
        <v>1</v>
      </c>
      <c r="C5" s="87" t="s">
        <v>72</v>
      </c>
      <c r="D5" s="417" t="s">
        <v>73</v>
      </c>
      <c r="E5" s="418" t="s">
        <v>22</v>
      </c>
      <c r="F5" s="418" t="s">
        <v>74</v>
      </c>
    </row>
    <row r="6" spans="1:6" s="420" customFormat="1" ht="18" customHeight="1">
      <c r="A6" s="413" t="s">
        <v>75</v>
      </c>
      <c r="B6" s="413" t="s">
        <v>157</v>
      </c>
      <c r="C6" s="413" t="s">
        <v>157</v>
      </c>
      <c r="D6" s="414" t="s">
        <v>76</v>
      </c>
      <c r="E6" s="415">
        <v>18450</v>
      </c>
      <c r="F6" s="415">
        <v>18450</v>
      </c>
    </row>
    <row r="7" spans="1:6" s="420" customFormat="1" ht="18" customHeight="1">
      <c r="A7" s="422" t="s">
        <v>157</v>
      </c>
      <c r="B7" s="422" t="s">
        <v>77</v>
      </c>
      <c r="C7" s="422" t="s">
        <v>157</v>
      </c>
      <c r="D7" s="423" t="s">
        <v>78</v>
      </c>
      <c r="E7" s="424">
        <v>18450</v>
      </c>
      <c r="F7" s="424">
        <v>18450</v>
      </c>
    </row>
    <row r="8" spans="1:6" s="420" customFormat="1" ht="54.95" customHeight="1">
      <c r="A8" s="410" t="s">
        <v>157</v>
      </c>
      <c r="B8" s="410" t="s">
        <v>157</v>
      </c>
      <c r="C8" s="410" t="s">
        <v>158</v>
      </c>
      <c r="D8" s="411" t="s">
        <v>159</v>
      </c>
      <c r="E8" s="412">
        <v>18450</v>
      </c>
      <c r="F8" s="412">
        <v>0</v>
      </c>
    </row>
    <row r="9" spans="1:6" s="420" customFormat="1" ht="18" customHeight="1">
      <c r="A9" s="410" t="s">
        <v>157</v>
      </c>
      <c r="B9" s="410" t="s">
        <v>157</v>
      </c>
      <c r="C9" s="410" t="s">
        <v>160</v>
      </c>
      <c r="D9" s="411" t="s">
        <v>79</v>
      </c>
      <c r="E9" s="412">
        <v>0</v>
      </c>
      <c r="F9" s="412">
        <v>18450</v>
      </c>
    </row>
    <row r="10" spans="1:6" s="420" customFormat="1" ht="18" customHeight="1">
      <c r="A10" s="413" t="s">
        <v>161</v>
      </c>
      <c r="B10" s="413" t="s">
        <v>157</v>
      </c>
      <c r="C10" s="413" t="s">
        <v>157</v>
      </c>
      <c r="D10" s="414" t="s">
        <v>80</v>
      </c>
      <c r="E10" s="415">
        <v>397960</v>
      </c>
      <c r="F10" s="415">
        <v>397960</v>
      </c>
    </row>
    <row r="11" spans="1:6" s="420" customFormat="1" ht="18" customHeight="1">
      <c r="A11" s="422" t="s">
        <v>157</v>
      </c>
      <c r="B11" s="422" t="s">
        <v>162</v>
      </c>
      <c r="C11" s="422" t="s">
        <v>157</v>
      </c>
      <c r="D11" s="423" t="s">
        <v>81</v>
      </c>
      <c r="E11" s="424">
        <v>397960</v>
      </c>
      <c r="F11" s="424">
        <v>397960</v>
      </c>
    </row>
    <row r="12" spans="1:6" s="420" customFormat="1" ht="54.95" customHeight="1">
      <c r="A12" s="410" t="s">
        <v>157</v>
      </c>
      <c r="B12" s="410" t="s">
        <v>157</v>
      </c>
      <c r="C12" s="410" t="s">
        <v>158</v>
      </c>
      <c r="D12" s="411" t="s">
        <v>159</v>
      </c>
      <c r="E12" s="412">
        <v>397960</v>
      </c>
      <c r="F12" s="412">
        <v>0</v>
      </c>
    </row>
    <row r="13" spans="1:6" s="420" customFormat="1" ht="18" customHeight="1">
      <c r="A13" s="410" t="s">
        <v>157</v>
      </c>
      <c r="B13" s="410" t="s">
        <v>157</v>
      </c>
      <c r="C13" s="410" t="s">
        <v>163</v>
      </c>
      <c r="D13" s="411" t="s">
        <v>82</v>
      </c>
      <c r="E13" s="412">
        <v>0</v>
      </c>
      <c r="F13" s="412">
        <v>72308</v>
      </c>
    </row>
    <row r="14" spans="1:6" s="420" customFormat="1" ht="18" customHeight="1">
      <c r="A14" s="410" t="s">
        <v>157</v>
      </c>
      <c r="B14" s="410" t="s">
        <v>157</v>
      </c>
      <c r="C14" s="410" t="s">
        <v>164</v>
      </c>
      <c r="D14" s="411" t="s">
        <v>83</v>
      </c>
      <c r="E14" s="412">
        <v>0</v>
      </c>
      <c r="F14" s="412">
        <v>12430</v>
      </c>
    </row>
    <row r="15" spans="1:6" s="420" customFormat="1" ht="18" customHeight="1">
      <c r="A15" s="410" t="s">
        <v>157</v>
      </c>
      <c r="B15" s="410" t="s">
        <v>157</v>
      </c>
      <c r="C15" s="410" t="s">
        <v>165</v>
      </c>
      <c r="D15" s="411" t="s">
        <v>84</v>
      </c>
      <c r="E15" s="412">
        <v>0</v>
      </c>
      <c r="F15" s="412">
        <v>1772</v>
      </c>
    </row>
    <row r="16" spans="1:6" s="420" customFormat="1" ht="18" customHeight="1">
      <c r="A16" s="410" t="s">
        <v>157</v>
      </c>
      <c r="B16" s="410" t="s">
        <v>157</v>
      </c>
      <c r="C16" s="410" t="s">
        <v>166</v>
      </c>
      <c r="D16" s="411" t="s">
        <v>85</v>
      </c>
      <c r="E16" s="412">
        <v>0</v>
      </c>
      <c r="F16" s="412">
        <v>690</v>
      </c>
    </row>
    <row r="17" spans="1:6" s="420" customFormat="1" ht="18" customHeight="1">
      <c r="A17" s="410" t="s">
        <v>157</v>
      </c>
      <c r="B17" s="410" t="s">
        <v>157</v>
      </c>
      <c r="C17" s="410" t="s">
        <v>167</v>
      </c>
      <c r="D17" s="411" t="s">
        <v>86</v>
      </c>
      <c r="E17" s="412">
        <v>0</v>
      </c>
      <c r="F17" s="412">
        <v>40</v>
      </c>
    </row>
    <row r="18" spans="1:6" s="420" customFormat="1" ht="18" customHeight="1">
      <c r="A18" s="410" t="s">
        <v>157</v>
      </c>
      <c r="B18" s="410" t="s">
        <v>157</v>
      </c>
      <c r="C18" s="410" t="s">
        <v>168</v>
      </c>
      <c r="D18" s="411" t="s">
        <v>87</v>
      </c>
      <c r="E18" s="412">
        <v>0</v>
      </c>
      <c r="F18" s="412">
        <v>15472</v>
      </c>
    </row>
    <row r="19" spans="1:6" s="420" customFormat="1" ht="18" customHeight="1">
      <c r="A19" s="410" t="s">
        <v>157</v>
      </c>
      <c r="B19" s="410" t="s">
        <v>157</v>
      </c>
      <c r="C19" s="410" t="s">
        <v>169</v>
      </c>
      <c r="D19" s="411" t="s">
        <v>88</v>
      </c>
      <c r="E19" s="412">
        <v>0</v>
      </c>
      <c r="F19" s="412">
        <v>14551</v>
      </c>
    </row>
    <row r="20" spans="1:6" s="420" customFormat="1" ht="18" customHeight="1">
      <c r="A20" s="410" t="s">
        <v>157</v>
      </c>
      <c r="B20" s="410" t="s">
        <v>157</v>
      </c>
      <c r="C20" s="410" t="s">
        <v>160</v>
      </c>
      <c r="D20" s="411" t="s">
        <v>79</v>
      </c>
      <c r="E20" s="412">
        <v>0</v>
      </c>
      <c r="F20" s="412">
        <v>98254</v>
      </c>
    </row>
    <row r="21" spans="1:6" s="420" customFormat="1" ht="25.5">
      <c r="A21" s="410" t="s">
        <v>157</v>
      </c>
      <c r="B21" s="410" t="s">
        <v>157</v>
      </c>
      <c r="C21" s="410" t="s">
        <v>170</v>
      </c>
      <c r="D21" s="411" t="s">
        <v>89</v>
      </c>
      <c r="E21" s="412">
        <v>0</v>
      </c>
      <c r="F21" s="412">
        <v>77400</v>
      </c>
    </row>
    <row r="22" spans="1:6" s="420" customFormat="1" ht="18" customHeight="1">
      <c r="A22" s="410" t="s">
        <v>157</v>
      </c>
      <c r="B22" s="410" t="s">
        <v>157</v>
      </c>
      <c r="C22" s="410" t="s">
        <v>171</v>
      </c>
      <c r="D22" s="411" t="s">
        <v>90</v>
      </c>
      <c r="E22" s="412">
        <v>0</v>
      </c>
      <c r="F22" s="412">
        <v>0</v>
      </c>
    </row>
    <row r="23" spans="1:6" s="420" customFormat="1" ht="18" customHeight="1">
      <c r="A23" s="410" t="s">
        <v>157</v>
      </c>
      <c r="B23" s="410" t="s">
        <v>157</v>
      </c>
      <c r="C23" s="410" t="s">
        <v>172</v>
      </c>
      <c r="D23" s="411" t="s">
        <v>91</v>
      </c>
      <c r="E23" s="412">
        <v>0</v>
      </c>
      <c r="F23" s="412">
        <v>60000</v>
      </c>
    </row>
    <row r="24" spans="1:6" s="420" customFormat="1" ht="18" customHeight="1">
      <c r="A24" s="410" t="s">
        <v>157</v>
      </c>
      <c r="B24" s="410" t="s">
        <v>157</v>
      </c>
      <c r="C24" s="410" t="s">
        <v>173</v>
      </c>
      <c r="D24" s="411" t="s">
        <v>92</v>
      </c>
      <c r="E24" s="412">
        <v>0</v>
      </c>
      <c r="F24" s="412">
        <v>7528</v>
      </c>
    </row>
    <row r="25" spans="1:6" s="420" customFormat="1" ht="18" customHeight="1">
      <c r="A25" s="410" t="s">
        <v>157</v>
      </c>
      <c r="B25" s="410" t="s">
        <v>157</v>
      </c>
      <c r="C25" s="410" t="s">
        <v>174</v>
      </c>
      <c r="D25" s="411" t="s">
        <v>93</v>
      </c>
      <c r="E25" s="412">
        <v>0</v>
      </c>
      <c r="F25" s="412">
        <v>1955</v>
      </c>
    </row>
    <row r="26" spans="1:6" s="420" customFormat="1" ht="18" customHeight="1">
      <c r="A26" s="410" t="s">
        <v>157</v>
      </c>
      <c r="B26" s="410" t="s">
        <v>157</v>
      </c>
      <c r="C26" s="410" t="s">
        <v>175</v>
      </c>
      <c r="D26" s="411" t="s">
        <v>94</v>
      </c>
      <c r="E26" s="412">
        <v>0</v>
      </c>
      <c r="F26" s="412">
        <v>23560</v>
      </c>
    </row>
    <row r="27" spans="1:6" s="420" customFormat="1" ht="18" customHeight="1">
      <c r="A27" s="410" t="s">
        <v>157</v>
      </c>
      <c r="B27" s="410" t="s">
        <v>157</v>
      </c>
      <c r="C27" s="410" t="s">
        <v>176</v>
      </c>
      <c r="D27" s="411" t="s">
        <v>95</v>
      </c>
      <c r="E27" s="412">
        <v>0</v>
      </c>
      <c r="F27" s="412">
        <v>12000</v>
      </c>
    </row>
    <row r="28" spans="1:6" s="420" customFormat="1" ht="18" customHeight="1">
      <c r="A28" s="413" t="s">
        <v>177</v>
      </c>
      <c r="B28" s="413" t="s">
        <v>157</v>
      </c>
      <c r="C28" s="413" t="s">
        <v>157</v>
      </c>
      <c r="D28" s="414" t="s">
        <v>96</v>
      </c>
      <c r="E28" s="415">
        <v>1774685.49</v>
      </c>
      <c r="F28" s="415">
        <v>1774685.49</v>
      </c>
    </row>
    <row r="29" spans="1:6" s="420" customFormat="1" ht="18" customHeight="1">
      <c r="A29" s="422" t="s">
        <v>157</v>
      </c>
      <c r="B29" s="422" t="s">
        <v>97</v>
      </c>
      <c r="C29" s="422" t="s">
        <v>157</v>
      </c>
      <c r="D29" s="423" t="s">
        <v>98</v>
      </c>
      <c r="E29" s="424">
        <v>375092.49</v>
      </c>
      <c r="F29" s="424">
        <v>375092.49</v>
      </c>
    </row>
    <row r="30" spans="1:6" s="420" customFormat="1" ht="54.95" customHeight="1">
      <c r="A30" s="410" t="s">
        <v>157</v>
      </c>
      <c r="B30" s="410" t="s">
        <v>157</v>
      </c>
      <c r="C30" s="410" t="s">
        <v>158</v>
      </c>
      <c r="D30" s="411" t="s">
        <v>159</v>
      </c>
      <c r="E30" s="412">
        <v>375092.49</v>
      </c>
      <c r="F30" s="412">
        <v>0</v>
      </c>
    </row>
    <row r="31" spans="1:6" s="420" customFormat="1" ht="18" customHeight="1">
      <c r="A31" s="410" t="s">
        <v>157</v>
      </c>
      <c r="B31" s="410" t="s">
        <v>157</v>
      </c>
      <c r="C31" s="410" t="s">
        <v>163</v>
      </c>
      <c r="D31" s="411" t="s">
        <v>82</v>
      </c>
      <c r="E31" s="412">
        <v>0</v>
      </c>
      <c r="F31" s="412">
        <v>202480.2</v>
      </c>
    </row>
    <row r="32" spans="1:6" s="420" customFormat="1" ht="18" customHeight="1">
      <c r="A32" s="410" t="s">
        <v>157</v>
      </c>
      <c r="B32" s="410" t="s">
        <v>157</v>
      </c>
      <c r="C32" s="410" t="s">
        <v>164</v>
      </c>
      <c r="D32" s="411" t="s">
        <v>83</v>
      </c>
      <c r="E32" s="412">
        <v>0</v>
      </c>
      <c r="F32" s="412">
        <v>34807.29</v>
      </c>
    </row>
    <row r="33" spans="1:6" s="420" customFormat="1" ht="18" customHeight="1">
      <c r="A33" s="410" t="s">
        <v>157</v>
      </c>
      <c r="B33" s="410" t="s">
        <v>157</v>
      </c>
      <c r="C33" s="410" t="s">
        <v>165</v>
      </c>
      <c r="D33" s="411" t="s">
        <v>84</v>
      </c>
      <c r="E33" s="412">
        <v>0</v>
      </c>
      <c r="F33" s="412">
        <v>0</v>
      </c>
    </row>
    <row r="34" spans="1:6" s="420" customFormat="1" ht="18" customHeight="1">
      <c r="A34" s="410" t="s">
        <v>157</v>
      </c>
      <c r="B34" s="410" t="s">
        <v>157</v>
      </c>
      <c r="C34" s="410" t="s">
        <v>160</v>
      </c>
      <c r="D34" s="411" t="s">
        <v>79</v>
      </c>
      <c r="E34" s="412">
        <v>0</v>
      </c>
      <c r="F34" s="412">
        <v>137805</v>
      </c>
    </row>
    <row r="35" spans="1:6" s="420" customFormat="1" ht="18" customHeight="1">
      <c r="A35" s="422" t="s">
        <v>157</v>
      </c>
      <c r="B35" s="422" t="s">
        <v>178</v>
      </c>
      <c r="C35" s="422" t="s">
        <v>157</v>
      </c>
      <c r="D35" s="423" t="s">
        <v>99</v>
      </c>
      <c r="E35" s="424">
        <v>1399593</v>
      </c>
      <c r="F35" s="424">
        <v>1399593</v>
      </c>
    </row>
    <row r="36" spans="1:6" s="420" customFormat="1" ht="54.95" customHeight="1">
      <c r="A36" s="410" t="s">
        <v>157</v>
      </c>
      <c r="B36" s="410" t="s">
        <v>157</v>
      </c>
      <c r="C36" s="410" t="s">
        <v>158</v>
      </c>
      <c r="D36" s="411" t="s">
        <v>159</v>
      </c>
      <c r="E36" s="412">
        <v>1359588</v>
      </c>
      <c r="F36" s="412">
        <v>0</v>
      </c>
    </row>
    <row r="37" spans="1:6" s="420" customFormat="1" ht="53.25" customHeight="1">
      <c r="A37" s="410" t="s">
        <v>157</v>
      </c>
      <c r="B37" s="410" t="s">
        <v>157</v>
      </c>
      <c r="C37" s="410" t="s">
        <v>396</v>
      </c>
      <c r="D37" s="411" t="s">
        <v>397</v>
      </c>
      <c r="E37" s="412">
        <v>40005</v>
      </c>
      <c r="F37" s="412">
        <v>0</v>
      </c>
    </row>
    <row r="38" spans="1:6" s="420" customFormat="1" ht="18" customHeight="1">
      <c r="A38" s="410" t="s">
        <v>157</v>
      </c>
      <c r="B38" s="410" t="s">
        <v>157</v>
      </c>
      <c r="C38" s="410" t="s">
        <v>179</v>
      </c>
      <c r="D38" s="411" t="s">
        <v>100</v>
      </c>
      <c r="E38" s="412">
        <v>0</v>
      </c>
      <c r="F38" s="412">
        <v>1200</v>
      </c>
    </row>
    <row r="39" spans="1:6" s="420" customFormat="1" ht="18" customHeight="1">
      <c r="A39" s="410" t="s">
        <v>157</v>
      </c>
      <c r="B39" s="410" t="s">
        <v>157</v>
      </c>
      <c r="C39" s="410" t="s">
        <v>163</v>
      </c>
      <c r="D39" s="411" t="s">
        <v>82</v>
      </c>
      <c r="E39" s="412">
        <v>0</v>
      </c>
      <c r="F39" s="412">
        <v>239817</v>
      </c>
    </row>
    <row r="40" spans="1:6" s="420" customFormat="1" ht="18" customHeight="1">
      <c r="A40" s="410" t="s">
        <v>157</v>
      </c>
      <c r="B40" s="410" t="s">
        <v>157</v>
      </c>
      <c r="C40" s="410" t="s">
        <v>180</v>
      </c>
      <c r="D40" s="411" t="s">
        <v>101</v>
      </c>
      <c r="E40" s="412">
        <v>0</v>
      </c>
      <c r="F40" s="412">
        <v>639194</v>
      </c>
    </row>
    <row r="41" spans="1:6" s="420" customFormat="1" ht="18" customHeight="1">
      <c r="A41" s="410" t="s">
        <v>157</v>
      </c>
      <c r="B41" s="410" t="s">
        <v>157</v>
      </c>
      <c r="C41" s="410" t="s">
        <v>181</v>
      </c>
      <c r="D41" s="411" t="s">
        <v>102</v>
      </c>
      <c r="E41" s="412">
        <v>0</v>
      </c>
      <c r="F41" s="412">
        <v>58177</v>
      </c>
    </row>
    <row r="42" spans="1:6" s="420" customFormat="1" ht="18" customHeight="1">
      <c r="A42" s="410" t="s">
        <v>157</v>
      </c>
      <c r="B42" s="410" t="s">
        <v>157</v>
      </c>
      <c r="C42" s="410" t="s">
        <v>164</v>
      </c>
      <c r="D42" s="411" t="s">
        <v>83</v>
      </c>
      <c r="E42" s="412">
        <v>0</v>
      </c>
      <c r="F42" s="412">
        <v>159438</v>
      </c>
    </row>
    <row r="43" spans="1:6" s="420" customFormat="1" ht="18" customHeight="1">
      <c r="A43" s="410" t="s">
        <v>157</v>
      </c>
      <c r="B43" s="410" t="s">
        <v>157</v>
      </c>
      <c r="C43" s="410" t="s">
        <v>165</v>
      </c>
      <c r="D43" s="411" t="s">
        <v>84</v>
      </c>
      <c r="E43" s="412">
        <v>0</v>
      </c>
      <c r="F43" s="412">
        <v>11874</v>
      </c>
    </row>
    <row r="44" spans="1:6" s="420" customFormat="1" ht="18" customHeight="1">
      <c r="A44" s="410" t="s">
        <v>157</v>
      </c>
      <c r="B44" s="410" t="s">
        <v>157</v>
      </c>
      <c r="C44" s="410" t="s">
        <v>166</v>
      </c>
      <c r="D44" s="411" t="s">
        <v>85</v>
      </c>
      <c r="E44" s="412">
        <v>0</v>
      </c>
      <c r="F44" s="412">
        <v>0</v>
      </c>
    </row>
    <row r="45" spans="1:6" s="420" customFormat="1" ht="18" customHeight="1">
      <c r="A45" s="410" t="s">
        <v>157</v>
      </c>
      <c r="B45" s="410" t="s">
        <v>157</v>
      </c>
      <c r="C45" s="410" t="s">
        <v>167</v>
      </c>
      <c r="D45" s="411" t="s">
        <v>86</v>
      </c>
      <c r="E45" s="412">
        <v>0</v>
      </c>
      <c r="F45" s="412">
        <v>60316</v>
      </c>
    </row>
    <row r="46" spans="1:6" s="420" customFormat="1" ht="18" customHeight="1">
      <c r="A46" s="410" t="s">
        <v>157</v>
      </c>
      <c r="B46" s="410" t="s">
        <v>157</v>
      </c>
      <c r="C46" s="410" t="s">
        <v>168</v>
      </c>
      <c r="D46" s="411" t="s">
        <v>87</v>
      </c>
      <c r="E46" s="412">
        <v>0</v>
      </c>
      <c r="F46" s="412">
        <v>44030</v>
      </c>
    </row>
    <row r="47" spans="1:6" s="420" customFormat="1" ht="18" customHeight="1">
      <c r="A47" s="410" t="s">
        <v>157</v>
      </c>
      <c r="B47" s="410" t="s">
        <v>157</v>
      </c>
      <c r="C47" s="410" t="s">
        <v>169</v>
      </c>
      <c r="D47" s="411" t="s">
        <v>88</v>
      </c>
      <c r="E47" s="412">
        <v>0</v>
      </c>
      <c r="F47" s="412">
        <v>8050</v>
      </c>
    </row>
    <row r="48" spans="1:6" s="420" customFormat="1" ht="18" customHeight="1">
      <c r="A48" s="410" t="s">
        <v>157</v>
      </c>
      <c r="B48" s="410" t="s">
        <v>157</v>
      </c>
      <c r="C48" s="410" t="s">
        <v>182</v>
      </c>
      <c r="D48" s="411" t="s">
        <v>103</v>
      </c>
      <c r="E48" s="412">
        <v>0</v>
      </c>
      <c r="F48" s="412">
        <v>1964</v>
      </c>
    </row>
    <row r="49" spans="1:6" s="420" customFormat="1" ht="18" customHeight="1">
      <c r="A49" s="410" t="s">
        <v>157</v>
      </c>
      <c r="B49" s="410" t="s">
        <v>157</v>
      </c>
      <c r="C49" s="410" t="s">
        <v>160</v>
      </c>
      <c r="D49" s="411" t="s">
        <v>79</v>
      </c>
      <c r="E49" s="412">
        <v>0</v>
      </c>
      <c r="F49" s="412">
        <v>100882</v>
      </c>
    </row>
    <row r="50" spans="1:6" s="420" customFormat="1" ht="18" customHeight="1">
      <c r="A50" s="410" t="s">
        <v>157</v>
      </c>
      <c r="B50" s="410" t="s">
        <v>157</v>
      </c>
      <c r="C50" s="410" t="s">
        <v>183</v>
      </c>
      <c r="D50" s="411" t="s">
        <v>184</v>
      </c>
      <c r="E50" s="412">
        <v>0</v>
      </c>
      <c r="F50" s="412">
        <v>4251</v>
      </c>
    </row>
    <row r="51" spans="1:6" s="420" customFormat="1" ht="18" customHeight="1">
      <c r="A51" s="410" t="s">
        <v>157</v>
      </c>
      <c r="B51" s="410" t="s">
        <v>157</v>
      </c>
      <c r="C51" s="410" t="s">
        <v>185</v>
      </c>
      <c r="D51" s="411" t="s">
        <v>104</v>
      </c>
      <c r="E51" s="412">
        <v>0</v>
      </c>
      <c r="F51" s="412">
        <v>319</v>
      </c>
    </row>
    <row r="52" spans="1:6" s="420" customFormat="1" ht="18" customHeight="1">
      <c r="A52" s="410" t="s">
        <v>157</v>
      </c>
      <c r="B52" s="410" t="s">
        <v>157</v>
      </c>
      <c r="C52" s="410" t="s">
        <v>171</v>
      </c>
      <c r="D52" s="411" t="s">
        <v>90</v>
      </c>
      <c r="E52" s="412">
        <v>0</v>
      </c>
      <c r="F52" s="412">
        <v>4796</v>
      </c>
    </row>
    <row r="53" spans="1:6" s="420" customFormat="1" ht="18" customHeight="1">
      <c r="A53" s="410" t="s">
        <v>157</v>
      </c>
      <c r="B53" s="410" t="s">
        <v>157</v>
      </c>
      <c r="C53" s="410" t="s">
        <v>186</v>
      </c>
      <c r="D53" s="411" t="s">
        <v>105</v>
      </c>
      <c r="E53" s="412">
        <v>0</v>
      </c>
      <c r="F53" s="412">
        <v>20123</v>
      </c>
    </row>
    <row r="54" spans="1:6" s="420" customFormat="1" ht="18" customHeight="1">
      <c r="A54" s="410" t="s">
        <v>157</v>
      </c>
      <c r="B54" s="410" t="s">
        <v>157</v>
      </c>
      <c r="C54" s="410" t="s">
        <v>172</v>
      </c>
      <c r="D54" s="411" t="s">
        <v>91</v>
      </c>
      <c r="E54" s="412">
        <v>0</v>
      </c>
      <c r="F54" s="412">
        <v>0</v>
      </c>
    </row>
    <row r="55" spans="1:6" s="420" customFormat="1" ht="18" customHeight="1">
      <c r="A55" s="410" t="s">
        <v>157</v>
      </c>
      <c r="B55" s="410" t="s">
        <v>157</v>
      </c>
      <c r="C55" s="410" t="s">
        <v>187</v>
      </c>
      <c r="D55" s="411" t="s">
        <v>106</v>
      </c>
      <c r="E55" s="412">
        <v>0</v>
      </c>
      <c r="F55" s="412">
        <v>633</v>
      </c>
    </row>
    <row r="56" spans="1:6" s="420" customFormat="1" ht="18" customHeight="1">
      <c r="A56" s="410" t="s">
        <v>157</v>
      </c>
      <c r="B56" s="410" t="s">
        <v>157</v>
      </c>
      <c r="C56" s="410" t="s">
        <v>176</v>
      </c>
      <c r="D56" s="411" t="s">
        <v>95</v>
      </c>
      <c r="E56" s="412">
        <v>0</v>
      </c>
      <c r="F56" s="412">
        <v>1085</v>
      </c>
    </row>
    <row r="57" spans="1:6" s="420" customFormat="1" ht="25.5">
      <c r="A57" s="410" t="s">
        <v>157</v>
      </c>
      <c r="B57" s="410" t="s">
        <v>157</v>
      </c>
      <c r="C57" s="410" t="s">
        <v>188</v>
      </c>
      <c r="D57" s="411" t="s">
        <v>107</v>
      </c>
      <c r="E57" s="412">
        <v>0</v>
      </c>
      <c r="F57" s="412">
        <v>793</v>
      </c>
    </row>
    <row r="58" spans="1:6" s="420" customFormat="1" ht="18" customHeight="1">
      <c r="A58" s="410" t="s">
        <v>157</v>
      </c>
      <c r="B58" s="410" t="s">
        <v>157</v>
      </c>
      <c r="C58" s="410" t="s">
        <v>189</v>
      </c>
      <c r="D58" s="411" t="s">
        <v>108</v>
      </c>
      <c r="E58" s="412">
        <v>0</v>
      </c>
      <c r="F58" s="412">
        <v>2646</v>
      </c>
    </row>
    <row r="59" spans="1:6" s="420" customFormat="1" ht="18" customHeight="1">
      <c r="A59" s="410" t="s">
        <v>157</v>
      </c>
      <c r="B59" s="410" t="s">
        <v>157</v>
      </c>
      <c r="C59" s="410" t="s">
        <v>398</v>
      </c>
      <c r="D59" s="411" t="s">
        <v>399</v>
      </c>
      <c r="E59" s="412">
        <v>0</v>
      </c>
      <c r="F59" s="412">
        <v>40005</v>
      </c>
    </row>
    <row r="60" spans="1:6" s="420" customFormat="1" ht="18" customHeight="1">
      <c r="A60" s="413" t="s">
        <v>190</v>
      </c>
      <c r="B60" s="413" t="s">
        <v>157</v>
      </c>
      <c r="C60" s="413" t="s">
        <v>157</v>
      </c>
      <c r="D60" s="414" t="s">
        <v>109</v>
      </c>
      <c r="E60" s="415">
        <v>46838.879999999997</v>
      </c>
      <c r="F60" s="415">
        <v>46838.879999999997</v>
      </c>
    </row>
    <row r="61" spans="1:6" s="420" customFormat="1" ht="18" customHeight="1">
      <c r="A61" s="422" t="s">
        <v>157</v>
      </c>
      <c r="B61" s="422" t="s">
        <v>191</v>
      </c>
      <c r="C61" s="422" t="s">
        <v>157</v>
      </c>
      <c r="D61" s="423" t="s">
        <v>110</v>
      </c>
      <c r="E61" s="424">
        <v>46838.879999999997</v>
      </c>
      <c r="F61" s="424">
        <v>46838.879999999997</v>
      </c>
    </row>
    <row r="62" spans="1:6" s="420" customFormat="1" ht="54.95" customHeight="1">
      <c r="A62" s="410" t="s">
        <v>157</v>
      </c>
      <c r="B62" s="410" t="s">
        <v>157</v>
      </c>
      <c r="C62" s="410" t="s">
        <v>158</v>
      </c>
      <c r="D62" s="411" t="s">
        <v>159</v>
      </c>
      <c r="E62" s="412">
        <v>46838.879999999997</v>
      </c>
      <c r="F62" s="412">
        <v>0</v>
      </c>
    </row>
    <row r="63" spans="1:6" s="420" customFormat="1" ht="18" customHeight="1">
      <c r="A63" s="410" t="s">
        <v>157</v>
      </c>
      <c r="B63" s="410" t="s">
        <v>157</v>
      </c>
      <c r="C63" s="410" t="s">
        <v>163</v>
      </c>
      <c r="D63" s="411" t="s">
        <v>82</v>
      </c>
      <c r="E63" s="412">
        <v>0</v>
      </c>
      <c r="F63" s="412">
        <v>39152.5</v>
      </c>
    </row>
    <row r="64" spans="1:6" s="420" customFormat="1" ht="18" customHeight="1">
      <c r="A64" s="410" t="s">
        <v>157</v>
      </c>
      <c r="B64" s="410" t="s">
        <v>157</v>
      </c>
      <c r="C64" s="410" t="s">
        <v>164</v>
      </c>
      <c r="D64" s="411" t="s">
        <v>83</v>
      </c>
      <c r="E64" s="412">
        <v>0</v>
      </c>
      <c r="F64" s="412">
        <v>6729.71</v>
      </c>
    </row>
    <row r="65" spans="1:6" s="420" customFormat="1" ht="18" customHeight="1">
      <c r="A65" s="410" t="s">
        <v>157</v>
      </c>
      <c r="B65" s="410" t="s">
        <v>157</v>
      </c>
      <c r="C65" s="410" t="s">
        <v>165</v>
      </c>
      <c r="D65" s="411" t="s">
        <v>84</v>
      </c>
      <c r="E65" s="412">
        <v>0</v>
      </c>
      <c r="F65" s="412">
        <v>956.67</v>
      </c>
    </row>
    <row r="66" spans="1:6" s="420" customFormat="1" ht="18" customHeight="1">
      <c r="A66" s="413" t="s">
        <v>111</v>
      </c>
      <c r="B66" s="413" t="s">
        <v>157</v>
      </c>
      <c r="C66" s="413" t="s">
        <v>157</v>
      </c>
      <c r="D66" s="414" t="s">
        <v>112</v>
      </c>
      <c r="E66" s="415">
        <v>23146</v>
      </c>
      <c r="F66" s="415">
        <v>23146</v>
      </c>
    </row>
    <row r="67" spans="1:6" s="420" customFormat="1" ht="18" customHeight="1">
      <c r="A67" s="422" t="s">
        <v>157</v>
      </c>
      <c r="B67" s="422" t="s">
        <v>113</v>
      </c>
      <c r="C67" s="422" t="s">
        <v>157</v>
      </c>
      <c r="D67" s="423" t="s">
        <v>192</v>
      </c>
      <c r="E67" s="424">
        <v>23146</v>
      </c>
      <c r="F67" s="424">
        <v>23146</v>
      </c>
    </row>
    <row r="68" spans="1:6" s="420" customFormat="1" ht="54.95" customHeight="1">
      <c r="A68" s="410" t="s">
        <v>157</v>
      </c>
      <c r="B68" s="410" t="s">
        <v>157</v>
      </c>
      <c r="C68" s="410" t="s">
        <v>158</v>
      </c>
      <c r="D68" s="411" t="s">
        <v>159</v>
      </c>
      <c r="E68" s="412">
        <v>23146</v>
      </c>
      <c r="F68" s="412">
        <v>0</v>
      </c>
    </row>
    <row r="69" spans="1:6" s="420" customFormat="1" ht="18" customHeight="1">
      <c r="A69" s="410" t="s">
        <v>157</v>
      </c>
      <c r="B69" s="410" t="s">
        <v>157</v>
      </c>
      <c r="C69" s="410" t="s">
        <v>164</v>
      </c>
      <c r="D69" s="411" t="s">
        <v>83</v>
      </c>
      <c r="E69" s="412">
        <v>0</v>
      </c>
      <c r="F69" s="412">
        <v>343.8</v>
      </c>
    </row>
    <row r="70" spans="1:6" s="420" customFormat="1" ht="18" customHeight="1">
      <c r="A70" s="410" t="s">
        <v>157</v>
      </c>
      <c r="B70" s="410" t="s">
        <v>157</v>
      </c>
      <c r="C70" s="410" t="s">
        <v>165</v>
      </c>
      <c r="D70" s="411" t="s">
        <v>84</v>
      </c>
      <c r="E70" s="412">
        <v>0</v>
      </c>
      <c r="F70" s="412">
        <v>49</v>
      </c>
    </row>
    <row r="71" spans="1:6" s="420" customFormat="1" ht="18" customHeight="1">
      <c r="A71" s="410" t="s">
        <v>157</v>
      </c>
      <c r="B71" s="410" t="s">
        <v>157</v>
      </c>
      <c r="C71" s="410" t="s">
        <v>166</v>
      </c>
      <c r="D71" s="411" t="s">
        <v>85</v>
      </c>
      <c r="E71" s="412">
        <v>0</v>
      </c>
      <c r="F71" s="412">
        <v>22400</v>
      </c>
    </row>
    <row r="72" spans="1:6" s="420" customFormat="1" ht="18" customHeight="1">
      <c r="A72" s="410" t="s">
        <v>157</v>
      </c>
      <c r="B72" s="410" t="s">
        <v>157</v>
      </c>
      <c r="C72" s="410" t="s">
        <v>167</v>
      </c>
      <c r="D72" s="411" t="s">
        <v>86</v>
      </c>
      <c r="E72" s="412">
        <v>0</v>
      </c>
      <c r="F72" s="412">
        <v>338.2</v>
      </c>
    </row>
    <row r="73" spans="1:6" s="420" customFormat="1" ht="18" customHeight="1">
      <c r="A73" s="410" t="s">
        <v>157</v>
      </c>
      <c r="B73" s="410" t="s">
        <v>157</v>
      </c>
      <c r="C73" s="410" t="s">
        <v>160</v>
      </c>
      <c r="D73" s="411" t="s">
        <v>79</v>
      </c>
      <c r="E73" s="412">
        <v>0</v>
      </c>
      <c r="F73" s="412">
        <v>15</v>
      </c>
    </row>
    <row r="74" spans="1:6" s="420" customFormat="1" ht="18" customHeight="1">
      <c r="A74" s="413" t="s">
        <v>193</v>
      </c>
      <c r="B74" s="413" t="s">
        <v>157</v>
      </c>
      <c r="C74" s="413" t="s">
        <v>157</v>
      </c>
      <c r="D74" s="414" t="s">
        <v>114</v>
      </c>
      <c r="E74" s="415">
        <v>10173140</v>
      </c>
      <c r="F74" s="415">
        <v>10173140</v>
      </c>
    </row>
    <row r="75" spans="1:6" s="420" customFormat="1" ht="18" customHeight="1">
      <c r="A75" s="422" t="s">
        <v>157</v>
      </c>
      <c r="B75" s="422" t="s">
        <v>194</v>
      </c>
      <c r="C75" s="422" t="s">
        <v>157</v>
      </c>
      <c r="D75" s="423" t="s">
        <v>115</v>
      </c>
      <c r="E75" s="424">
        <v>10173140</v>
      </c>
      <c r="F75" s="424">
        <v>10173140</v>
      </c>
    </row>
    <row r="76" spans="1:6" s="420" customFormat="1" ht="54.95" customHeight="1">
      <c r="A76" s="410" t="s">
        <v>157</v>
      </c>
      <c r="B76" s="410" t="s">
        <v>157</v>
      </c>
      <c r="C76" s="410" t="s">
        <v>158</v>
      </c>
      <c r="D76" s="411" t="s">
        <v>159</v>
      </c>
      <c r="E76" s="412">
        <v>10173140</v>
      </c>
      <c r="F76" s="412">
        <v>0</v>
      </c>
    </row>
    <row r="77" spans="1:6" s="420" customFormat="1" ht="25.5">
      <c r="A77" s="410" t="s">
        <v>157</v>
      </c>
      <c r="B77" s="410" t="s">
        <v>157</v>
      </c>
      <c r="C77" s="410" t="s">
        <v>195</v>
      </c>
      <c r="D77" s="411" t="s">
        <v>116</v>
      </c>
      <c r="E77" s="412">
        <v>0</v>
      </c>
      <c r="F77" s="412">
        <v>373134</v>
      </c>
    </row>
    <row r="78" spans="1:6" s="420" customFormat="1" ht="18" customHeight="1">
      <c r="A78" s="410" t="s">
        <v>157</v>
      </c>
      <c r="B78" s="410" t="s">
        <v>157</v>
      </c>
      <c r="C78" s="410" t="s">
        <v>163</v>
      </c>
      <c r="D78" s="411" t="s">
        <v>82</v>
      </c>
      <c r="E78" s="412">
        <v>0</v>
      </c>
      <c r="F78" s="412">
        <v>70537</v>
      </c>
    </row>
    <row r="79" spans="1:6" s="420" customFormat="1" ht="18" customHeight="1">
      <c r="A79" s="410" t="s">
        <v>157</v>
      </c>
      <c r="B79" s="410" t="s">
        <v>157</v>
      </c>
      <c r="C79" s="410" t="s">
        <v>180</v>
      </c>
      <c r="D79" s="411" t="s">
        <v>101</v>
      </c>
      <c r="E79" s="412">
        <v>0</v>
      </c>
      <c r="F79" s="412">
        <v>173365</v>
      </c>
    </row>
    <row r="80" spans="1:6" s="420" customFormat="1" ht="18" customHeight="1">
      <c r="A80" s="410" t="s">
        <v>157</v>
      </c>
      <c r="B80" s="410" t="s">
        <v>157</v>
      </c>
      <c r="C80" s="410" t="s">
        <v>181</v>
      </c>
      <c r="D80" s="411" t="s">
        <v>102</v>
      </c>
      <c r="E80" s="412">
        <v>0</v>
      </c>
      <c r="F80" s="412">
        <v>16782</v>
      </c>
    </row>
    <row r="81" spans="1:6" s="420" customFormat="1" ht="18" customHeight="1">
      <c r="A81" s="410" t="s">
        <v>157</v>
      </c>
      <c r="B81" s="410" t="s">
        <v>157</v>
      </c>
      <c r="C81" s="410" t="s">
        <v>196</v>
      </c>
      <c r="D81" s="411" t="s">
        <v>117</v>
      </c>
      <c r="E81" s="412">
        <v>0</v>
      </c>
      <c r="F81" s="412">
        <v>6966122.8399999999</v>
      </c>
    </row>
    <row r="82" spans="1:6" s="420" customFormat="1" ht="25.5">
      <c r="A82" s="410" t="s">
        <v>157</v>
      </c>
      <c r="B82" s="410" t="s">
        <v>157</v>
      </c>
      <c r="C82" s="410" t="s">
        <v>197</v>
      </c>
      <c r="D82" s="411" t="s">
        <v>118</v>
      </c>
      <c r="E82" s="412">
        <v>0</v>
      </c>
      <c r="F82" s="412">
        <v>288602</v>
      </c>
    </row>
    <row r="83" spans="1:6" s="420" customFormat="1" ht="25.5">
      <c r="A83" s="410" t="s">
        <v>157</v>
      </c>
      <c r="B83" s="410" t="s">
        <v>157</v>
      </c>
      <c r="C83" s="410" t="s">
        <v>198</v>
      </c>
      <c r="D83" s="411" t="s">
        <v>119</v>
      </c>
      <c r="E83" s="412">
        <v>0</v>
      </c>
      <c r="F83" s="412">
        <v>542657</v>
      </c>
    </row>
    <row r="84" spans="1:6" s="420" customFormat="1" ht="18" customHeight="1">
      <c r="A84" s="410" t="s">
        <v>157</v>
      </c>
      <c r="B84" s="410" t="s">
        <v>157</v>
      </c>
      <c r="C84" s="410" t="s">
        <v>164</v>
      </c>
      <c r="D84" s="411" t="s">
        <v>83</v>
      </c>
      <c r="E84" s="412">
        <v>0</v>
      </c>
      <c r="F84" s="412">
        <v>47069</v>
      </c>
    </row>
    <row r="85" spans="1:6" s="420" customFormat="1" ht="18" customHeight="1">
      <c r="A85" s="410" t="s">
        <v>157</v>
      </c>
      <c r="B85" s="410" t="s">
        <v>157</v>
      </c>
      <c r="C85" s="410" t="s">
        <v>165</v>
      </c>
      <c r="D85" s="411" t="s">
        <v>84</v>
      </c>
      <c r="E85" s="412">
        <v>0</v>
      </c>
      <c r="F85" s="412">
        <v>6390</v>
      </c>
    </row>
    <row r="86" spans="1:6" s="420" customFormat="1" ht="18" customHeight="1">
      <c r="A86" s="410" t="s">
        <v>157</v>
      </c>
      <c r="B86" s="410" t="s">
        <v>157</v>
      </c>
      <c r="C86" s="410" t="s">
        <v>166</v>
      </c>
      <c r="D86" s="411" t="s">
        <v>85</v>
      </c>
      <c r="E86" s="412">
        <v>0</v>
      </c>
      <c r="F86" s="412">
        <v>1500</v>
      </c>
    </row>
    <row r="87" spans="1:6" s="420" customFormat="1" ht="25.5">
      <c r="A87" s="410" t="s">
        <v>157</v>
      </c>
      <c r="B87" s="410" t="s">
        <v>157</v>
      </c>
      <c r="C87" s="410" t="s">
        <v>199</v>
      </c>
      <c r="D87" s="411" t="s">
        <v>200</v>
      </c>
      <c r="E87" s="412">
        <v>0</v>
      </c>
      <c r="F87" s="412">
        <v>1271858.1599999999</v>
      </c>
    </row>
    <row r="88" spans="1:6" s="420" customFormat="1" ht="18" customHeight="1">
      <c r="A88" s="410" t="s">
        <v>157</v>
      </c>
      <c r="B88" s="410" t="s">
        <v>157</v>
      </c>
      <c r="C88" s="410" t="s">
        <v>167</v>
      </c>
      <c r="D88" s="411" t="s">
        <v>86</v>
      </c>
      <c r="E88" s="412">
        <v>0</v>
      </c>
      <c r="F88" s="412">
        <v>108616</v>
      </c>
    </row>
    <row r="89" spans="1:6" s="420" customFormat="1" ht="18" customHeight="1">
      <c r="A89" s="410" t="s">
        <v>157</v>
      </c>
      <c r="B89" s="410" t="s">
        <v>157</v>
      </c>
      <c r="C89" s="410" t="s">
        <v>201</v>
      </c>
      <c r="D89" s="411" t="s">
        <v>120</v>
      </c>
      <c r="E89" s="412">
        <v>0</v>
      </c>
      <c r="F89" s="412">
        <v>7095</v>
      </c>
    </row>
    <row r="90" spans="1:6" s="420" customFormat="1" ht="18" customHeight="1">
      <c r="A90" s="410" t="s">
        <v>157</v>
      </c>
      <c r="B90" s="410" t="s">
        <v>157</v>
      </c>
      <c r="C90" s="410" t="s">
        <v>202</v>
      </c>
      <c r="D90" s="411" t="s">
        <v>121</v>
      </c>
      <c r="E90" s="412">
        <v>0</v>
      </c>
      <c r="F90" s="412">
        <v>1000</v>
      </c>
    </row>
    <row r="91" spans="1:6" s="420" customFormat="1" ht="18" customHeight="1">
      <c r="A91" s="410" t="s">
        <v>157</v>
      </c>
      <c r="B91" s="410" t="s">
        <v>157</v>
      </c>
      <c r="C91" s="410" t="s">
        <v>203</v>
      </c>
      <c r="D91" s="411" t="s">
        <v>122</v>
      </c>
      <c r="E91" s="412">
        <v>0</v>
      </c>
      <c r="F91" s="412">
        <v>3651</v>
      </c>
    </row>
    <row r="92" spans="1:6" s="420" customFormat="1" ht="18" customHeight="1">
      <c r="A92" s="410" t="s">
        <v>157</v>
      </c>
      <c r="B92" s="410" t="s">
        <v>157</v>
      </c>
      <c r="C92" s="410" t="s">
        <v>168</v>
      </c>
      <c r="D92" s="411" t="s">
        <v>87</v>
      </c>
      <c r="E92" s="412">
        <v>0</v>
      </c>
      <c r="F92" s="412">
        <v>133386</v>
      </c>
    </row>
    <row r="93" spans="1:6" s="420" customFormat="1" ht="18" customHeight="1">
      <c r="A93" s="410" t="s">
        <v>157</v>
      </c>
      <c r="B93" s="410" t="s">
        <v>157</v>
      </c>
      <c r="C93" s="410" t="s">
        <v>169</v>
      </c>
      <c r="D93" s="411" t="s">
        <v>88</v>
      </c>
      <c r="E93" s="412">
        <v>0</v>
      </c>
      <c r="F93" s="412">
        <v>14483</v>
      </c>
    </row>
    <row r="94" spans="1:6" s="420" customFormat="1" ht="18" customHeight="1">
      <c r="A94" s="410" t="s">
        <v>157</v>
      </c>
      <c r="B94" s="410" t="s">
        <v>157</v>
      </c>
      <c r="C94" s="410" t="s">
        <v>182</v>
      </c>
      <c r="D94" s="411" t="s">
        <v>103</v>
      </c>
      <c r="E94" s="412">
        <v>0</v>
      </c>
      <c r="F94" s="412">
        <v>33458</v>
      </c>
    </row>
    <row r="95" spans="1:6" s="420" customFormat="1" ht="18" customHeight="1">
      <c r="A95" s="410" t="s">
        <v>157</v>
      </c>
      <c r="B95" s="410" t="s">
        <v>157</v>
      </c>
      <c r="C95" s="410" t="s">
        <v>160</v>
      </c>
      <c r="D95" s="411" t="s">
        <v>79</v>
      </c>
      <c r="E95" s="412">
        <v>0</v>
      </c>
      <c r="F95" s="412">
        <v>85591</v>
      </c>
    </row>
    <row r="96" spans="1:6" s="420" customFormat="1" ht="18" customHeight="1">
      <c r="A96" s="410" t="s">
        <v>157</v>
      </c>
      <c r="B96" s="410" t="s">
        <v>157</v>
      </c>
      <c r="C96" s="410" t="s">
        <v>183</v>
      </c>
      <c r="D96" s="411" t="s">
        <v>184</v>
      </c>
      <c r="E96" s="412">
        <v>0</v>
      </c>
      <c r="F96" s="412">
        <v>5544</v>
      </c>
    </row>
    <row r="97" spans="1:6" s="420" customFormat="1" ht="18" customHeight="1">
      <c r="A97" s="410" t="s">
        <v>157</v>
      </c>
      <c r="B97" s="410" t="s">
        <v>157</v>
      </c>
      <c r="C97" s="410" t="s">
        <v>185</v>
      </c>
      <c r="D97" s="411" t="s">
        <v>104</v>
      </c>
      <c r="E97" s="412">
        <v>0</v>
      </c>
      <c r="F97" s="412">
        <v>6600</v>
      </c>
    </row>
    <row r="98" spans="1:6" s="420" customFormat="1" ht="18" customHeight="1">
      <c r="A98" s="410" t="s">
        <v>157</v>
      </c>
      <c r="B98" s="410" t="s">
        <v>157</v>
      </c>
      <c r="C98" s="410" t="s">
        <v>171</v>
      </c>
      <c r="D98" s="411" t="s">
        <v>90</v>
      </c>
      <c r="E98" s="412">
        <v>0</v>
      </c>
      <c r="F98" s="412">
        <v>2953</v>
      </c>
    </row>
    <row r="99" spans="1:6" s="420" customFormat="1" ht="18" customHeight="1">
      <c r="A99" s="410" t="s">
        <v>157</v>
      </c>
      <c r="B99" s="410" t="s">
        <v>157</v>
      </c>
      <c r="C99" s="410" t="s">
        <v>186</v>
      </c>
      <c r="D99" s="411" t="s">
        <v>105</v>
      </c>
      <c r="E99" s="412">
        <v>0</v>
      </c>
      <c r="F99" s="412">
        <v>6652</v>
      </c>
    </row>
    <row r="100" spans="1:6" s="420" customFormat="1" ht="18" customHeight="1">
      <c r="A100" s="410" t="s">
        <v>157</v>
      </c>
      <c r="B100" s="410" t="s">
        <v>157</v>
      </c>
      <c r="C100" s="410" t="s">
        <v>172</v>
      </c>
      <c r="D100" s="411" t="s">
        <v>91</v>
      </c>
      <c r="E100" s="412">
        <v>0</v>
      </c>
      <c r="F100" s="412">
        <v>689</v>
      </c>
    </row>
    <row r="101" spans="1:6" s="420" customFormat="1" ht="18" customHeight="1">
      <c r="A101" s="410" t="s">
        <v>157</v>
      </c>
      <c r="B101" s="410" t="s">
        <v>157</v>
      </c>
      <c r="C101" s="410" t="s">
        <v>204</v>
      </c>
      <c r="D101" s="411" t="s">
        <v>123</v>
      </c>
      <c r="E101" s="412">
        <v>0</v>
      </c>
      <c r="F101" s="412">
        <v>4097</v>
      </c>
    </row>
    <row r="102" spans="1:6" s="420" customFormat="1" ht="18" customHeight="1">
      <c r="A102" s="410" t="s">
        <v>157</v>
      </c>
      <c r="B102" s="410" t="s">
        <v>157</v>
      </c>
      <c r="C102" s="410" t="s">
        <v>187</v>
      </c>
      <c r="D102" s="411" t="s">
        <v>106</v>
      </c>
      <c r="E102" s="412">
        <v>0</v>
      </c>
      <c r="F102" s="412">
        <v>0</v>
      </c>
    </row>
    <row r="103" spans="1:6" s="420" customFormat="1" ht="25.5">
      <c r="A103" s="410" t="s">
        <v>157</v>
      </c>
      <c r="B103" s="410" t="s">
        <v>157</v>
      </c>
      <c r="C103" s="410" t="s">
        <v>188</v>
      </c>
      <c r="D103" s="411" t="s">
        <v>107</v>
      </c>
      <c r="E103" s="412">
        <v>0</v>
      </c>
      <c r="F103" s="412">
        <v>1000</v>
      </c>
    </row>
    <row r="104" spans="1:6" s="420" customFormat="1" ht="18" customHeight="1">
      <c r="A104" s="410" t="s">
        <v>157</v>
      </c>
      <c r="B104" s="410" t="s">
        <v>157</v>
      </c>
      <c r="C104" s="410" t="s">
        <v>189</v>
      </c>
      <c r="D104" s="411" t="s">
        <v>108</v>
      </c>
      <c r="E104" s="412">
        <v>0</v>
      </c>
      <c r="F104" s="412">
        <v>308</v>
      </c>
    </row>
    <row r="105" spans="1:6" s="420" customFormat="1" ht="18" customHeight="1">
      <c r="A105" s="413" t="s">
        <v>124</v>
      </c>
      <c r="B105" s="413" t="s">
        <v>157</v>
      </c>
      <c r="C105" s="413" t="s">
        <v>157</v>
      </c>
      <c r="D105" s="414" t="s">
        <v>125</v>
      </c>
      <c r="E105" s="415">
        <v>330000</v>
      </c>
      <c r="F105" s="415">
        <v>330000</v>
      </c>
    </row>
    <row r="106" spans="1:6" s="420" customFormat="1" ht="18" customHeight="1">
      <c r="A106" s="422" t="s">
        <v>157</v>
      </c>
      <c r="B106" s="422" t="s">
        <v>126</v>
      </c>
      <c r="C106" s="422" t="s">
        <v>157</v>
      </c>
      <c r="D106" s="423" t="s">
        <v>127</v>
      </c>
      <c r="E106" s="424">
        <v>330000</v>
      </c>
      <c r="F106" s="424">
        <v>330000</v>
      </c>
    </row>
    <row r="107" spans="1:6" s="420" customFormat="1" ht="54.95" customHeight="1">
      <c r="A107" s="410" t="s">
        <v>157</v>
      </c>
      <c r="B107" s="410" t="s">
        <v>157</v>
      </c>
      <c r="C107" s="410" t="s">
        <v>158</v>
      </c>
      <c r="D107" s="411" t="s">
        <v>159</v>
      </c>
      <c r="E107" s="412">
        <v>330000</v>
      </c>
      <c r="F107" s="412">
        <v>0</v>
      </c>
    </row>
    <row r="108" spans="1:6" s="420" customFormat="1" ht="60" customHeight="1">
      <c r="A108" s="410" t="s">
        <v>157</v>
      </c>
      <c r="B108" s="410" t="s">
        <v>157</v>
      </c>
      <c r="C108" s="410" t="s">
        <v>205</v>
      </c>
      <c r="D108" s="411" t="s">
        <v>206</v>
      </c>
      <c r="E108" s="412">
        <v>0</v>
      </c>
      <c r="F108" s="412">
        <v>190080</v>
      </c>
    </row>
    <row r="109" spans="1:6" s="420" customFormat="1" ht="18" customHeight="1">
      <c r="A109" s="410" t="s">
        <v>157</v>
      </c>
      <c r="B109" s="410" t="s">
        <v>157</v>
      </c>
      <c r="C109" s="410" t="s">
        <v>163</v>
      </c>
      <c r="D109" s="411" t="s">
        <v>82</v>
      </c>
      <c r="E109" s="412">
        <v>0</v>
      </c>
      <c r="F109" s="412">
        <v>5396</v>
      </c>
    </row>
    <row r="110" spans="1:6" s="420" customFormat="1" ht="18" customHeight="1">
      <c r="A110" s="410" t="s">
        <v>157</v>
      </c>
      <c r="B110" s="410" t="s">
        <v>157</v>
      </c>
      <c r="C110" s="410" t="s">
        <v>164</v>
      </c>
      <c r="D110" s="411" t="s">
        <v>83</v>
      </c>
      <c r="E110" s="412">
        <v>0</v>
      </c>
      <c r="F110" s="412">
        <v>928</v>
      </c>
    </row>
    <row r="111" spans="1:6" s="420" customFormat="1" ht="18" customHeight="1">
      <c r="A111" s="410" t="s">
        <v>157</v>
      </c>
      <c r="B111" s="410" t="s">
        <v>157</v>
      </c>
      <c r="C111" s="410" t="s">
        <v>165</v>
      </c>
      <c r="D111" s="411" t="s">
        <v>84</v>
      </c>
      <c r="E111" s="412">
        <v>0</v>
      </c>
      <c r="F111" s="412">
        <v>132</v>
      </c>
    </row>
    <row r="112" spans="1:6" s="420" customFormat="1" ht="18" customHeight="1">
      <c r="A112" s="410" t="s">
        <v>157</v>
      </c>
      <c r="B112" s="410" t="s">
        <v>157</v>
      </c>
      <c r="C112" s="410" t="s">
        <v>167</v>
      </c>
      <c r="D112" s="411" t="s">
        <v>86</v>
      </c>
      <c r="E112" s="412">
        <v>0</v>
      </c>
      <c r="F112" s="412">
        <v>11955</v>
      </c>
    </row>
    <row r="113" spans="1:6" s="420" customFormat="1" ht="18" customHeight="1">
      <c r="A113" s="410" t="s">
        <v>157</v>
      </c>
      <c r="B113" s="410" t="s">
        <v>157</v>
      </c>
      <c r="C113" s="410" t="s">
        <v>160</v>
      </c>
      <c r="D113" s="411" t="s">
        <v>79</v>
      </c>
      <c r="E113" s="412">
        <v>0</v>
      </c>
      <c r="F113" s="412">
        <v>121120</v>
      </c>
    </row>
    <row r="114" spans="1:6" s="420" customFormat="1" ht="25.5">
      <c r="A114" s="410" t="s">
        <v>157</v>
      </c>
      <c r="B114" s="410" t="s">
        <v>157</v>
      </c>
      <c r="C114" s="410" t="s">
        <v>188</v>
      </c>
      <c r="D114" s="411" t="s">
        <v>107</v>
      </c>
      <c r="E114" s="412">
        <v>0</v>
      </c>
      <c r="F114" s="412">
        <v>389</v>
      </c>
    </row>
    <row r="115" spans="1:6" s="420" customFormat="1" ht="18" customHeight="1">
      <c r="A115" s="413" t="s">
        <v>339</v>
      </c>
      <c r="B115" s="413" t="s">
        <v>157</v>
      </c>
      <c r="C115" s="413" t="s">
        <v>157</v>
      </c>
      <c r="D115" s="414" t="s">
        <v>340</v>
      </c>
      <c r="E115" s="415">
        <v>82434.36</v>
      </c>
      <c r="F115" s="415">
        <v>82434.36</v>
      </c>
    </row>
    <row r="116" spans="1:6" s="420" customFormat="1" ht="50.1" customHeight="1">
      <c r="A116" s="422" t="s">
        <v>157</v>
      </c>
      <c r="B116" s="422" t="s">
        <v>341</v>
      </c>
      <c r="C116" s="422" t="s">
        <v>157</v>
      </c>
      <c r="D116" s="423" t="s">
        <v>342</v>
      </c>
      <c r="E116" s="424">
        <v>82434.36</v>
      </c>
      <c r="F116" s="424">
        <v>82434.36</v>
      </c>
    </row>
    <row r="117" spans="1:6" s="420" customFormat="1" ht="54.95" customHeight="1">
      <c r="A117" s="410" t="s">
        <v>157</v>
      </c>
      <c r="B117" s="410" t="s">
        <v>157</v>
      </c>
      <c r="C117" s="410" t="s">
        <v>158</v>
      </c>
      <c r="D117" s="411" t="s">
        <v>159</v>
      </c>
      <c r="E117" s="412">
        <v>82434.36</v>
      </c>
      <c r="F117" s="412">
        <v>0</v>
      </c>
    </row>
    <row r="118" spans="1:6" s="420" customFormat="1" ht="38.25">
      <c r="A118" s="410" t="s">
        <v>157</v>
      </c>
      <c r="B118" s="410" t="s">
        <v>157</v>
      </c>
      <c r="C118" s="410" t="s">
        <v>343</v>
      </c>
      <c r="D118" s="411" t="s">
        <v>400</v>
      </c>
      <c r="E118" s="412">
        <v>0</v>
      </c>
      <c r="F118" s="412">
        <v>26300.76</v>
      </c>
    </row>
    <row r="119" spans="1:6" s="420" customFormat="1" ht="18" customHeight="1">
      <c r="A119" s="410" t="s">
        <v>157</v>
      </c>
      <c r="B119" s="410" t="s">
        <v>157</v>
      </c>
      <c r="C119" s="410" t="s">
        <v>345</v>
      </c>
      <c r="D119" s="411" t="s">
        <v>346</v>
      </c>
      <c r="E119" s="412">
        <v>0</v>
      </c>
      <c r="F119" s="412">
        <v>56133.599999999999</v>
      </c>
    </row>
    <row r="120" spans="1:6" s="420" customFormat="1" ht="18" customHeight="1">
      <c r="A120" s="413" t="s">
        <v>207</v>
      </c>
      <c r="B120" s="413" t="s">
        <v>157</v>
      </c>
      <c r="C120" s="413" t="s">
        <v>157</v>
      </c>
      <c r="D120" s="414" t="s">
        <v>128</v>
      </c>
      <c r="E120" s="415">
        <v>0</v>
      </c>
      <c r="F120" s="415">
        <v>0</v>
      </c>
    </row>
    <row r="121" spans="1:6" s="420" customFormat="1" ht="35.1" customHeight="1">
      <c r="A121" s="422" t="s">
        <v>157</v>
      </c>
      <c r="B121" s="422" t="s">
        <v>208</v>
      </c>
      <c r="C121" s="422" t="s">
        <v>157</v>
      </c>
      <c r="D121" s="423" t="s">
        <v>401</v>
      </c>
      <c r="E121" s="424">
        <v>0</v>
      </c>
      <c r="F121" s="424">
        <v>0</v>
      </c>
    </row>
    <row r="122" spans="1:6" s="420" customFormat="1" ht="54.95" customHeight="1">
      <c r="A122" s="410" t="s">
        <v>157</v>
      </c>
      <c r="B122" s="410" t="s">
        <v>157</v>
      </c>
      <c r="C122" s="410" t="s">
        <v>158</v>
      </c>
      <c r="D122" s="411" t="s">
        <v>159</v>
      </c>
      <c r="E122" s="412">
        <v>0</v>
      </c>
      <c r="F122" s="412">
        <v>0</v>
      </c>
    </row>
    <row r="123" spans="1:6" s="420" customFormat="1" ht="18" customHeight="1">
      <c r="A123" s="410" t="s">
        <v>157</v>
      </c>
      <c r="B123" s="410" t="s">
        <v>157</v>
      </c>
      <c r="C123" s="410" t="s">
        <v>209</v>
      </c>
      <c r="D123" s="411" t="s">
        <v>129</v>
      </c>
      <c r="E123" s="412">
        <v>0</v>
      </c>
      <c r="F123" s="412">
        <v>0</v>
      </c>
    </row>
    <row r="124" spans="1:6" s="420" customFormat="1" ht="18" customHeight="1">
      <c r="A124" s="413" t="s">
        <v>130</v>
      </c>
      <c r="B124" s="413" t="s">
        <v>157</v>
      </c>
      <c r="C124" s="413" t="s">
        <v>157</v>
      </c>
      <c r="D124" s="414" t="s">
        <v>131</v>
      </c>
      <c r="E124" s="415">
        <v>1306580.44</v>
      </c>
      <c r="F124" s="415">
        <v>1309070.44</v>
      </c>
    </row>
    <row r="125" spans="1:6" s="420" customFormat="1" ht="18" customHeight="1">
      <c r="A125" s="422" t="s">
        <v>157</v>
      </c>
      <c r="B125" s="422" t="s">
        <v>210</v>
      </c>
      <c r="C125" s="422" t="s">
        <v>157</v>
      </c>
      <c r="D125" s="423" t="s">
        <v>132</v>
      </c>
      <c r="E125" s="424">
        <v>1088293.44</v>
      </c>
      <c r="F125" s="424">
        <v>1090783.44</v>
      </c>
    </row>
    <row r="126" spans="1:6" s="420" customFormat="1" ht="54.95" customHeight="1">
      <c r="A126" s="410" t="s">
        <v>157</v>
      </c>
      <c r="B126" s="410" t="s">
        <v>157</v>
      </c>
      <c r="C126" s="410" t="s">
        <v>158</v>
      </c>
      <c r="D126" s="411" t="s">
        <v>159</v>
      </c>
      <c r="E126" s="412">
        <v>1088293.44</v>
      </c>
      <c r="F126" s="412">
        <v>0</v>
      </c>
    </row>
    <row r="127" spans="1:6" s="420" customFormat="1" ht="18" customHeight="1">
      <c r="A127" s="410" t="s">
        <v>157</v>
      </c>
      <c r="B127" s="410" t="s">
        <v>157</v>
      </c>
      <c r="C127" s="410" t="s">
        <v>179</v>
      </c>
      <c r="D127" s="411" t="s">
        <v>100</v>
      </c>
      <c r="E127" s="412">
        <v>0</v>
      </c>
      <c r="F127" s="412">
        <v>300</v>
      </c>
    </row>
    <row r="128" spans="1:6" s="420" customFormat="1" ht="18" customHeight="1">
      <c r="A128" s="410" t="s">
        <v>157</v>
      </c>
      <c r="B128" s="410" t="s">
        <v>157</v>
      </c>
      <c r="C128" s="410" t="s">
        <v>163</v>
      </c>
      <c r="D128" s="411" t="s">
        <v>82</v>
      </c>
      <c r="E128" s="412">
        <v>0</v>
      </c>
      <c r="F128" s="412">
        <v>596998</v>
      </c>
    </row>
    <row r="129" spans="1:6" s="420" customFormat="1" ht="18" customHeight="1">
      <c r="A129" s="410" t="s">
        <v>157</v>
      </c>
      <c r="B129" s="410" t="s">
        <v>157</v>
      </c>
      <c r="C129" s="410" t="s">
        <v>181</v>
      </c>
      <c r="D129" s="411" t="s">
        <v>102</v>
      </c>
      <c r="E129" s="412">
        <v>0</v>
      </c>
      <c r="F129" s="412">
        <v>41501</v>
      </c>
    </row>
    <row r="130" spans="1:6" s="420" customFormat="1" ht="18" customHeight="1">
      <c r="A130" s="410" t="s">
        <v>157</v>
      </c>
      <c r="B130" s="410" t="s">
        <v>157</v>
      </c>
      <c r="C130" s="410" t="s">
        <v>164</v>
      </c>
      <c r="D130" s="411" t="s">
        <v>83</v>
      </c>
      <c r="E130" s="412">
        <v>0</v>
      </c>
      <c r="F130" s="412">
        <v>108802</v>
      </c>
    </row>
    <row r="131" spans="1:6" s="420" customFormat="1" ht="18" customHeight="1">
      <c r="A131" s="410" t="s">
        <v>157</v>
      </c>
      <c r="B131" s="410" t="s">
        <v>157</v>
      </c>
      <c r="C131" s="410" t="s">
        <v>165</v>
      </c>
      <c r="D131" s="411" t="s">
        <v>84</v>
      </c>
      <c r="E131" s="412">
        <v>0</v>
      </c>
      <c r="F131" s="412">
        <v>11551</v>
      </c>
    </row>
    <row r="132" spans="1:6" s="420" customFormat="1" ht="18" customHeight="1">
      <c r="A132" s="410" t="s">
        <v>157</v>
      </c>
      <c r="B132" s="410" t="s">
        <v>157</v>
      </c>
      <c r="C132" s="410" t="s">
        <v>167</v>
      </c>
      <c r="D132" s="411" t="s">
        <v>86</v>
      </c>
      <c r="E132" s="412">
        <v>0</v>
      </c>
      <c r="F132" s="412">
        <v>88192</v>
      </c>
    </row>
    <row r="133" spans="1:6" s="420" customFormat="1" ht="18" customHeight="1">
      <c r="A133" s="410" t="s">
        <v>157</v>
      </c>
      <c r="B133" s="410" t="s">
        <v>157</v>
      </c>
      <c r="C133" s="410" t="s">
        <v>201</v>
      </c>
      <c r="D133" s="411" t="s">
        <v>120</v>
      </c>
      <c r="E133" s="412">
        <v>0</v>
      </c>
      <c r="F133" s="412">
        <v>30132</v>
      </c>
    </row>
    <row r="134" spans="1:6" s="420" customFormat="1" ht="18" customHeight="1">
      <c r="A134" s="410" t="s">
        <v>157</v>
      </c>
      <c r="B134" s="410" t="s">
        <v>157</v>
      </c>
      <c r="C134" s="410" t="s">
        <v>168</v>
      </c>
      <c r="D134" s="411" t="s">
        <v>87</v>
      </c>
      <c r="E134" s="412">
        <v>0</v>
      </c>
      <c r="F134" s="412">
        <v>10006</v>
      </c>
    </row>
    <row r="135" spans="1:6" s="420" customFormat="1" ht="18" customHeight="1">
      <c r="A135" s="410" t="s">
        <v>157</v>
      </c>
      <c r="B135" s="410" t="s">
        <v>157</v>
      </c>
      <c r="C135" s="410" t="s">
        <v>169</v>
      </c>
      <c r="D135" s="411" t="s">
        <v>88</v>
      </c>
      <c r="E135" s="412">
        <v>0</v>
      </c>
      <c r="F135" s="412">
        <v>16000</v>
      </c>
    </row>
    <row r="136" spans="1:6" s="420" customFormat="1" ht="18" customHeight="1">
      <c r="A136" s="410" t="s">
        <v>157</v>
      </c>
      <c r="B136" s="410" t="s">
        <v>157</v>
      </c>
      <c r="C136" s="410" t="s">
        <v>182</v>
      </c>
      <c r="D136" s="411" t="s">
        <v>103</v>
      </c>
      <c r="E136" s="412">
        <v>0</v>
      </c>
      <c r="F136" s="412">
        <v>420</v>
      </c>
    </row>
    <row r="137" spans="1:6" s="420" customFormat="1" ht="18" customHeight="1">
      <c r="A137" s="410" t="s">
        <v>157</v>
      </c>
      <c r="B137" s="410" t="s">
        <v>157</v>
      </c>
      <c r="C137" s="410" t="s">
        <v>160</v>
      </c>
      <c r="D137" s="411" t="s">
        <v>79</v>
      </c>
      <c r="E137" s="412">
        <v>0</v>
      </c>
      <c r="F137" s="412">
        <v>141425.44</v>
      </c>
    </row>
    <row r="138" spans="1:6" s="420" customFormat="1" ht="18" customHeight="1">
      <c r="A138" s="410" t="s">
        <v>157</v>
      </c>
      <c r="B138" s="410" t="s">
        <v>157</v>
      </c>
      <c r="C138" s="410" t="s">
        <v>183</v>
      </c>
      <c r="D138" s="411" t="s">
        <v>184</v>
      </c>
      <c r="E138" s="412">
        <v>0</v>
      </c>
      <c r="F138" s="412">
        <v>1375</v>
      </c>
    </row>
    <row r="139" spans="1:6" s="420" customFormat="1" ht="18" customHeight="1">
      <c r="A139" s="410" t="s">
        <v>157</v>
      </c>
      <c r="B139" s="410" t="s">
        <v>157</v>
      </c>
      <c r="C139" s="410" t="s">
        <v>185</v>
      </c>
      <c r="D139" s="411" t="s">
        <v>104</v>
      </c>
      <c r="E139" s="412">
        <v>0</v>
      </c>
      <c r="F139" s="412">
        <v>2522</v>
      </c>
    </row>
    <row r="140" spans="1:6" s="420" customFormat="1" ht="18" customHeight="1">
      <c r="A140" s="410" t="s">
        <v>157</v>
      </c>
      <c r="B140" s="410" t="s">
        <v>157</v>
      </c>
      <c r="C140" s="410" t="s">
        <v>171</v>
      </c>
      <c r="D140" s="411" t="s">
        <v>90</v>
      </c>
      <c r="E140" s="412">
        <v>0</v>
      </c>
      <c r="F140" s="412">
        <v>659</v>
      </c>
    </row>
    <row r="141" spans="1:6" s="420" customFormat="1" ht="18" customHeight="1">
      <c r="A141" s="410" t="s">
        <v>157</v>
      </c>
      <c r="B141" s="410" t="s">
        <v>157</v>
      </c>
      <c r="C141" s="410" t="s">
        <v>186</v>
      </c>
      <c r="D141" s="411" t="s">
        <v>105</v>
      </c>
      <c r="E141" s="412">
        <v>0</v>
      </c>
      <c r="F141" s="412">
        <v>15943</v>
      </c>
    </row>
    <row r="142" spans="1:6" s="420" customFormat="1" ht="18" customHeight="1">
      <c r="A142" s="410" t="s">
        <v>157</v>
      </c>
      <c r="B142" s="410" t="s">
        <v>157</v>
      </c>
      <c r="C142" s="410" t="s">
        <v>172</v>
      </c>
      <c r="D142" s="411" t="s">
        <v>91</v>
      </c>
      <c r="E142" s="412">
        <v>0</v>
      </c>
      <c r="F142" s="412">
        <v>3632</v>
      </c>
    </row>
    <row r="143" spans="1:6" s="420" customFormat="1" ht="18" customHeight="1">
      <c r="A143" s="410" t="s">
        <v>157</v>
      </c>
      <c r="B143" s="410" t="s">
        <v>157</v>
      </c>
      <c r="C143" s="410" t="s">
        <v>173</v>
      </c>
      <c r="D143" s="411" t="s">
        <v>92</v>
      </c>
      <c r="E143" s="412">
        <v>0</v>
      </c>
      <c r="F143" s="412">
        <v>3057</v>
      </c>
    </row>
    <row r="144" spans="1:6" s="420" customFormat="1" ht="25.5">
      <c r="A144" s="410" t="s">
        <v>157</v>
      </c>
      <c r="B144" s="410" t="s">
        <v>157</v>
      </c>
      <c r="C144" s="410" t="s">
        <v>188</v>
      </c>
      <c r="D144" s="411" t="s">
        <v>107</v>
      </c>
      <c r="E144" s="412">
        <v>0</v>
      </c>
      <c r="F144" s="412">
        <v>16150</v>
      </c>
    </row>
    <row r="145" spans="1:6" s="420" customFormat="1" ht="18" customHeight="1">
      <c r="A145" s="410" t="s">
        <v>157</v>
      </c>
      <c r="B145" s="410" t="s">
        <v>157</v>
      </c>
      <c r="C145" s="410" t="s">
        <v>189</v>
      </c>
      <c r="D145" s="411" t="s">
        <v>108</v>
      </c>
      <c r="E145" s="412">
        <v>0</v>
      </c>
      <c r="F145" s="412">
        <v>2118</v>
      </c>
    </row>
    <row r="146" spans="1:6" s="420" customFormat="1" ht="18" customHeight="1">
      <c r="A146" s="422" t="s">
        <v>157</v>
      </c>
      <c r="B146" s="422" t="s">
        <v>133</v>
      </c>
      <c r="C146" s="422" t="s">
        <v>157</v>
      </c>
      <c r="D146" s="423" t="s">
        <v>134</v>
      </c>
      <c r="E146" s="424">
        <v>218287</v>
      </c>
      <c r="F146" s="424">
        <v>218287</v>
      </c>
    </row>
    <row r="147" spans="1:6" s="420" customFormat="1" ht="54.95" customHeight="1">
      <c r="A147" s="410" t="s">
        <v>157</v>
      </c>
      <c r="B147" s="410" t="s">
        <v>157</v>
      </c>
      <c r="C147" s="410" t="s">
        <v>158</v>
      </c>
      <c r="D147" s="411" t="s">
        <v>159</v>
      </c>
      <c r="E147" s="412">
        <v>218287</v>
      </c>
      <c r="F147" s="412">
        <v>0</v>
      </c>
    </row>
    <row r="148" spans="1:6" s="420" customFormat="1" ht="18" customHeight="1">
      <c r="A148" s="410" t="s">
        <v>157</v>
      </c>
      <c r="B148" s="410" t="s">
        <v>157</v>
      </c>
      <c r="C148" s="410" t="s">
        <v>211</v>
      </c>
      <c r="D148" s="411" t="s">
        <v>135</v>
      </c>
      <c r="E148" s="412">
        <v>0</v>
      </c>
      <c r="F148" s="412">
        <v>218287</v>
      </c>
    </row>
    <row r="149" spans="1:6" s="420" customFormat="1" ht="18" customHeight="1">
      <c r="A149" s="413" t="s">
        <v>212</v>
      </c>
      <c r="B149" s="413" t="s">
        <v>157</v>
      </c>
      <c r="C149" s="413" t="s">
        <v>157</v>
      </c>
      <c r="D149" s="414" t="s">
        <v>136</v>
      </c>
      <c r="E149" s="415">
        <v>580749.35</v>
      </c>
      <c r="F149" s="415">
        <v>580749.35</v>
      </c>
    </row>
    <row r="150" spans="1:6" s="420" customFormat="1" ht="18" customHeight="1">
      <c r="A150" s="422" t="s">
        <v>157</v>
      </c>
      <c r="B150" s="422" t="s">
        <v>213</v>
      </c>
      <c r="C150" s="422" t="s">
        <v>157</v>
      </c>
      <c r="D150" s="423" t="s">
        <v>137</v>
      </c>
      <c r="E150" s="424">
        <v>460629.35</v>
      </c>
      <c r="F150" s="424">
        <v>460629.35</v>
      </c>
    </row>
    <row r="151" spans="1:6" s="420" customFormat="1" ht="54.95" customHeight="1">
      <c r="A151" s="410" t="s">
        <v>157</v>
      </c>
      <c r="B151" s="410" t="s">
        <v>157</v>
      </c>
      <c r="C151" s="410" t="s">
        <v>158</v>
      </c>
      <c r="D151" s="411" t="s">
        <v>159</v>
      </c>
      <c r="E151" s="412">
        <v>460629.35</v>
      </c>
      <c r="F151" s="412">
        <v>0</v>
      </c>
    </row>
    <row r="152" spans="1:6" s="420" customFormat="1" ht="18" customHeight="1">
      <c r="A152" s="410" t="s">
        <v>157</v>
      </c>
      <c r="B152" s="410" t="s">
        <v>157</v>
      </c>
      <c r="C152" s="410" t="s">
        <v>179</v>
      </c>
      <c r="D152" s="411" t="s">
        <v>100</v>
      </c>
      <c r="E152" s="412">
        <v>0</v>
      </c>
      <c r="F152" s="412">
        <v>1320</v>
      </c>
    </row>
    <row r="153" spans="1:6" s="420" customFormat="1" ht="18" customHeight="1">
      <c r="A153" s="410" t="s">
        <v>157</v>
      </c>
      <c r="B153" s="410" t="s">
        <v>157</v>
      </c>
      <c r="C153" s="410" t="s">
        <v>163</v>
      </c>
      <c r="D153" s="411" t="s">
        <v>82</v>
      </c>
      <c r="E153" s="412">
        <v>0</v>
      </c>
      <c r="F153" s="412">
        <v>142793.35</v>
      </c>
    </row>
    <row r="154" spans="1:6" s="420" customFormat="1" ht="18" customHeight="1">
      <c r="A154" s="410" t="s">
        <v>157</v>
      </c>
      <c r="B154" s="410" t="s">
        <v>157</v>
      </c>
      <c r="C154" s="410" t="s">
        <v>181</v>
      </c>
      <c r="D154" s="411" t="s">
        <v>102</v>
      </c>
      <c r="E154" s="412">
        <v>0</v>
      </c>
      <c r="F154" s="412">
        <v>10348</v>
      </c>
    </row>
    <row r="155" spans="1:6" s="420" customFormat="1" ht="18" customHeight="1">
      <c r="A155" s="410" t="s">
        <v>157</v>
      </c>
      <c r="B155" s="410" t="s">
        <v>157</v>
      </c>
      <c r="C155" s="410" t="s">
        <v>164</v>
      </c>
      <c r="D155" s="411" t="s">
        <v>83</v>
      </c>
      <c r="E155" s="412">
        <v>0</v>
      </c>
      <c r="F155" s="412">
        <v>34862</v>
      </c>
    </row>
    <row r="156" spans="1:6" s="420" customFormat="1" ht="18" customHeight="1">
      <c r="A156" s="410" t="s">
        <v>157</v>
      </c>
      <c r="B156" s="410" t="s">
        <v>157</v>
      </c>
      <c r="C156" s="410" t="s">
        <v>165</v>
      </c>
      <c r="D156" s="411" t="s">
        <v>84</v>
      </c>
      <c r="E156" s="412">
        <v>0</v>
      </c>
      <c r="F156" s="412">
        <v>2038</v>
      </c>
    </row>
    <row r="157" spans="1:6" s="420" customFormat="1" ht="18" customHeight="1">
      <c r="A157" s="410" t="s">
        <v>157</v>
      </c>
      <c r="B157" s="410" t="s">
        <v>157</v>
      </c>
      <c r="C157" s="410" t="s">
        <v>166</v>
      </c>
      <c r="D157" s="411" t="s">
        <v>85</v>
      </c>
      <c r="E157" s="412">
        <v>0</v>
      </c>
      <c r="F157" s="412">
        <v>91550</v>
      </c>
    </row>
    <row r="158" spans="1:6" s="420" customFormat="1" ht="18" customHeight="1">
      <c r="A158" s="410" t="s">
        <v>157</v>
      </c>
      <c r="B158" s="410" t="s">
        <v>157</v>
      </c>
      <c r="C158" s="410" t="s">
        <v>167</v>
      </c>
      <c r="D158" s="411" t="s">
        <v>86</v>
      </c>
      <c r="E158" s="412">
        <v>0</v>
      </c>
      <c r="F158" s="412">
        <v>37546</v>
      </c>
    </row>
    <row r="159" spans="1:6" s="420" customFormat="1" ht="18" customHeight="1">
      <c r="A159" s="410" t="s">
        <v>157</v>
      </c>
      <c r="B159" s="410" t="s">
        <v>157</v>
      </c>
      <c r="C159" s="410" t="s">
        <v>182</v>
      </c>
      <c r="D159" s="411" t="s">
        <v>103</v>
      </c>
      <c r="E159" s="412">
        <v>0</v>
      </c>
      <c r="F159" s="412">
        <v>660</v>
      </c>
    </row>
    <row r="160" spans="1:6" s="420" customFormat="1" ht="18" customHeight="1">
      <c r="A160" s="410" t="s">
        <v>157</v>
      </c>
      <c r="B160" s="410" t="s">
        <v>157</v>
      </c>
      <c r="C160" s="410" t="s">
        <v>160</v>
      </c>
      <c r="D160" s="411" t="s">
        <v>79</v>
      </c>
      <c r="E160" s="412">
        <v>0</v>
      </c>
      <c r="F160" s="412">
        <v>136041</v>
      </c>
    </row>
    <row r="161" spans="1:6" s="420" customFormat="1" ht="18" customHeight="1">
      <c r="A161" s="410" t="s">
        <v>157</v>
      </c>
      <c r="B161" s="410" t="s">
        <v>157</v>
      </c>
      <c r="C161" s="410" t="s">
        <v>186</v>
      </c>
      <c r="D161" s="411" t="s">
        <v>105</v>
      </c>
      <c r="E161" s="412">
        <v>0</v>
      </c>
      <c r="F161" s="412">
        <v>3326</v>
      </c>
    </row>
    <row r="162" spans="1:6" s="420" customFormat="1" ht="18" customHeight="1">
      <c r="A162" s="410" t="s">
        <v>157</v>
      </c>
      <c r="B162" s="410" t="s">
        <v>157</v>
      </c>
      <c r="C162" s="410" t="s">
        <v>189</v>
      </c>
      <c r="D162" s="411" t="s">
        <v>108</v>
      </c>
      <c r="E162" s="412">
        <v>0</v>
      </c>
      <c r="F162" s="412">
        <v>145</v>
      </c>
    </row>
    <row r="163" spans="1:6" s="420" customFormat="1" ht="18" customHeight="1">
      <c r="A163" s="422" t="s">
        <v>157</v>
      </c>
      <c r="B163" s="422" t="s">
        <v>321</v>
      </c>
      <c r="C163" s="422" t="s">
        <v>157</v>
      </c>
      <c r="D163" s="423" t="s">
        <v>218</v>
      </c>
      <c r="E163" s="424">
        <v>120120</v>
      </c>
      <c r="F163" s="424">
        <v>120120</v>
      </c>
    </row>
    <row r="164" spans="1:6" s="420" customFormat="1" ht="54.95" customHeight="1">
      <c r="A164" s="410" t="s">
        <v>157</v>
      </c>
      <c r="B164" s="410" t="s">
        <v>157</v>
      </c>
      <c r="C164" s="410" t="s">
        <v>158</v>
      </c>
      <c r="D164" s="411" t="s">
        <v>159</v>
      </c>
      <c r="E164" s="412">
        <v>120120</v>
      </c>
      <c r="F164" s="412">
        <v>0</v>
      </c>
    </row>
    <row r="165" spans="1:6" s="420" customFormat="1" ht="18" customHeight="1">
      <c r="A165" s="410" t="s">
        <v>157</v>
      </c>
      <c r="B165" s="410" t="s">
        <v>157</v>
      </c>
      <c r="C165" s="410" t="s">
        <v>211</v>
      </c>
      <c r="D165" s="411" t="s">
        <v>135</v>
      </c>
      <c r="E165" s="412">
        <v>0</v>
      </c>
      <c r="F165" s="412">
        <v>120120</v>
      </c>
    </row>
    <row r="166" spans="1:6" s="420" customFormat="1" ht="18" customHeight="1">
      <c r="A166" s="522" t="s">
        <v>214</v>
      </c>
      <c r="B166" s="522"/>
      <c r="C166" s="522"/>
      <c r="D166" s="522"/>
      <c r="E166" s="415">
        <v>14733984.52</v>
      </c>
      <c r="F166" s="415">
        <v>14736474.52</v>
      </c>
    </row>
    <row r="177" s="421" customFormat="1"/>
    <row r="178" s="421" customFormat="1"/>
    <row r="179" s="421" customFormat="1"/>
    <row r="180" s="421" customFormat="1"/>
    <row r="181" s="421" customFormat="1"/>
    <row r="182" s="421" customFormat="1"/>
    <row r="183" s="421" customFormat="1"/>
    <row r="184" s="421" customFormat="1"/>
    <row r="185" s="421" customFormat="1"/>
    <row r="186" s="421" customFormat="1"/>
    <row r="187" s="421" customFormat="1"/>
  </sheetData>
  <sheetProtection algorithmName="SHA-512" hashValue="dXT2WKGZtBjN4RpluRrltGXaSMFeg+rxW92pnzeXr1BCM0mNPhshNJ8I1ceEOWYWcYHMc8jhnzxBM5f7lk2ZFQ==" saltValue="9Q0lNNuuFy3WravzIVFbIg==" spinCount="100000" sheet="1"/>
  <autoFilter ref="C1:C187" xr:uid="{97A94BB6-C561-49F4-BAEA-BCF699B598FA}"/>
  <mergeCells count="2">
    <mergeCell ref="A3:F3"/>
    <mergeCell ref="A166:D166"/>
  </mergeCells>
  <pageMargins left="0.59055118110236227" right="0.59055118110236227" top="1.3779527559055118" bottom="0.78740157480314965" header="0.59055118110236227" footer="0.39370078740157483"/>
  <pageSetup paperSize="9" scale="91" fitToHeight="0" orientation="portrait" verticalDpi="300" r:id="rId1"/>
  <headerFooter differentOddEven="1" differentFirst="1" alignWithMargins="0">
    <oddFooter>&amp;C&amp;P</oddFooter>
    <evenFooter>&amp;C&amp;P</evenFooter>
    <firstHeader>&amp;R&amp;10Tabela Nr 5
do uchwały Nr ................
Rady Powiatu  Otwockiego
z dnia .............................</firstHeader>
    <firstFooter>&amp;C&amp;P</firstFooter>
  </headerFooter>
  <rowBreaks count="1" manualBreakCount="1">
    <brk id="1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1ECB-7067-443E-8C70-62CC2C4E1DCE}">
  <sheetPr>
    <tabColor rgb="FF92D050"/>
  </sheetPr>
  <dimension ref="B1:G41"/>
  <sheetViews>
    <sheetView zoomScaleNormal="100" workbookViewId="0">
      <pane ySplit="4" topLeftCell="A32" activePane="bottomLeft" state="frozen"/>
      <selection activeCell="M10" sqref="M10"/>
      <selection pane="bottomLeft" activeCell="J13" sqref="J13"/>
    </sheetView>
  </sheetViews>
  <sheetFormatPr defaultColWidth="9.33203125" defaultRowHeight="12"/>
  <cols>
    <col min="1" max="1" width="3.6640625" style="57" customWidth="1"/>
    <col min="2" max="2" width="6.33203125" style="54" customWidth="1"/>
    <col min="3" max="4" width="10" style="54" customWidth="1"/>
    <col min="5" max="5" width="63.5" style="55" customWidth="1"/>
    <col min="6" max="7" width="16.6640625" style="56" customWidth="1"/>
    <col min="8" max="16384" width="9.33203125" style="57"/>
  </cols>
  <sheetData>
    <row r="1" spans="2:7" ht="16.5" customHeight="1"/>
    <row r="2" spans="2:7" ht="29.25" customHeight="1">
      <c r="B2" s="523" t="s">
        <v>156</v>
      </c>
      <c r="C2" s="523"/>
      <c r="D2" s="523"/>
      <c r="E2" s="523"/>
      <c r="F2" s="523"/>
      <c r="G2" s="523"/>
    </row>
    <row r="3" spans="2:7" ht="15.75" customHeight="1">
      <c r="B3" s="58"/>
      <c r="C3" s="58"/>
      <c r="D3" s="58"/>
      <c r="E3" s="58"/>
      <c r="F3" s="58"/>
      <c r="G3" s="58"/>
    </row>
    <row r="4" spans="2:7" s="62" customFormat="1" ht="42" customHeight="1">
      <c r="B4" s="59" t="s">
        <v>0</v>
      </c>
      <c r="C4" s="59" t="s">
        <v>1</v>
      </c>
      <c r="D4" s="59" t="s">
        <v>72</v>
      </c>
      <c r="E4" s="60" t="s">
        <v>73</v>
      </c>
      <c r="F4" s="61" t="s">
        <v>22</v>
      </c>
      <c r="G4" s="61" t="s">
        <v>74</v>
      </c>
    </row>
    <row r="5" spans="2:7" s="62" customFormat="1" ht="20.100000000000001" customHeight="1">
      <c r="B5" s="63">
        <v>600</v>
      </c>
      <c r="C5" s="63"/>
      <c r="D5" s="63"/>
      <c r="E5" s="64" t="s">
        <v>139</v>
      </c>
      <c r="F5" s="65">
        <f>SUM(F6,F8,)</f>
        <v>8660400</v>
      </c>
      <c r="G5" s="65">
        <f>SUM(G6,G8,)</f>
        <v>280000</v>
      </c>
    </row>
    <row r="6" spans="2:7" s="69" customFormat="1" ht="20.100000000000001" customHeight="1">
      <c r="B6" s="66"/>
      <c r="C6" s="66">
        <v>60004</v>
      </c>
      <c r="D6" s="66"/>
      <c r="E6" s="67" t="s">
        <v>140</v>
      </c>
      <c r="F6" s="68">
        <f>SUM(F7:F7)</f>
        <v>0</v>
      </c>
      <c r="G6" s="68">
        <f>SUM(G7:G7)</f>
        <v>280000</v>
      </c>
    </row>
    <row r="7" spans="2:7" s="74" customFormat="1" ht="46.5" customHeight="1">
      <c r="B7" s="70"/>
      <c r="C7" s="70"/>
      <c r="D7" s="70">
        <v>2310</v>
      </c>
      <c r="E7" s="71" t="s">
        <v>141</v>
      </c>
      <c r="F7" s="72"/>
      <c r="G7" s="73">
        <v>280000</v>
      </c>
    </row>
    <row r="8" spans="2:7" s="69" customFormat="1" ht="20.100000000000001" customHeight="1">
      <c r="B8" s="66"/>
      <c r="C8" s="66">
        <v>60014</v>
      </c>
      <c r="D8" s="66"/>
      <c r="E8" s="67" t="s">
        <v>142</v>
      </c>
      <c r="F8" s="68">
        <f>SUM(F9:F12)</f>
        <v>8660400</v>
      </c>
      <c r="G8" s="68">
        <f>SUM(G10:G11)</f>
        <v>0</v>
      </c>
    </row>
    <row r="9" spans="2:7" s="88" customFormat="1" ht="49.5" customHeight="1">
      <c r="B9" s="278"/>
      <c r="C9" s="278"/>
      <c r="D9" s="250">
        <v>2710</v>
      </c>
      <c r="E9" s="251" t="s">
        <v>155</v>
      </c>
      <c r="F9" s="252">
        <v>182400</v>
      </c>
      <c r="G9" s="89"/>
    </row>
    <row r="10" spans="2:7" s="240" customFormat="1" ht="47.25" customHeight="1">
      <c r="B10" s="400"/>
      <c r="C10" s="400"/>
      <c r="D10" s="400">
        <v>6300</v>
      </c>
      <c r="E10" s="401" t="s">
        <v>143</v>
      </c>
      <c r="F10" s="399">
        <f>250000+6500000+700000+200000+820000-200000+200000-240000+48000</f>
        <v>8278000</v>
      </c>
      <c r="G10" s="399"/>
    </row>
    <row r="11" spans="2:7" s="62" customFormat="1" ht="47.25" customHeight="1">
      <c r="B11" s="397"/>
      <c r="C11" s="397"/>
      <c r="D11" s="397">
        <v>6300</v>
      </c>
      <c r="E11" s="401" t="s">
        <v>57</v>
      </c>
      <c r="F11" s="398"/>
      <c r="G11" s="399">
        <v>0</v>
      </c>
    </row>
    <row r="12" spans="2:7" s="88" customFormat="1" ht="56.25" customHeight="1">
      <c r="B12" s="278"/>
      <c r="C12" s="250"/>
      <c r="D12" s="250">
        <v>6630</v>
      </c>
      <c r="E12" s="299" t="s">
        <v>338</v>
      </c>
      <c r="F12" s="252">
        <v>200000</v>
      </c>
      <c r="G12" s="89"/>
    </row>
    <row r="13" spans="2:7" s="69" customFormat="1" ht="20.100000000000001" customHeight="1">
      <c r="B13" s="76">
        <v>750</v>
      </c>
      <c r="C13" s="76"/>
      <c r="D13" s="76"/>
      <c r="E13" s="77" t="s">
        <v>109</v>
      </c>
      <c r="F13" s="78">
        <f>F14</f>
        <v>59000</v>
      </c>
      <c r="G13" s="78">
        <f>G16</f>
        <v>0</v>
      </c>
    </row>
    <row r="14" spans="2:7" s="69" customFormat="1" ht="20.100000000000001" customHeight="1">
      <c r="B14" s="66"/>
      <c r="C14" s="66">
        <v>75020</v>
      </c>
      <c r="D14" s="66"/>
      <c r="E14" s="67" t="s">
        <v>216</v>
      </c>
      <c r="F14" s="81">
        <f>F15</f>
        <v>59000</v>
      </c>
      <c r="G14" s="81">
        <f>G15</f>
        <v>0</v>
      </c>
    </row>
    <row r="15" spans="2:7" s="69" customFormat="1" ht="43.5" customHeight="1">
      <c r="B15" s="75"/>
      <c r="C15" s="75"/>
      <c r="D15" s="75">
        <v>2710</v>
      </c>
      <c r="E15" s="343" t="s">
        <v>155</v>
      </c>
      <c r="F15" s="73">
        <f>30000+29000</f>
        <v>59000</v>
      </c>
      <c r="G15" s="73"/>
    </row>
    <row r="16" spans="2:7" s="69" customFormat="1" ht="20.100000000000001" customHeight="1">
      <c r="B16" s="66"/>
      <c r="C16" s="66">
        <v>75095</v>
      </c>
      <c r="D16" s="66"/>
      <c r="E16" s="67" t="s">
        <v>144</v>
      </c>
      <c r="F16" s="68">
        <f>SUM(F17)</f>
        <v>0</v>
      </c>
      <c r="G16" s="68">
        <f>SUM(G17)</f>
        <v>0</v>
      </c>
    </row>
    <row r="17" spans="2:7" s="69" customFormat="1" ht="51" customHeight="1">
      <c r="B17" s="75"/>
      <c r="C17" s="75"/>
      <c r="D17" s="75">
        <v>2330</v>
      </c>
      <c r="E17" s="343" t="s">
        <v>151</v>
      </c>
      <c r="F17" s="72"/>
      <c r="G17" s="73">
        <v>0</v>
      </c>
    </row>
    <row r="18" spans="2:7" s="69" customFormat="1" ht="51" customHeight="1">
      <c r="B18" s="250"/>
      <c r="C18" s="250"/>
      <c r="D18" s="75">
        <v>2710</v>
      </c>
      <c r="E18" s="343" t="s">
        <v>58</v>
      </c>
      <c r="F18" s="344"/>
      <c r="G18" s="252">
        <v>0</v>
      </c>
    </row>
    <row r="19" spans="2:7" s="240" customFormat="1" ht="20.100000000000001" customHeight="1">
      <c r="B19" s="241">
        <v>851</v>
      </c>
      <c r="C19" s="241"/>
      <c r="D19" s="241"/>
      <c r="E19" s="242" t="s">
        <v>128</v>
      </c>
      <c r="F19" s="243">
        <f>F20</f>
        <v>57878</v>
      </c>
      <c r="G19" s="243"/>
    </row>
    <row r="20" spans="2:7" s="240" customFormat="1" ht="20.100000000000001" customHeight="1">
      <c r="B20" s="247"/>
      <c r="C20" s="247">
        <v>85195</v>
      </c>
      <c r="D20" s="247"/>
      <c r="E20" s="248" t="s">
        <v>218</v>
      </c>
      <c r="F20" s="249">
        <f>F21</f>
        <v>57878</v>
      </c>
      <c r="G20" s="249"/>
    </row>
    <row r="21" spans="2:7" s="69" customFormat="1" ht="48" customHeight="1">
      <c r="B21" s="250"/>
      <c r="C21" s="250"/>
      <c r="D21" s="250">
        <v>2710</v>
      </c>
      <c r="E21" s="251" t="s">
        <v>155</v>
      </c>
      <c r="F21" s="252">
        <v>57878</v>
      </c>
      <c r="G21" s="252"/>
    </row>
    <row r="22" spans="2:7" s="62" customFormat="1" ht="20.100000000000001" customHeight="1">
      <c r="B22" s="63">
        <v>853</v>
      </c>
      <c r="C22" s="63"/>
      <c r="D22" s="63"/>
      <c r="E22" s="64" t="s">
        <v>136</v>
      </c>
      <c r="F22" s="65">
        <f>SUM(F23)</f>
        <v>18572</v>
      </c>
      <c r="G22" s="65">
        <f>SUM(G23)</f>
        <v>5978</v>
      </c>
    </row>
    <row r="23" spans="2:7" s="69" customFormat="1" ht="20.100000000000001" customHeight="1">
      <c r="B23" s="66"/>
      <c r="C23" s="66">
        <v>85311</v>
      </c>
      <c r="D23" s="66"/>
      <c r="E23" s="67" t="s">
        <v>145</v>
      </c>
      <c r="F23" s="68">
        <f>SUM(F24)</f>
        <v>18572</v>
      </c>
      <c r="G23" s="68">
        <f>SUM(G24:G25)</f>
        <v>5978</v>
      </c>
    </row>
    <row r="24" spans="2:7" s="74" customFormat="1" ht="47.25" customHeight="1">
      <c r="B24" s="70"/>
      <c r="C24" s="70"/>
      <c r="D24" s="70">
        <v>2320</v>
      </c>
      <c r="E24" s="71" t="s">
        <v>146</v>
      </c>
      <c r="F24" s="73">
        <v>18572</v>
      </c>
      <c r="G24" s="73"/>
    </row>
    <row r="25" spans="2:7" s="74" customFormat="1" ht="48" customHeight="1">
      <c r="B25" s="70"/>
      <c r="C25" s="70"/>
      <c r="D25" s="70">
        <v>2320</v>
      </c>
      <c r="E25" s="71" t="s">
        <v>147</v>
      </c>
      <c r="F25" s="73"/>
      <c r="G25" s="73">
        <f>3100+2878</f>
        <v>5978</v>
      </c>
    </row>
    <row r="26" spans="2:7" s="240" customFormat="1" ht="23.25" customHeight="1">
      <c r="B26" s="241">
        <v>854</v>
      </c>
      <c r="C26" s="241"/>
      <c r="D26" s="241"/>
      <c r="E26" s="242" t="s">
        <v>319</v>
      </c>
      <c r="F26" s="243">
        <f>F27</f>
        <v>44678</v>
      </c>
      <c r="G26" s="243"/>
    </row>
    <row r="27" spans="2:7" s="74" customFormat="1" ht="23.25" customHeight="1">
      <c r="B27" s="244"/>
      <c r="C27" s="244">
        <v>85407</v>
      </c>
      <c r="D27" s="244"/>
      <c r="E27" s="245" t="s">
        <v>318</v>
      </c>
      <c r="F27" s="246">
        <f>F28</f>
        <v>44678</v>
      </c>
      <c r="G27" s="246"/>
    </row>
    <row r="28" spans="2:7" s="74" customFormat="1" ht="48" customHeight="1">
      <c r="B28" s="277"/>
      <c r="C28" s="277"/>
      <c r="D28" s="277">
        <v>6300</v>
      </c>
      <c r="E28" s="71" t="s">
        <v>143</v>
      </c>
      <c r="F28" s="252">
        <v>44678</v>
      </c>
      <c r="G28" s="252"/>
    </row>
    <row r="29" spans="2:7" s="62" customFormat="1" ht="20.100000000000001" customHeight="1">
      <c r="B29" s="63">
        <v>855</v>
      </c>
      <c r="C29" s="63"/>
      <c r="D29" s="63"/>
      <c r="E29" s="64" t="s">
        <v>148</v>
      </c>
      <c r="F29" s="65">
        <f>F30+F33+F35</f>
        <v>773866</v>
      </c>
      <c r="G29" s="65">
        <f>G30+G33+G35</f>
        <v>584962</v>
      </c>
    </row>
    <row r="30" spans="2:7" s="69" customFormat="1" ht="20.100000000000001" customHeight="1">
      <c r="B30" s="66"/>
      <c r="C30" s="66">
        <v>85508</v>
      </c>
      <c r="D30" s="66"/>
      <c r="E30" s="67" t="s">
        <v>149</v>
      </c>
      <c r="F30" s="68">
        <f>SUM(F31)</f>
        <v>186061</v>
      </c>
      <c r="G30" s="68">
        <f>SUM(G31:G32)</f>
        <v>324962</v>
      </c>
    </row>
    <row r="31" spans="2:7" s="74" customFormat="1" ht="50.25" customHeight="1">
      <c r="B31" s="70"/>
      <c r="C31" s="70"/>
      <c r="D31" s="70">
        <v>2320</v>
      </c>
      <c r="E31" s="71" t="s">
        <v>146</v>
      </c>
      <c r="F31" s="73">
        <v>186061</v>
      </c>
      <c r="G31" s="73"/>
    </row>
    <row r="32" spans="2:7" s="74" customFormat="1" ht="47.25" customHeight="1">
      <c r="B32" s="70"/>
      <c r="C32" s="70"/>
      <c r="D32" s="70">
        <v>2320</v>
      </c>
      <c r="E32" s="71" t="s">
        <v>147</v>
      </c>
      <c r="F32" s="73"/>
      <c r="G32" s="73">
        <v>324962</v>
      </c>
    </row>
    <row r="33" spans="2:7" s="74" customFormat="1" ht="20.100000000000001" customHeight="1">
      <c r="B33" s="79"/>
      <c r="C33" s="79">
        <v>85509</v>
      </c>
      <c r="D33" s="66"/>
      <c r="E33" s="67" t="s">
        <v>150</v>
      </c>
      <c r="F33" s="68"/>
      <c r="G33" s="68">
        <f>G34</f>
        <v>256000</v>
      </c>
    </row>
    <row r="34" spans="2:7" s="74" customFormat="1" ht="47.25" customHeight="1">
      <c r="B34" s="70"/>
      <c r="C34" s="70"/>
      <c r="D34" s="70">
        <v>2330</v>
      </c>
      <c r="E34" s="71" t="s">
        <v>151</v>
      </c>
      <c r="F34" s="73"/>
      <c r="G34" s="73">
        <v>256000</v>
      </c>
    </row>
    <row r="35" spans="2:7" s="69" customFormat="1" ht="20.100000000000001" customHeight="1">
      <c r="B35" s="66"/>
      <c r="C35" s="66">
        <v>85510</v>
      </c>
      <c r="D35" s="66"/>
      <c r="E35" s="67" t="s">
        <v>152</v>
      </c>
      <c r="F35" s="68">
        <f>SUM(F36)</f>
        <v>587805</v>
      </c>
      <c r="G35" s="68">
        <f>SUM(G37:G37)</f>
        <v>4000</v>
      </c>
    </row>
    <row r="36" spans="2:7" s="74" customFormat="1" ht="48" customHeight="1">
      <c r="B36" s="70"/>
      <c r="C36" s="70"/>
      <c r="D36" s="70">
        <v>2320</v>
      </c>
      <c r="E36" s="71" t="s">
        <v>146</v>
      </c>
      <c r="F36" s="73">
        <v>587805</v>
      </c>
      <c r="G36" s="73"/>
    </row>
    <row r="37" spans="2:7" s="74" customFormat="1" ht="48.75" customHeight="1">
      <c r="B37" s="70"/>
      <c r="C37" s="70"/>
      <c r="D37" s="70">
        <v>2320</v>
      </c>
      <c r="E37" s="71" t="s">
        <v>147</v>
      </c>
      <c r="F37" s="72"/>
      <c r="G37" s="73">
        <v>4000</v>
      </c>
    </row>
    <row r="38" spans="2:7" s="62" customFormat="1" ht="20.100000000000001" customHeight="1">
      <c r="B38" s="63">
        <v>921</v>
      </c>
      <c r="C38" s="63"/>
      <c r="D38" s="63"/>
      <c r="E38" s="64" t="s">
        <v>153</v>
      </c>
      <c r="F38" s="65">
        <f>SUM(F39)</f>
        <v>210000</v>
      </c>
      <c r="G38" s="65">
        <f>SUM(G39)</f>
        <v>0</v>
      </c>
    </row>
    <row r="39" spans="2:7" s="69" customFormat="1" ht="20.100000000000001" customHeight="1">
      <c r="B39" s="66"/>
      <c r="C39" s="66">
        <v>92116</v>
      </c>
      <c r="D39" s="66"/>
      <c r="E39" s="67" t="s">
        <v>154</v>
      </c>
      <c r="F39" s="68">
        <f>SUM(F40)</f>
        <v>210000</v>
      </c>
      <c r="G39" s="68"/>
    </row>
    <row r="40" spans="2:7" s="74" customFormat="1" ht="48.75" customHeight="1">
      <c r="B40" s="70"/>
      <c r="C40" s="70"/>
      <c r="D40" s="70">
        <v>2710</v>
      </c>
      <c r="E40" s="71" t="s">
        <v>155</v>
      </c>
      <c r="F40" s="73">
        <v>210000</v>
      </c>
      <c r="G40" s="73"/>
    </row>
    <row r="41" spans="2:7" s="69" customFormat="1" ht="24.75" customHeight="1">
      <c r="B41" s="524" t="s">
        <v>138</v>
      </c>
      <c r="C41" s="525"/>
      <c r="D41" s="525"/>
      <c r="E41" s="526"/>
      <c r="F41" s="80">
        <f>F5+F13+F19+F22+F26+F29+F38</f>
        <v>9824394</v>
      </c>
      <c r="G41" s="80">
        <f>G5+G13+G19+G22+G26+G29+G38</f>
        <v>870940</v>
      </c>
    </row>
  </sheetData>
  <sheetProtection algorithmName="SHA-512" hashValue="QQFKB3pPjHHD/aYxvE75V6YSu9bN/vaCKwBZyo/qjz898VJHxFCeObfd8JdICk2FkKFLYxtlhyJNFjT7CQ92Tw==" saltValue="+SeXI/FGJYKFBx7SgVqTxg==" spinCount="100000" sheet="1" formatColumns="0" formatRows="0"/>
  <autoFilter ref="B1:B41" xr:uid="{01231ECB-7067-443E-8C70-62CC2C4E1DCE}"/>
  <mergeCells count="2">
    <mergeCell ref="B2:G2"/>
    <mergeCell ref="B41:E41"/>
  </mergeCells>
  <pageMargins left="0.6692913385826772" right="0.47244094488188981" top="1.3385826771653544" bottom="0.9055118110236221" header="0.70866141732283472" footer="0.51181102362204722"/>
  <pageSetup paperSize="9" scale="85" orientation="portrait" verticalDpi="300" r:id="rId1"/>
  <headerFooter differentOddEven="1" differentFirst="1" alignWithMargins="0">
    <oddFooter>&amp;C&amp;P</oddFooter>
    <firstHeader>&amp;R&amp;10Tabela Nr 7
do uchwały Nr ...............
Rady Powiatu  Otwockiego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31C0-7759-4DA7-A533-6278F4612316}">
  <sheetPr>
    <tabColor rgb="FF92D050"/>
  </sheetPr>
  <dimension ref="A1:L65"/>
  <sheetViews>
    <sheetView zoomScaleNormal="100" workbookViewId="0">
      <pane ySplit="5" topLeftCell="A39" activePane="bottomLeft" state="frozen"/>
      <selection activeCell="M10" sqref="M10"/>
      <selection pane="bottomLeft" activeCell="E45" sqref="E45:G49"/>
    </sheetView>
  </sheetViews>
  <sheetFormatPr defaultColWidth="9.33203125" defaultRowHeight="12"/>
  <cols>
    <col min="1" max="1" width="6.5" style="39" customWidth="1"/>
    <col min="2" max="2" width="10.83203125" style="39" customWidth="1"/>
    <col min="3" max="3" width="7.33203125" style="39" customWidth="1"/>
    <col min="4" max="4" width="61.33203125" style="40" customWidth="1"/>
    <col min="5" max="6" width="15.6640625" style="40" customWidth="1"/>
    <col min="7" max="7" width="19.33203125" style="40" customWidth="1"/>
    <col min="8" max="8" width="20.5" style="40" customWidth="1"/>
    <col min="9" max="10" width="9.33203125" style="40"/>
    <col min="11" max="11" width="10.33203125" style="40" bestFit="1" customWidth="1"/>
    <col min="12" max="16384" width="9.33203125" style="40"/>
  </cols>
  <sheetData>
    <row r="1" spans="1:12" ht="9" customHeight="1"/>
    <row r="2" spans="1:12" s="42" customFormat="1" ht="33" customHeight="1">
      <c r="A2" s="527" t="s">
        <v>217</v>
      </c>
      <c r="B2" s="527"/>
      <c r="C2" s="527"/>
      <c r="D2" s="527"/>
      <c r="E2" s="527"/>
      <c r="F2" s="527"/>
      <c r="G2" s="527"/>
      <c r="H2" s="41"/>
    </row>
    <row r="3" spans="1:12" ht="10.5" customHeight="1"/>
    <row r="4" spans="1:12" ht="24" customHeight="1">
      <c r="A4" s="528" t="s">
        <v>0</v>
      </c>
      <c r="B4" s="528" t="s">
        <v>1</v>
      </c>
      <c r="C4" s="528" t="s">
        <v>48</v>
      </c>
      <c r="D4" s="528" t="s">
        <v>8</v>
      </c>
      <c r="E4" s="528" t="s">
        <v>50</v>
      </c>
      <c r="F4" s="528"/>
      <c r="G4" s="528"/>
    </row>
    <row r="5" spans="1:12" ht="24" customHeight="1">
      <c r="A5" s="528"/>
      <c r="B5" s="528"/>
      <c r="C5" s="528"/>
      <c r="D5" s="528"/>
      <c r="E5" s="43" t="s">
        <v>51</v>
      </c>
      <c r="F5" s="43" t="s">
        <v>52</v>
      </c>
      <c r="G5" s="43" t="s">
        <v>53</v>
      </c>
    </row>
    <row r="6" spans="1:12" s="45" customFormat="1" ht="12.75" customHeight="1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</row>
    <row r="7" spans="1:12" ht="39" customHeight="1">
      <c r="A7" s="529" t="s">
        <v>54</v>
      </c>
      <c r="B7" s="529"/>
      <c r="C7" s="529"/>
      <c r="D7" s="46" t="s">
        <v>49</v>
      </c>
      <c r="E7" s="47" t="s">
        <v>55</v>
      </c>
      <c r="F7" s="47" t="s">
        <v>55</v>
      </c>
      <c r="G7" s="47" t="s">
        <v>55</v>
      </c>
    </row>
    <row r="8" spans="1:12" s="48" customFormat="1" ht="52.5" customHeight="1">
      <c r="A8" s="349">
        <v>600</v>
      </c>
      <c r="B8" s="349">
        <v>60004</v>
      </c>
      <c r="C8" s="349">
        <v>2310</v>
      </c>
      <c r="D8" s="350" t="s">
        <v>56</v>
      </c>
      <c r="E8" s="351"/>
      <c r="F8" s="351"/>
      <c r="G8" s="425">
        <v>280000</v>
      </c>
    </row>
    <row r="9" spans="1:12" s="48" customFormat="1" ht="57" customHeight="1">
      <c r="A9" s="352">
        <v>600</v>
      </c>
      <c r="B9" s="352">
        <v>60014</v>
      </c>
      <c r="C9" s="352">
        <v>6300</v>
      </c>
      <c r="D9" s="350" t="s">
        <v>57</v>
      </c>
      <c r="E9" s="353"/>
      <c r="F9" s="353"/>
      <c r="G9" s="354">
        <v>0</v>
      </c>
    </row>
    <row r="10" spans="1:12" s="48" customFormat="1" ht="57" customHeight="1">
      <c r="A10" s="352">
        <v>750</v>
      </c>
      <c r="B10" s="352">
        <v>75095</v>
      </c>
      <c r="C10" s="352">
        <v>2710</v>
      </c>
      <c r="D10" s="355" t="s">
        <v>58</v>
      </c>
      <c r="E10" s="353"/>
      <c r="F10" s="354"/>
      <c r="G10" s="354">
        <v>0</v>
      </c>
    </row>
    <row r="11" spans="1:12" s="345" customFormat="1" ht="57" customHeight="1">
      <c r="A11" s="352">
        <v>750</v>
      </c>
      <c r="B11" s="352">
        <v>75095</v>
      </c>
      <c r="C11" s="352">
        <v>2330</v>
      </c>
      <c r="D11" s="355" t="s">
        <v>151</v>
      </c>
      <c r="E11" s="353"/>
      <c r="F11" s="354"/>
      <c r="G11" s="354">
        <v>0</v>
      </c>
    </row>
    <row r="12" spans="1:12" s="48" customFormat="1" ht="51.75" customHeight="1">
      <c r="A12" s="352">
        <v>853</v>
      </c>
      <c r="B12" s="352">
        <v>85311</v>
      </c>
      <c r="C12" s="352">
        <v>2320</v>
      </c>
      <c r="D12" s="355" t="s">
        <v>59</v>
      </c>
      <c r="E12" s="348"/>
      <c r="F12" s="348"/>
      <c r="G12" s="426">
        <v>5978</v>
      </c>
      <c r="H12" s="49"/>
      <c r="I12" s="49"/>
      <c r="J12" s="49"/>
      <c r="K12" s="49"/>
      <c r="L12" s="49"/>
    </row>
    <row r="13" spans="1:12" s="48" customFormat="1" ht="51.75" customHeight="1">
      <c r="A13" s="352">
        <v>855</v>
      </c>
      <c r="B13" s="352">
        <v>85508</v>
      </c>
      <c r="C13" s="352">
        <v>2320</v>
      </c>
      <c r="D13" s="355" t="s">
        <v>59</v>
      </c>
      <c r="E13" s="348"/>
      <c r="F13" s="348"/>
      <c r="G13" s="426">
        <v>324962</v>
      </c>
      <c r="H13" s="49"/>
      <c r="I13" s="49"/>
      <c r="J13" s="49"/>
      <c r="K13" s="49"/>
      <c r="L13" s="49"/>
    </row>
    <row r="14" spans="1:12" s="48" customFormat="1" ht="51.75" customHeight="1">
      <c r="A14" s="352">
        <v>855</v>
      </c>
      <c r="B14" s="352">
        <v>85509</v>
      </c>
      <c r="C14" s="352">
        <v>2330</v>
      </c>
      <c r="D14" s="355" t="s">
        <v>60</v>
      </c>
      <c r="E14" s="348"/>
      <c r="F14" s="348"/>
      <c r="G14" s="426">
        <v>256000</v>
      </c>
      <c r="H14" s="49"/>
      <c r="I14" s="49"/>
      <c r="J14" s="49"/>
      <c r="K14" s="49"/>
      <c r="L14" s="49"/>
    </row>
    <row r="15" spans="1:12" s="48" customFormat="1" ht="51.75" customHeight="1">
      <c r="A15" s="352">
        <v>855</v>
      </c>
      <c r="B15" s="352">
        <v>85510</v>
      </c>
      <c r="C15" s="352">
        <v>2320</v>
      </c>
      <c r="D15" s="355" t="s">
        <v>59</v>
      </c>
      <c r="E15" s="348"/>
      <c r="F15" s="348"/>
      <c r="G15" s="426">
        <v>4000</v>
      </c>
      <c r="H15" s="49"/>
      <c r="I15" s="49"/>
      <c r="J15" s="49"/>
      <c r="K15" s="49"/>
      <c r="L15" s="49"/>
    </row>
    <row r="16" spans="1:12" s="48" customFormat="1" ht="30.75" customHeight="1">
      <c r="A16" s="352">
        <v>921</v>
      </c>
      <c r="B16" s="352">
        <v>92116</v>
      </c>
      <c r="C16" s="352">
        <v>2480</v>
      </c>
      <c r="D16" s="355" t="s">
        <v>61</v>
      </c>
      <c r="E16" s="356">
        <v>734510</v>
      </c>
      <c r="F16" s="348"/>
      <c r="G16" s="427"/>
      <c r="H16" s="49"/>
      <c r="I16" s="49"/>
      <c r="J16" s="49"/>
      <c r="K16" s="49"/>
      <c r="L16" s="49"/>
    </row>
    <row r="17" spans="1:11" s="50" customFormat="1" ht="27" customHeight="1">
      <c r="A17" s="528" t="s">
        <v>62</v>
      </c>
      <c r="B17" s="528"/>
      <c r="C17" s="528"/>
      <c r="D17" s="528"/>
      <c r="E17" s="256">
        <f>SUM(E8:E16)</f>
        <v>734510</v>
      </c>
      <c r="F17" s="256">
        <f>SUM(F8:F16)</f>
        <v>0</v>
      </c>
      <c r="G17" s="256">
        <f>SUM(G8:G16)</f>
        <v>870940</v>
      </c>
      <c r="I17" s="51"/>
    </row>
    <row r="18" spans="1:11" s="50" customFormat="1" ht="47.25" customHeight="1">
      <c r="A18" s="529" t="s">
        <v>63</v>
      </c>
      <c r="B18" s="529"/>
      <c r="C18" s="529"/>
      <c r="D18" s="46" t="s">
        <v>49</v>
      </c>
      <c r="E18" s="257" t="s">
        <v>55</v>
      </c>
      <c r="F18" s="257" t="s">
        <v>55</v>
      </c>
      <c r="G18" s="257" t="s">
        <v>55</v>
      </c>
      <c r="I18" s="51"/>
      <c r="K18" s="52"/>
    </row>
    <row r="19" spans="1:11" s="345" customFormat="1" ht="59.25" customHeight="1">
      <c r="A19" s="352">
        <v>630</v>
      </c>
      <c r="B19" s="352">
        <v>63003</v>
      </c>
      <c r="C19" s="352">
        <v>2360</v>
      </c>
      <c r="D19" s="355" t="s">
        <v>64</v>
      </c>
      <c r="E19" s="354"/>
      <c r="F19" s="354"/>
      <c r="G19" s="354">
        <v>0</v>
      </c>
      <c r="I19" s="346"/>
      <c r="K19" s="347"/>
    </row>
    <row r="20" spans="1:11" s="345" customFormat="1" ht="45" customHeight="1">
      <c r="A20" s="352">
        <v>630</v>
      </c>
      <c r="B20" s="352">
        <v>63003</v>
      </c>
      <c r="C20" s="352">
        <v>2820</v>
      </c>
      <c r="D20" s="355" t="s">
        <v>67</v>
      </c>
      <c r="E20" s="354"/>
      <c r="F20" s="354"/>
      <c r="G20" s="354">
        <v>5000</v>
      </c>
      <c r="I20" s="346"/>
      <c r="K20" s="347"/>
    </row>
    <row r="21" spans="1:11" s="48" customFormat="1" ht="63.75" customHeight="1">
      <c r="A21" s="352">
        <v>755</v>
      </c>
      <c r="B21" s="352">
        <v>75515</v>
      </c>
      <c r="C21" s="352">
        <v>2360</v>
      </c>
      <c r="D21" s="355" t="s">
        <v>64</v>
      </c>
      <c r="E21" s="354"/>
      <c r="F21" s="354"/>
      <c r="G21" s="354">
        <v>190080</v>
      </c>
      <c r="I21" s="280"/>
      <c r="K21" s="39"/>
    </row>
    <row r="22" spans="1:11" s="48" customFormat="1" ht="33" customHeight="1">
      <c r="A22" s="352">
        <v>801</v>
      </c>
      <c r="B22" s="352">
        <v>80102</v>
      </c>
      <c r="C22" s="352">
        <v>2540</v>
      </c>
      <c r="D22" s="355" t="s">
        <v>65</v>
      </c>
      <c r="E22" s="356">
        <v>5686043</v>
      </c>
      <c r="F22" s="354"/>
      <c r="G22" s="354"/>
      <c r="I22" s="280"/>
      <c r="K22" s="39"/>
    </row>
    <row r="23" spans="1:11" s="48" customFormat="1" ht="33" customHeight="1">
      <c r="A23" s="352">
        <v>801</v>
      </c>
      <c r="B23" s="352">
        <v>80102</v>
      </c>
      <c r="C23" s="352">
        <v>2580</v>
      </c>
      <c r="D23" s="355" t="s">
        <v>68</v>
      </c>
      <c r="E23" s="356">
        <v>1010536</v>
      </c>
      <c r="F23" s="354"/>
      <c r="G23" s="354"/>
      <c r="I23" s="280"/>
      <c r="K23" s="39"/>
    </row>
    <row r="24" spans="1:11" s="50" customFormat="1" ht="33" customHeight="1">
      <c r="A24" s="352">
        <v>801</v>
      </c>
      <c r="B24" s="352">
        <v>80102</v>
      </c>
      <c r="C24" s="352">
        <v>2810</v>
      </c>
      <c r="D24" s="355" t="s">
        <v>372</v>
      </c>
      <c r="E24" s="356"/>
      <c r="F24" s="354"/>
      <c r="G24" s="354">
        <v>53838</v>
      </c>
      <c r="I24" s="51"/>
      <c r="K24" s="52"/>
    </row>
    <row r="25" spans="1:11" s="48" customFormat="1" ht="33" customHeight="1">
      <c r="A25" s="352">
        <v>801</v>
      </c>
      <c r="B25" s="352">
        <v>80105</v>
      </c>
      <c r="C25" s="352">
        <v>2540</v>
      </c>
      <c r="D25" s="355" t="s">
        <v>65</v>
      </c>
      <c r="E25" s="356">
        <v>1622937</v>
      </c>
      <c r="F25" s="354"/>
      <c r="G25" s="354"/>
      <c r="I25" s="280"/>
      <c r="K25" s="39"/>
    </row>
    <row r="26" spans="1:11" s="48" customFormat="1" ht="33" customHeight="1">
      <c r="A26" s="352">
        <v>801</v>
      </c>
      <c r="B26" s="352">
        <v>80105</v>
      </c>
      <c r="C26" s="352">
        <v>2580</v>
      </c>
      <c r="D26" s="355" t="s">
        <v>68</v>
      </c>
      <c r="E26" s="356">
        <v>534491</v>
      </c>
      <c r="F26" s="354"/>
      <c r="G26" s="354"/>
      <c r="I26" s="280"/>
      <c r="K26" s="39"/>
    </row>
    <row r="27" spans="1:11" s="48" customFormat="1" ht="33" customHeight="1">
      <c r="A27" s="352">
        <v>801</v>
      </c>
      <c r="B27" s="352">
        <v>80116</v>
      </c>
      <c r="C27" s="352">
        <v>2540</v>
      </c>
      <c r="D27" s="355" t="s">
        <v>65</v>
      </c>
      <c r="E27" s="356">
        <v>2648668</v>
      </c>
      <c r="F27" s="354"/>
      <c r="G27" s="354"/>
      <c r="I27" s="280"/>
      <c r="K27" s="39"/>
    </row>
    <row r="28" spans="1:11" s="48" customFormat="1" ht="34.5" customHeight="1">
      <c r="A28" s="352">
        <v>801</v>
      </c>
      <c r="B28" s="352">
        <v>80120</v>
      </c>
      <c r="C28" s="352">
        <v>2540</v>
      </c>
      <c r="D28" s="355" t="s">
        <v>65</v>
      </c>
      <c r="E28" s="356">
        <v>2405139</v>
      </c>
      <c r="F28" s="356"/>
      <c r="G28" s="356"/>
    </row>
    <row r="29" spans="1:11" s="48" customFormat="1" ht="34.5" customHeight="1">
      <c r="A29" s="352">
        <v>801</v>
      </c>
      <c r="B29" s="352">
        <v>80120</v>
      </c>
      <c r="C29" s="352">
        <v>2580</v>
      </c>
      <c r="D29" s="355" t="s">
        <v>68</v>
      </c>
      <c r="E29" s="356">
        <v>6797</v>
      </c>
      <c r="F29" s="356"/>
      <c r="G29" s="356"/>
    </row>
    <row r="30" spans="1:11" s="48" customFormat="1" ht="34.5" customHeight="1">
      <c r="A30" s="352">
        <v>801</v>
      </c>
      <c r="B30" s="352">
        <v>80120</v>
      </c>
      <c r="C30" s="352">
        <v>2810</v>
      </c>
      <c r="D30" s="355" t="s">
        <v>372</v>
      </c>
      <c r="E30" s="356"/>
      <c r="F30" s="356"/>
      <c r="G30" s="356">
        <v>32302.799999999999</v>
      </c>
    </row>
    <row r="31" spans="1:11" s="48" customFormat="1" ht="34.5" customHeight="1">
      <c r="A31" s="352">
        <v>801</v>
      </c>
      <c r="B31" s="352">
        <v>80120</v>
      </c>
      <c r="C31" s="352">
        <v>2820</v>
      </c>
      <c r="D31" s="355" t="s">
        <v>67</v>
      </c>
      <c r="E31" s="356"/>
      <c r="F31" s="356"/>
      <c r="G31" s="356">
        <v>26919</v>
      </c>
    </row>
    <row r="32" spans="1:11" s="48" customFormat="1" ht="43.5" customHeight="1">
      <c r="A32" s="352">
        <v>801</v>
      </c>
      <c r="B32" s="352">
        <v>80120</v>
      </c>
      <c r="C32" s="352">
        <v>2830</v>
      </c>
      <c r="D32" s="355" t="s">
        <v>344</v>
      </c>
      <c r="E32" s="356"/>
      <c r="F32" s="356"/>
      <c r="G32" s="356">
        <v>6729.75</v>
      </c>
    </row>
    <row r="33" spans="1:11" s="48" customFormat="1" ht="30" customHeight="1">
      <c r="A33" s="352">
        <v>801</v>
      </c>
      <c r="B33" s="352">
        <v>80152</v>
      </c>
      <c r="C33" s="352">
        <v>2540</v>
      </c>
      <c r="D33" s="355" t="s">
        <v>65</v>
      </c>
      <c r="E33" s="356">
        <v>600274</v>
      </c>
      <c r="F33" s="356"/>
      <c r="G33" s="356"/>
    </row>
    <row r="34" spans="1:11" s="48" customFormat="1" ht="45.75" customHeight="1">
      <c r="A34" s="352">
        <v>801</v>
      </c>
      <c r="B34" s="352">
        <v>80153</v>
      </c>
      <c r="C34" s="352">
        <v>2830</v>
      </c>
      <c r="D34" s="355" t="s">
        <v>344</v>
      </c>
      <c r="E34" s="356">
        <v>32493.69</v>
      </c>
      <c r="F34" s="356"/>
      <c r="G34" s="356"/>
    </row>
    <row r="35" spans="1:11" s="48" customFormat="1" ht="48" customHeight="1">
      <c r="A35" s="352">
        <v>851</v>
      </c>
      <c r="B35" s="352">
        <v>85111</v>
      </c>
      <c r="C35" s="352">
        <v>6230</v>
      </c>
      <c r="D35" s="355" t="s">
        <v>66</v>
      </c>
      <c r="E35" s="356"/>
      <c r="F35" s="356"/>
      <c r="G35" s="356">
        <v>2412513.15</v>
      </c>
    </row>
    <row r="36" spans="1:11" s="48" customFormat="1" ht="36.75" customHeight="1">
      <c r="A36" s="352">
        <v>852</v>
      </c>
      <c r="B36" s="352">
        <v>85202</v>
      </c>
      <c r="C36" s="352">
        <v>2820</v>
      </c>
      <c r="D36" s="355" t="s">
        <v>67</v>
      </c>
      <c r="E36" s="356"/>
      <c r="F36" s="356"/>
      <c r="G36" s="356">
        <v>385584</v>
      </c>
    </row>
    <row r="37" spans="1:11" s="48" customFormat="1" ht="36.75" customHeight="1">
      <c r="A37" s="352">
        <v>852</v>
      </c>
      <c r="B37" s="352">
        <v>85220</v>
      </c>
      <c r="C37" s="352">
        <v>2820</v>
      </c>
      <c r="D37" s="355" t="s">
        <v>67</v>
      </c>
      <c r="E37" s="356"/>
      <c r="F37" s="356"/>
      <c r="G37" s="356">
        <f>280000+4860</f>
        <v>284860</v>
      </c>
    </row>
    <row r="38" spans="1:11" s="48" customFormat="1" ht="34.5" customHeight="1">
      <c r="A38" s="352">
        <v>853</v>
      </c>
      <c r="B38" s="352">
        <v>85311</v>
      </c>
      <c r="C38" s="352">
        <v>2580</v>
      </c>
      <c r="D38" s="355" t="s">
        <v>68</v>
      </c>
      <c r="E38" s="356">
        <v>343785</v>
      </c>
      <c r="F38" s="356"/>
      <c r="G38" s="356"/>
    </row>
    <row r="39" spans="1:11" s="48" customFormat="1" ht="41.25" customHeight="1">
      <c r="A39" s="352">
        <v>853</v>
      </c>
      <c r="B39" s="352">
        <v>85311</v>
      </c>
      <c r="C39" s="352">
        <v>6230</v>
      </c>
      <c r="D39" s="355" t="s">
        <v>66</v>
      </c>
      <c r="E39" s="356"/>
      <c r="F39" s="356"/>
      <c r="G39" s="356">
        <v>20000</v>
      </c>
    </row>
    <row r="40" spans="1:11" s="48" customFormat="1" ht="32.25" customHeight="1">
      <c r="A40" s="352">
        <v>854</v>
      </c>
      <c r="B40" s="352">
        <v>85404</v>
      </c>
      <c r="C40" s="352">
        <v>2540</v>
      </c>
      <c r="D40" s="355" t="s">
        <v>65</v>
      </c>
      <c r="E40" s="356">
        <v>622413</v>
      </c>
      <c r="F40" s="356"/>
      <c r="G40" s="356"/>
    </row>
    <row r="41" spans="1:11" s="48" customFormat="1" ht="30" customHeight="1">
      <c r="A41" s="352">
        <v>854</v>
      </c>
      <c r="B41" s="352">
        <v>85404</v>
      </c>
      <c r="C41" s="352">
        <v>2580</v>
      </c>
      <c r="D41" s="355" t="s">
        <v>68</v>
      </c>
      <c r="E41" s="356">
        <v>18374</v>
      </c>
      <c r="F41" s="356"/>
      <c r="G41" s="356"/>
    </row>
    <row r="42" spans="1:11" s="48" customFormat="1" ht="51.75" customHeight="1">
      <c r="A42" s="352">
        <v>854</v>
      </c>
      <c r="B42" s="352">
        <v>85404</v>
      </c>
      <c r="C42" s="352">
        <v>2830</v>
      </c>
      <c r="D42" s="355" t="s">
        <v>344</v>
      </c>
      <c r="E42" s="356"/>
      <c r="F42" s="356"/>
      <c r="G42" s="356">
        <v>6729.75</v>
      </c>
    </row>
    <row r="43" spans="1:11" s="48" customFormat="1" ht="29.25" customHeight="1">
      <c r="A43" s="352">
        <v>854</v>
      </c>
      <c r="B43" s="352">
        <v>85410</v>
      </c>
      <c r="C43" s="352">
        <v>2540</v>
      </c>
      <c r="D43" s="355" t="s">
        <v>65</v>
      </c>
      <c r="E43" s="356">
        <v>114835</v>
      </c>
      <c r="F43" s="356"/>
      <c r="G43" s="356"/>
    </row>
    <row r="44" spans="1:11" s="48" customFormat="1" ht="60.75" customHeight="1">
      <c r="A44" s="352">
        <v>921</v>
      </c>
      <c r="B44" s="352">
        <v>92105</v>
      </c>
      <c r="C44" s="352">
        <v>2360</v>
      </c>
      <c r="D44" s="355" t="s">
        <v>64</v>
      </c>
      <c r="E44" s="356"/>
      <c r="F44" s="356"/>
      <c r="G44" s="356">
        <v>0</v>
      </c>
    </row>
    <row r="45" spans="1:11" s="48" customFormat="1" ht="39" customHeight="1">
      <c r="A45" s="352">
        <v>921</v>
      </c>
      <c r="B45" s="352">
        <v>92105</v>
      </c>
      <c r="C45" s="352">
        <v>2810</v>
      </c>
      <c r="D45" s="355" t="s">
        <v>372</v>
      </c>
      <c r="E45" s="356"/>
      <c r="F45" s="356"/>
      <c r="G45" s="356">
        <v>35900</v>
      </c>
    </row>
    <row r="46" spans="1:11" s="48" customFormat="1" ht="38.25" customHeight="1">
      <c r="A46" s="352">
        <v>921</v>
      </c>
      <c r="B46" s="352">
        <v>92105</v>
      </c>
      <c r="C46" s="352">
        <v>2820</v>
      </c>
      <c r="D46" s="355" t="s">
        <v>67</v>
      </c>
      <c r="E46" s="356"/>
      <c r="F46" s="356"/>
      <c r="G46" s="356">
        <v>26000</v>
      </c>
    </row>
    <row r="47" spans="1:11" s="48" customFormat="1" ht="60.75" customHeight="1">
      <c r="A47" s="352">
        <v>921</v>
      </c>
      <c r="B47" s="352">
        <v>92120</v>
      </c>
      <c r="C47" s="352">
        <v>2720</v>
      </c>
      <c r="D47" s="355" t="s">
        <v>69</v>
      </c>
      <c r="E47" s="356"/>
      <c r="F47" s="356"/>
      <c r="G47" s="356">
        <v>15000</v>
      </c>
    </row>
    <row r="48" spans="1:11" s="48" customFormat="1" ht="60.75" customHeight="1">
      <c r="A48" s="352">
        <v>926</v>
      </c>
      <c r="B48" s="352">
        <v>92605</v>
      </c>
      <c r="C48" s="352">
        <v>2360</v>
      </c>
      <c r="D48" s="355" t="s">
        <v>64</v>
      </c>
      <c r="E48" s="356"/>
      <c r="F48" s="356"/>
      <c r="G48" s="356">
        <v>0</v>
      </c>
      <c r="I48" s="280"/>
      <c r="K48" s="280"/>
    </row>
    <row r="49" spans="1:11" s="48" customFormat="1" ht="60.75" customHeight="1">
      <c r="A49" s="352">
        <v>926</v>
      </c>
      <c r="B49" s="352">
        <v>92605</v>
      </c>
      <c r="C49" s="352">
        <v>2820</v>
      </c>
      <c r="D49" s="355" t="s">
        <v>67</v>
      </c>
      <c r="E49" s="356"/>
      <c r="F49" s="356"/>
      <c r="G49" s="356">
        <v>20000</v>
      </c>
      <c r="I49" s="280"/>
      <c r="K49" s="280"/>
    </row>
    <row r="50" spans="1:11" s="48" customFormat="1" ht="22.5" customHeight="1">
      <c r="A50" s="530" t="s">
        <v>70</v>
      </c>
      <c r="B50" s="530"/>
      <c r="C50" s="530"/>
      <c r="D50" s="530"/>
      <c r="E50" s="256">
        <f>SUM(E19:E48)</f>
        <v>15646785.689999999</v>
      </c>
      <c r="F50" s="256">
        <f t="shared" ref="F50" si="0">SUM(F19:F48)</f>
        <v>0</v>
      </c>
      <c r="G50" s="256">
        <f>SUM(G19:G49)</f>
        <v>3521456.4499999997</v>
      </c>
    </row>
    <row r="51" spans="1:11" s="53" customFormat="1" ht="26.25" customHeight="1">
      <c r="A51" s="531" t="s">
        <v>71</v>
      </c>
      <c r="B51" s="531"/>
      <c r="C51" s="531"/>
      <c r="D51" s="531"/>
      <c r="E51" s="531"/>
      <c r="F51" s="531"/>
      <c r="G51" s="258">
        <f>SUM(E17,G17,E50,G50)</f>
        <v>20773692.139999997</v>
      </c>
    </row>
    <row r="52" spans="1:11" ht="15.75" customHeight="1"/>
    <row r="53" spans="1:11" ht="15.75" customHeight="1">
      <c r="G53" s="279"/>
    </row>
    <row r="54" spans="1:11" ht="15.75" customHeight="1"/>
    <row r="55" spans="1:11" ht="15.75" customHeight="1">
      <c r="A55" s="40"/>
      <c r="B55" s="40"/>
      <c r="C55" s="40"/>
    </row>
    <row r="56" spans="1:11" ht="15.75" customHeight="1">
      <c r="A56" s="40"/>
      <c r="B56" s="40"/>
      <c r="C56" s="40"/>
    </row>
    <row r="57" spans="1:11" ht="15.75" customHeight="1">
      <c r="A57" s="40"/>
      <c r="B57" s="40"/>
      <c r="C57" s="4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</sheetData>
  <sheetProtection algorithmName="SHA-512" hashValue="HxqMOpNxLmn7Ys320E6Rcu13EXjxxFdUYkGeQP1xfBvSPz98XBOq67z5wxPgipraMKSI0H1NoWnTQT/rf1DyfQ==" saltValue="3Z3kT0Y6vXfD7Ymm6uVxIg==" spinCount="100000" sheet="1" formatColumns="0" formatRows="0"/>
  <mergeCells count="11">
    <mergeCell ref="A7:C7"/>
    <mergeCell ref="A17:D17"/>
    <mergeCell ref="A18:C18"/>
    <mergeCell ref="A50:D50"/>
    <mergeCell ref="A51:F51"/>
    <mergeCell ref="A2:G2"/>
    <mergeCell ref="A4:A5"/>
    <mergeCell ref="B4:B5"/>
    <mergeCell ref="C4:C5"/>
    <mergeCell ref="D4:D5"/>
    <mergeCell ref="E4:G4"/>
  </mergeCells>
  <pageMargins left="0.59055118110236227" right="0.31496062992125984" top="1.4173228346456694" bottom="0.62992125984251968" header="0.51181102362204722" footer="0.47244094488188981"/>
  <pageSetup paperSize="9" scale="85" orientation="portrait" verticalDpi="300" r:id="rId1"/>
  <headerFooter differentOddEven="1" differentFirst="1" alignWithMargins="0">
    <oddFooter>&amp;C&amp;P</oddFooter>
    <evenFooter>&amp;C&amp;P</evenFooter>
    <firstHeader>&amp;R&amp;10Załącznik Nr 1 
do uchwały Nr ...................
Rady  Powiatu  Otwockiego
z dnia ..............................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406D-A410-4450-AA23-500A0050E418}">
  <sheetPr>
    <tabColor rgb="FF92D050"/>
  </sheetPr>
  <dimension ref="B1:I14"/>
  <sheetViews>
    <sheetView workbookViewId="0">
      <selection activeCell="B18" sqref="B18"/>
    </sheetView>
  </sheetViews>
  <sheetFormatPr defaultColWidth="9.33203125" defaultRowHeight="12.75"/>
  <cols>
    <col min="1" max="1" width="2.83203125" style="96" customWidth="1"/>
    <col min="2" max="2" width="50.83203125" style="96" customWidth="1"/>
    <col min="3" max="3" width="9.33203125" style="96" customWidth="1"/>
    <col min="4" max="4" width="11.33203125" style="96" customWidth="1"/>
    <col min="5" max="8" width="13" style="96" customWidth="1"/>
    <col min="9" max="16384" width="9.33203125" style="96"/>
  </cols>
  <sheetData>
    <row r="1" spans="2:9" ht="9" customHeight="1"/>
    <row r="2" spans="2:9" ht="32.25" customHeight="1">
      <c r="B2" s="535" t="s">
        <v>381</v>
      </c>
      <c r="C2" s="535"/>
      <c r="D2" s="535"/>
      <c r="E2" s="535"/>
      <c r="F2" s="535"/>
      <c r="G2" s="535"/>
      <c r="H2" s="535"/>
    </row>
    <row r="3" spans="2:9" ht="13.5" thickBot="1"/>
    <row r="4" spans="2:9" ht="18.75" customHeight="1">
      <c r="B4" s="536" t="s">
        <v>382</v>
      </c>
      <c r="C4" s="538" t="s">
        <v>0</v>
      </c>
      <c r="D4" s="536" t="s">
        <v>1</v>
      </c>
      <c r="E4" s="538" t="s">
        <v>22</v>
      </c>
      <c r="F4" s="540" t="s">
        <v>383</v>
      </c>
      <c r="G4" s="538"/>
      <c r="H4" s="541"/>
    </row>
    <row r="5" spans="2:9" ht="18.75" customHeight="1" thickBot="1">
      <c r="B5" s="537"/>
      <c r="C5" s="539"/>
      <c r="D5" s="537"/>
      <c r="E5" s="539"/>
      <c r="F5" s="388"/>
      <c r="G5" s="389" t="s">
        <v>384</v>
      </c>
      <c r="H5" s="390" t="s">
        <v>385</v>
      </c>
    </row>
    <row r="6" spans="2:9" s="440" customFormat="1" ht="45.75" customHeight="1" thickBot="1">
      <c r="B6" s="438" t="s">
        <v>386</v>
      </c>
      <c r="C6" s="438">
        <v>801</v>
      </c>
      <c r="D6" s="438">
        <v>80120</v>
      </c>
      <c r="E6" s="439">
        <f>60600+10000</f>
        <v>70600</v>
      </c>
      <c r="F6" s="439">
        <f>SUM(G6:H6)</f>
        <v>70600</v>
      </c>
      <c r="G6" s="439">
        <f>60600+10000</f>
        <v>70600</v>
      </c>
      <c r="H6" s="439">
        <v>0</v>
      </c>
    </row>
    <row r="7" spans="2:9" s="440" customFormat="1" ht="45.75" customHeight="1" thickBot="1">
      <c r="B7" s="438" t="s">
        <v>387</v>
      </c>
      <c r="C7" s="438">
        <v>801</v>
      </c>
      <c r="D7" s="438">
        <v>80120</v>
      </c>
      <c r="E7" s="439">
        <f>11000+10000</f>
        <v>21000</v>
      </c>
      <c r="F7" s="439">
        <f t="shared" ref="F7:F13" si="0">SUM(G7:H7)</f>
        <v>21000</v>
      </c>
      <c r="G7" s="439">
        <f>11000+10000</f>
        <v>21000</v>
      </c>
      <c r="H7" s="439">
        <v>0</v>
      </c>
    </row>
    <row r="8" spans="2:9" ht="45.75" customHeight="1" thickBot="1">
      <c r="B8" s="391" t="s">
        <v>388</v>
      </c>
      <c r="C8" s="391">
        <v>801</v>
      </c>
      <c r="D8" s="391">
        <v>80115</v>
      </c>
      <c r="E8" s="392">
        <f>146000+20000</f>
        <v>166000</v>
      </c>
      <c r="F8" s="392">
        <f t="shared" si="0"/>
        <v>166000</v>
      </c>
      <c r="G8" s="392">
        <f>146000+20000</f>
        <v>166000</v>
      </c>
      <c r="H8" s="392">
        <v>0</v>
      </c>
    </row>
    <row r="9" spans="2:9" ht="45.75" customHeight="1" thickBot="1">
      <c r="B9" s="153" t="s">
        <v>389</v>
      </c>
      <c r="C9" s="391">
        <v>801</v>
      </c>
      <c r="D9" s="391">
        <v>80115</v>
      </c>
      <c r="E9" s="392">
        <v>164747</v>
      </c>
      <c r="F9" s="392">
        <f t="shared" si="0"/>
        <v>164747</v>
      </c>
      <c r="G9" s="392">
        <v>164747</v>
      </c>
      <c r="H9" s="392">
        <v>0</v>
      </c>
    </row>
    <row r="10" spans="2:9" s="440" customFormat="1" ht="45.75" customHeight="1" thickBot="1">
      <c r="B10" s="438" t="s">
        <v>390</v>
      </c>
      <c r="C10" s="438">
        <v>854</v>
      </c>
      <c r="D10" s="438">
        <v>85403</v>
      </c>
      <c r="E10" s="439">
        <f>205300+10000</f>
        <v>215300</v>
      </c>
      <c r="F10" s="439">
        <f t="shared" si="0"/>
        <v>215300</v>
      </c>
      <c r="G10" s="439">
        <f>205300+10000</f>
        <v>215300</v>
      </c>
      <c r="H10" s="439">
        <v>0</v>
      </c>
    </row>
    <row r="11" spans="2:9" s="440" customFormat="1" ht="45.75" customHeight="1" thickBot="1">
      <c r="B11" s="438" t="s">
        <v>391</v>
      </c>
      <c r="C11" s="438">
        <v>854</v>
      </c>
      <c r="D11" s="438">
        <v>85403</v>
      </c>
      <c r="E11" s="439">
        <f>203500+20000</f>
        <v>223500</v>
      </c>
      <c r="F11" s="439">
        <f t="shared" si="0"/>
        <v>223500</v>
      </c>
      <c r="G11" s="439">
        <f>203500+20000</f>
        <v>223500</v>
      </c>
      <c r="H11" s="441">
        <v>0</v>
      </c>
    </row>
    <row r="12" spans="2:9" s="393" customFormat="1" ht="45.75" customHeight="1" thickBot="1">
      <c r="B12" s="153" t="s">
        <v>392</v>
      </c>
      <c r="C12" s="153">
        <v>854</v>
      </c>
      <c r="D12" s="153">
        <v>85407</v>
      </c>
      <c r="E12" s="396">
        <f>436000+170000+120000</f>
        <v>726000</v>
      </c>
      <c r="F12" s="396">
        <f>SUM(G12:H12)</f>
        <v>726000</v>
      </c>
      <c r="G12" s="396">
        <f>415500+170000+120000</f>
        <v>705500</v>
      </c>
      <c r="H12" s="396">
        <v>20500</v>
      </c>
    </row>
    <row r="13" spans="2:9" ht="45.75" customHeight="1" thickBot="1">
      <c r="B13" s="153" t="s">
        <v>393</v>
      </c>
      <c r="C13" s="391">
        <v>854</v>
      </c>
      <c r="D13" s="391">
        <v>85421</v>
      </c>
      <c r="E13" s="392">
        <v>367500</v>
      </c>
      <c r="F13" s="392">
        <f t="shared" si="0"/>
        <v>367500</v>
      </c>
      <c r="G13" s="392">
        <v>347500</v>
      </c>
      <c r="H13" s="392">
        <v>20000</v>
      </c>
      <c r="I13" s="394"/>
    </row>
    <row r="14" spans="2:9" s="95" customFormat="1" ht="28.5" customHeight="1" thickBot="1">
      <c r="B14" s="532" t="s">
        <v>293</v>
      </c>
      <c r="C14" s="533"/>
      <c r="D14" s="534"/>
      <c r="E14" s="395">
        <f>SUM(E6:E13)</f>
        <v>1954647</v>
      </c>
      <c r="F14" s="395">
        <f>SUM(F6:F13)</f>
        <v>1954647</v>
      </c>
      <c r="G14" s="395">
        <f>SUM(G6:G13)</f>
        <v>1914147</v>
      </c>
      <c r="H14" s="395">
        <f>SUM(H6:H13)</f>
        <v>40500</v>
      </c>
    </row>
  </sheetData>
  <sheetProtection algorithmName="SHA-512" hashValue="pNgJoyIAoHLvi1dlkJN/mcRjNDhYBiqnCCBw0GIEKG0wNyNJhyjxHnjWDxXCcxEPaV8ibfjE554m7d7NRb0K5A==" saltValue="4lKbOV8xqxEOBvS9PqL0pA==" spinCount="100000" sheet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78740157480314965" right="0.23622047244094491" top="1.6535433070866143" bottom="0.31496062992125984" header="0.70866141732283472" footer="0.15748031496062992"/>
  <pageSetup paperSize="9" scale="85" orientation="portrait" verticalDpi="300" r:id="rId1"/>
  <headerFooter differentOddEven="1" differentFirst="1" alignWithMargins="0">
    <firstHeader>&amp;R&amp;10Załącznik Nr 2
do uchwały Nr ..................
Rady Powiatu  Otwockiego
z dnia .............................</first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Tab.2a  </vt:lpstr>
      <vt:lpstr>Tab.3</vt:lpstr>
      <vt:lpstr>Tab.5</vt:lpstr>
      <vt:lpstr>Tab.7</vt:lpstr>
      <vt:lpstr>Zał.1</vt:lpstr>
      <vt:lpstr>Zał.2</vt:lpstr>
      <vt:lpstr>'Tab.2a  '!Obszar_wydruku</vt:lpstr>
      <vt:lpstr>Tab.3!Obszar_wydruku</vt:lpstr>
      <vt:lpstr>Tab.5!Obszar_wydruku</vt:lpstr>
      <vt:lpstr>Zał.1!Obszar_wydruku</vt:lpstr>
      <vt:lpstr>Zał.2!Obszar_wydruku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2023-11-21T10:52:35Z</cp:lastPrinted>
  <dcterms:created xsi:type="dcterms:W3CDTF">2015-10-09T11:05:37Z</dcterms:created>
  <dcterms:modified xsi:type="dcterms:W3CDTF">2023-11-21T11:55:35Z</dcterms:modified>
</cp:coreProperties>
</file>