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\Desktop\sesja 09 2023\"/>
    </mc:Choice>
  </mc:AlternateContent>
  <xr:revisionPtr revIDLastSave="0" documentId="13_ncr:1_{03AF8AFD-368F-4CAC-A420-7D31AD29C398}" xr6:coauthVersionLast="47" xr6:coauthVersionMax="47" xr10:uidLastSave="{00000000-0000-0000-0000-000000000000}"/>
  <bookViews>
    <workbookView xWindow="750" yWindow="780" windowWidth="28050" windowHeight="14655" tabRatio="821" xr2:uid="{00000000-000D-0000-FFFF-FFFF00000000}"/>
  </bookViews>
  <sheets>
    <sheet name="Tab.2a" sheetId="79" r:id="rId1"/>
    <sheet name="Tab.3" sheetId="21" r:id="rId2"/>
    <sheet name="Tab.5 " sheetId="73" r:id="rId3"/>
    <sheet name="Tab.6 " sheetId="82" r:id="rId4"/>
    <sheet name="Tab.7" sheetId="74" r:id="rId5"/>
    <sheet name="Zał.1" sheetId="71" r:id="rId6"/>
    <sheet name="Zał.2" sheetId="80" r:id="rId7"/>
  </sheets>
  <externalReferences>
    <externalReference r:id="rId8"/>
    <externalReference r:id="rId9"/>
    <externalReference r:id="rId10"/>
  </externalReferences>
  <definedNames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 localSheetId="6">#REF!</definedName>
    <definedName name="__xlnm.Print_Area_1">#REF!</definedName>
    <definedName name="_xlnm._FilterDatabase" localSheetId="2" hidden="1">'Tab.5 '!$B$1:$B$162</definedName>
    <definedName name="_xlnm._FilterDatabase" localSheetId="4" hidden="1">Tab.7!$B$1:$B$41</definedName>
    <definedName name="IdWzor">[1]DaneZrodlowe!$N$3</definedName>
    <definedName name="Inwestycje" localSheetId="0">#REF!</definedName>
    <definedName name="Inwestycje" localSheetId="2">#REF!</definedName>
    <definedName name="Inwestycje" localSheetId="3">#REF!</definedName>
    <definedName name="Inwestycje" localSheetId="4">#REF!</definedName>
    <definedName name="Inwestycje" localSheetId="5">#REF!</definedName>
    <definedName name="Inwestycje" localSheetId="6">#REF!</definedName>
    <definedName name="Inwestycje">#REF!</definedName>
    <definedName name="KwartalRb">[2]definicja!$B$5</definedName>
    <definedName name="_xlnm.Print_Area" localSheetId="1">Tab.3!$B$2:$E$32</definedName>
    <definedName name="_xlnm.Print_Area" localSheetId="2">'Tab.5 '!$A$2:$F$162</definedName>
    <definedName name="_xlnm.Print_Area" localSheetId="5">Zał.1!$A$2:$G$42</definedName>
    <definedName name="_xlnm.Print_Area" localSheetId="6">Zał.2!$A$1:$H$14</definedName>
    <definedName name="Ostatni_rok_analizy">[3]WPF_Analiza!$L$1</definedName>
    <definedName name="Rok_bazowy">[2]DaneZrodlowe!$O$1</definedName>
    <definedName name="RokBazowy">[3]DaneZrodlowe!$N$1</definedName>
    <definedName name="RokMaxProg">[3]DaneZrodlowe!$Q$1</definedName>
    <definedName name="RokRb">[2]definicja!$B$4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6">#REF!</definedName>
    <definedName name="t">#REF!</definedName>
    <definedName name="version">[3]definicja!$D$1</definedName>
    <definedName name="WydatkiPar">[2]definicja!$H$5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1" l="1"/>
  <c r="G27" i="79"/>
  <c r="G56" i="79"/>
  <c r="H56" i="79"/>
  <c r="I56" i="79"/>
  <c r="J56" i="79"/>
  <c r="F55" i="79"/>
  <c r="F56" i="79" s="1"/>
  <c r="F8" i="82"/>
  <c r="F7" i="82" s="1"/>
  <c r="F6" i="82" s="1"/>
  <c r="G17" i="82"/>
  <c r="G16" i="82" s="1"/>
  <c r="F17" i="82"/>
  <c r="F16" i="82" s="1"/>
  <c r="G13" i="82"/>
  <c r="F13" i="82"/>
  <c r="F12" i="82" s="1"/>
  <c r="G12" i="82"/>
  <c r="G7" i="82"/>
  <c r="G6" i="82" s="1"/>
  <c r="G22" i="82" l="1"/>
  <c r="F22" i="82"/>
  <c r="E25" i="71" l="1"/>
  <c r="F15" i="74"/>
  <c r="G69" i="79"/>
  <c r="H69" i="79"/>
  <c r="I69" i="79"/>
  <c r="J69" i="79"/>
  <c r="G66" i="79"/>
  <c r="H66" i="79"/>
  <c r="I66" i="79"/>
  <c r="G12" i="80"/>
  <c r="F12" i="80"/>
  <c r="E12" i="80"/>
  <c r="H14" i="80"/>
  <c r="F13" i="80"/>
  <c r="F11" i="80"/>
  <c r="F10" i="80"/>
  <c r="F9" i="80"/>
  <c r="G8" i="80"/>
  <c r="G14" i="80" s="1"/>
  <c r="E8" i="80"/>
  <c r="E14" i="80" s="1"/>
  <c r="F7" i="80"/>
  <c r="F6" i="80"/>
  <c r="F68" i="79"/>
  <c r="F67" i="79"/>
  <c r="F65" i="79"/>
  <c r="F64" i="79"/>
  <c r="F8" i="80" l="1"/>
  <c r="F69" i="79"/>
  <c r="F14" i="80"/>
  <c r="J42" i="79"/>
  <c r="G39" i="79"/>
  <c r="G30" i="79"/>
  <c r="F23" i="79"/>
  <c r="G19" i="79"/>
  <c r="F10" i="74"/>
  <c r="F8" i="74" s="1"/>
  <c r="J7" i="79"/>
  <c r="F6" i="74"/>
  <c r="G71" i="79" l="1"/>
  <c r="H71" i="79"/>
  <c r="I71" i="79"/>
  <c r="J71" i="79"/>
  <c r="F70" i="79"/>
  <c r="F71" i="79" s="1"/>
  <c r="G54" i="79"/>
  <c r="H54" i="79"/>
  <c r="I54" i="79"/>
  <c r="J54" i="79"/>
  <c r="F53" i="79"/>
  <c r="F54" i="79" s="1"/>
  <c r="E23" i="21"/>
  <c r="E22" i="21"/>
  <c r="E21" i="21"/>
  <c r="G37" i="79" l="1"/>
  <c r="J28" i="79"/>
  <c r="F30" i="79"/>
  <c r="J12" i="79"/>
  <c r="F17" i="79"/>
  <c r="F26" i="79"/>
  <c r="I42" i="79"/>
  <c r="G42" i="79"/>
  <c r="H31" i="79"/>
  <c r="I31" i="79"/>
  <c r="G31" i="79"/>
  <c r="J22" i="79"/>
  <c r="G73" i="79"/>
  <c r="H73" i="79"/>
  <c r="I73" i="79"/>
  <c r="J73" i="79"/>
  <c r="F72" i="79"/>
  <c r="F73" i="79" s="1"/>
  <c r="H22" i="79" l="1"/>
  <c r="I22" i="79"/>
  <c r="G22" i="79"/>
  <c r="F22" i="79" l="1"/>
  <c r="F27" i="74"/>
  <c r="F26" i="74" s="1"/>
  <c r="H48" i="79"/>
  <c r="H42" i="79" s="1"/>
  <c r="H38" i="79"/>
  <c r="I38" i="79"/>
  <c r="G38" i="79"/>
  <c r="H28" i="79"/>
  <c r="I28" i="79"/>
  <c r="H12" i="79"/>
  <c r="I12" i="79"/>
  <c r="G12" i="79"/>
  <c r="H7" i="79"/>
  <c r="G75" i="79"/>
  <c r="H75" i="79"/>
  <c r="I75" i="79"/>
  <c r="F74" i="79"/>
  <c r="F75" i="79" s="1"/>
  <c r="F21" i="79"/>
  <c r="F35" i="79"/>
  <c r="J38" i="79"/>
  <c r="G36" i="79"/>
  <c r="F36" i="79" s="1"/>
  <c r="F48" i="79" l="1"/>
  <c r="F12" i="79"/>
  <c r="F38" i="79"/>
  <c r="F39" i="79"/>
  <c r="F27" i="79"/>
  <c r="G29" i="79"/>
  <c r="G28" i="79" s="1"/>
  <c r="F28" i="79" s="1"/>
  <c r="F16" i="79" l="1"/>
  <c r="G9" i="79"/>
  <c r="G7" i="79" s="1"/>
  <c r="E18" i="21"/>
  <c r="E17" i="21" s="1"/>
  <c r="J77" i="79"/>
  <c r="I77" i="79"/>
  <c r="H77" i="79"/>
  <c r="G77" i="79"/>
  <c r="F76" i="79"/>
  <c r="F77" i="79" s="1"/>
  <c r="F63" i="79"/>
  <c r="F62" i="79"/>
  <c r="F66" i="79" s="1"/>
  <c r="I61" i="79"/>
  <c r="H61" i="79"/>
  <c r="G61" i="79"/>
  <c r="F59" i="79"/>
  <c r="F61" i="79" s="1"/>
  <c r="I58" i="79"/>
  <c r="H58" i="79"/>
  <c r="G58" i="79"/>
  <c r="F57" i="79"/>
  <c r="F58" i="79" s="1"/>
  <c r="F51" i="79"/>
  <c r="I50" i="79"/>
  <c r="H50" i="79"/>
  <c r="H52" i="79" s="1"/>
  <c r="H78" i="79" s="1"/>
  <c r="G50" i="79"/>
  <c r="F46" i="79"/>
  <c r="F44" i="79"/>
  <c r="F37" i="79"/>
  <c r="F34" i="79"/>
  <c r="F33" i="79"/>
  <c r="F32" i="79"/>
  <c r="J31" i="79"/>
  <c r="F31" i="79" s="1"/>
  <c r="F29" i="79"/>
  <c r="F25" i="79"/>
  <c r="F24" i="79"/>
  <c r="F19" i="79"/>
  <c r="F13" i="79"/>
  <c r="F10" i="79"/>
  <c r="F8" i="79"/>
  <c r="I7" i="79"/>
  <c r="I52" i="79" l="1"/>
  <c r="I78" i="79" s="1"/>
  <c r="J52" i="79"/>
  <c r="J78" i="79" s="1"/>
  <c r="G52" i="79"/>
  <c r="G78" i="79" s="1"/>
  <c r="F9" i="79"/>
  <c r="F7" i="79"/>
  <c r="F50" i="79"/>
  <c r="F42" i="79"/>
  <c r="F52" i="79" l="1"/>
  <c r="F78" i="79" s="1"/>
  <c r="F20" i="74"/>
  <c r="F19" i="74" s="1"/>
  <c r="G34" i="74" l="1"/>
  <c r="G25" i="74"/>
  <c r="G14" i="74" l="1"/>
  <c r="F14" i="74"/>
  <c r="F13" i="74" s="1"/>
  <c r="F39" i="74" l="1"/>
  <c r="F38" i="74" s="1"/>
  <c r="G38" i="74"/>
  <c r="G35" i="74"/>
  <c r="F35" i="74"/>
  <c r="G33" i="74"/>
  <c r="G30" i="74"/>
  <c r="F30" i="74"/>
  <c r="G23" i="74"/>
  <c r="G22" i="74" s="1"/>
  <c r="F23" i="74"/>
  <c r="F22" i="74" s="1"/>
  <c r="G16" i="74"/>
  <c r="G13" i="74" s="1"/>
  <c r="F16" i="74"/>
  <c r="G8" i="74"/>
  <c r="G6" i="74"/>
  <c r="E20" i="21"/>
  <c r="G32" i="71"/>
  <c r="G41" i="71" s="1"/>
  <c r="F41" i="71"/>
  <c r="E41" i="71"/>
  <c r="G17" i="71"/>
  <c r="F17" i="71"/>
  <c r="E17" i="71"/>
  <c r="G5" i="74" l="1"/>
  <c r="F29" i="74"/>
  <c r="G29" i="74"/>
  <c r="F5" i="74"/>
  <c r="G42" i="71"/>
  <c r="F41" i="74" l="1"/>
  <c r="G41" i="74"/>
  <c r="E15" i="21"/>
  <c r="E14" i="21" l="1"/>
  <c r="E29" i="21" l="1"/>
  <c r="E10" i="21"/>
  <c r="E7" i="21"/>
  <c r="E13" i="21" l="1"/>
</calcChain>
</file>

<file path=xl/sharedStrings.xml><?xml version="1.0" encoding="utf-8"?>
<sst xmlns="http://schemas.openxmlformats.org/spreadsheetml/2006/main" count="1026" uniqueCount="385">
  <si>
    <t>Dział</t>
  </si>
  <si>
    <t>Rozdział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</si>
  <si>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</si>
  <si>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</si>
  <si>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</si>
  <si>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</si>
  <si>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</si>
  <si>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</si>
  <si>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</si>
  <si>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</si>
  <si>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</si>
  <si>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</si>
  <si>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</si>
  <si>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</si>
  <si>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</si>
  <si>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</si>
  <si>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</si>
  <si>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</si>
  <si>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</si>
  <si>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</si>
  <si>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</si>
  <si>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</si>
  <si>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Dochody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</si>
  <si>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</si>
  <si>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</si>
  <si>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</si>
  <si>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</si>
  <si>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</si>
  <si>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</si>
  <si>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Przychody ze spłat pożyczek i kredytów udzielonych ze środków publicznych</t>
  </si>
  <si>
    <t>§ 951</t>
  </si>
  <si>
    <t>§ 991</t>
  </si>
  <si>
    <t>Udzielone pożyczki i kredyty</t>
  </si>
  <si>
    <t>w tym:</t>
  </si>
  <si>
    <t>7.</t>
  </si>
  <si>
    <t>6.</t>
  </si>
  <si>
    <t>§ 906</t>
  </si>
  <si>
    <t>§ 905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</si>
  <si>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</si>
  <si>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Przychody jednostek samorządu terytorialnego z wynikających z rozliczenia środków określonych w art. 5 ust. 1 pkt 2 ustawy i dotacji na realizację programu, projektu lub zadania finansowanego z udziałem tych środków</t>
  </si>
  <si>
    <t>Przychody ze sprzedaży innych papierów wartościowych</t>
  </si>
  <si>
    <t>§ 931</t>
  </si>
  <si>
    <t>a)  środki z Rządowego Funduszu Inwestycji Lokalnych</t>
  </si>
  <si>
    <t>b)  środki z Rządowego Funduszu Rozwoju Dróg</t>
  </si>
  <si>
    <t>• na wydatki majątkowe</t>
  </si>
  <si>
    <r>
      <rPr>
        <sz val="10"/>
        <color rgb="FF222222"/>
        <rFont val="Calibri"/>
        <family val="2"/>
        <charset val="238"/>
      </rPr>
      <t>•</t>
    </r>
    <r>
      <rPr>
        <sz val="10"/>
        <color rgb="FF222222"/>
        <rFont val="Arial"/>
        <family val="2"/>
        <charset val="238"/>
      </rPr>
      <t xml:space="preserve"> na wydatki majątkowe</t>
    </r>
  </si>
  <si>
    <r>
      <rPr>
        <sz val="10"/>
        <color rgb="FF222222"/>
        <rFont val="Calibri"/>
        <family val="2"/>
        <charset val="238"/>
      </rPr>
      <t>•</t>
    </r>
    <r>
      <rPr>
        <sz val="10"/>
        <color rgb="FF222222"/>
        <rFont val="Arial"/>
        <family val="2"/>
        <charset val="238"/>
      </rPr>
      <t xml:space="preserve"> na wydatki bieżące </t>
    </r>
  </si>
  <si>
    <t>Przychody i rozchody budżetu w 2023 roku - po zmianach</t>
  </si>
  <si>
    <t>§</t>
  </si>
  <si>
    <t>Nazwa zadania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</si>
  <si>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</si>
  <si>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</si>
  <si>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</si>
  <si>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</si>
  <si>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</si>
  <si>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</si>
  <si>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Dotacje celowe przekazane gminie na zadania bieżące realizowane na podstawie porozumień (umów) między jednostkami samorządu terytorialnego</t>
  </si>
  <si>
    <t>Dotacja celowa na pomoc finansową udzielaną między jednostkami samorządu terytorialnego na dofinansowanie własnych zadań inwestycyjnych i zakupów inwestycyjnych</t>
  </si>
  <si>
    <t>Dotacja celowa na pomoc finansową udzielaną między jednostkami samorządu terytorialnego na dofinansowanie własnych zadań bieżących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</si>
  <si>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</si>
  <si>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</si>
  <si>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</si>
  <si>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</si>
  <si>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</si>
  <si>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</si>
  <si>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Dotacja podmiotowa z budżetu dla niepublicznej jednostki oświaty</t>
  </si>
  <si>
    <t>Dotacja celowa z budżetu na finansowanie lub dofinansowanie kosztów realizacji inwestycji i zakupów inwestycyjnych jednostek nie zaliczanych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</si>
  <si>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</si>
  <si>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</si>
  <si>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Dotacja celowa z budżetu na finansowanie lub dofinansowanie prac remontowych i konserwatorskich obiektów zabytkowych przekazane jednostkom niezaliczanym do sektora finansów publicznych</t>
  </si>
  <si>
    <t>Razem jednostki nienależące do sektora finansów publicznych</t>
  </si>
  <si>
    <t>Ogółem plan dotacji na 2023 rok</t>
  </si>
  <si>
    <t>Paragraf</t>
  </si>
  <si>
    <t>Wyszczególnienie</t>
  </si>
  <si>
    <t>Wydatki</t>
  </si>
  <si>
    <t>010</t>
  </si>
  <si>
    <t>Rolnictwo i łowiectwo</t>
  </si>
  <si>
    <t>01005</t>
  </si>
  <si>
    <t>Prace geodezyjno-urządzeniowe na potrzeby rolnictwa</t>
  </si>
  <si>
    <t>Zakup usług pozostałych</t>
  </si>
  <si>
    <t>Gospodarka mieszkaniowa</t>
  </si>
  <si>
    <t>Gospodarka gruntami i nieruchomościami</t>
  </si>
  <si>
    <t>Wynagrodzenia osobowe pracowników</t>
  </si>
  <si>
    <t>Składki na ubezpieczenia społeczne</t>
  </si>
  <si>
    <t>Składki na Fundusz Pracy oraz Fundusz Solidarnościowy</t>
  </si>
  <si>
    <t>Wynagrodzenia bezosobowe</t>
  </si>
  <si>
    <t>Zakup materiałów i wyposażenia</t>
  </si>
  <si>
    <t>Zakup energii</t>
  </si>
  <si>
    <t>Zakup usług remontowych</t>
  </si>
  <si>
    <t>Zakup usług obejmujących wykonanie ekspertyz, analiz i opinii</t>
  </si>
  <si>
    <t>Różne opłaty i składki</t>
  </si>
  <si>
    <t>Podatek od nieruchomości</t>
  </si>
  <si>
    <t>Opłaty na rzecz budżetów jednostek samorządu terytorialnego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</si>
  <si>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</si>
  <si>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</si>
  <si>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</si>
  <si>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</si>
  <si>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71012</t>
  </si>
  <si>
    <t>Zadania z zakresu geodezji i kartografii</t>
  </si>
  <si>
    <t>Nadzór budowlany</t>
  </si>
  <si>
    <t>Wydatki osobowe niezaliczone do wynagrodzeń</t>
  </si>
  <si>
    <t>Wynagrodzenia osobowe członków korpusu służby cywilnej</t>
  </si>
  <si>
    <t>Dodatkowe wynagrodzenie roczne</t>
  </si>
  <si>
    <t>Zakup usług zdrowotnych</t>
  </si>
  <si>
    <t>Podróże służbowe krajowe</t>
  </si>
  <si>
    <t>Odpisy na zakładowy fundusz świadczeń socjalnych</t>
  </si>
  <si>
    <t>Szkolenia członków korpusu służby cywilnej</t>
  </si>
  <si>
    <t>Szkolenia pracowników niebędących członkami korpusu służby cywilnej</t>
  </si>
  <si>
    <t>Wpłaty na PPK finansowane przez podmiot zatrudniający</t>
  </si>
  <si>
    <t>Administracja publiczna</t>
  </si>
  <si>
    <t>Urzędy wojewódzkie</t>
  </si>
  <si>
    <t>752</t>
  </si>
  <si>
    <t>Obrona narodowa</t>
  </si>
  <si>
    <t>75224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</si>
  <si>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</si>
  <si>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</si>
  <si>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</si>
  <si>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</si>
  <si>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</si>
  <si>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</si>
  <si>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</si>
  <si>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</si>
  <si>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</si>
  <si>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Opłaty na rzecz budżetu państwa</t>
  </si>
  <si>
    <t>755</t>
  </si>
  <si>
    <t>Wymiar sprawiedliwości</t>
  </si>
  <si>
    <t>75515</t>
  </si>
  <si>
    <t>Nieodpłatna pomoc prawna</t>
  </si>
  <si>
    <t>Ochrona zdrowia</t>
  </si>
  <si>
    <t>Składki na ubezpieczenie zdrowotne</t>
  </si>
  <si>
    <t>852</t>
  </si>
  <si>
    <t>Pomoc społeczna</t>
  </si>
  <si>
    <t>Ośrodki wsparcia</t>
  </si>
  <si>
    <t>85231</t>
  </si>
  <si>
    <t>Pomoc dla cudzoziemców</t>
  </si>
  <si>
    <t>Świadczenia społeczne</t>
  </si>
  <si>
    <t>Pozostałe zadania w zakresie polityki społecznej</t>
  </si>
  <si>
    <t>Zespoły do spraw orzekania o niepełnosprawności</t>
  </si>
  <si>
    <t>Razem</t>
  </si>
  <si>
    <t>Transport i łączność</t>
  </si>
  <si>
    <t>Lokalny transport zbiorowy</t>
  </si>
  <si>
    <t>Dotacja celowa przekazana gminie na zadania bieżące realizowane na podstawie porozumień (umów) między jednostkami samorządu terytorialnego</t>
  </si>
  <si>
    <t>Drogi publiczne powiatowe</t>
  </si>
  <si>
    <t xml:space="preserve">Dotacja celowa otrzymana z tytułu  pomocy finansowej udzielanej między jednostkami samorządu terytorialnego na dofinansowanie własnych zadań inwestycyjnych i zakupów inwestycyjnych </t>
  </si>
  <si>
    <t>Pozostala działalność</t>
  </si>
  <si>
    <t>Rehabilitacja zawodowa i społeczna osób niepełnosprawnych</t>
  </si>
  <si>
    <t>Dotacja celowa otrzymana z powiatu na zadania bieżące realizowane na podstawie porozumień (umów) między jednostkami samorządu terytorialnego</t>
  </si>
  <si>
    <t>Dotacja celowa przekazana dla powiatu na zadania bieżące realizowane na podstawie porozumień (umów) między jednostkami samorządu terytorialnego</t>
  </si>
  <si>
    <t>Rodzina</t>
  </si>
  <si>
    <t>Rodziny zastępcze</t>
  </si>
  <si>
    <t>Działalność ośrodków adopcyjnych</t>
  </si>
  <si>
    <t>Dotacja celowa przekazana do samorządu województwa na zadania bieżące realizowane na podstawie porozumień (umów) między jednostkami samorządu terytorialnego</t>
  </si>
  <si>
    <t>Działalność placówek opiekuńczo-wychowawczych</t>
  </si>
  <si>
    <t>Kultura i ochrona dziedzictwa narodowego</t>
  </si>
  <si>
    <t>Biblioteki</t>
  </si>
  <si>
    <t>Dotacja celowa otrzymana z tytułu pomocy finansowej udzielanej między jednostkami samorządu terytorialnego na dofinansowanie własnych zadań bieżących</t>
  </si>
  <si>
    <t>Dochody i wydatki związane z realizacją zadań realizowanych w drodze umów lub porozumień między                                              jednostkami samorządu terytorialnego na 2023 rok - po zmianach</t>
  </si>
  <si>
    <t/>
  </si>
  <si>
    <t>2110</t>
  </si>
  <si>
    <t>Dotacja celowa otrzymana z budżetu państwa na zadania bieżące z zakresu administracji rządowej oraz inne zadania zlecone ustawami realizowane przez powiat</t>
  </si>
  <si>
    <t>4300</t>
  </si>
  <si>
    <t>700</t>
  </si>
  <si>
    <t>70005</t>
  </si>
  <si>
    <t>4010</t>
  </si>
  <si>
    <t>4110</t>
  </si>
  <si>
    <t>4120</t>
  </si>
  <si>
    <t>4170</t>
  </si>
  <si>
    <t>4210</t>
  </si>
  <si>
    <t>4260</t>
  </si>
  <si>
    <t>4270</t>
  </si>
  <si>
    <t>4390</t>
  </si>
  <si>
    <t>4430</t>
  </si>
  <si>
    <t>4480</t>
  </si>
  <si>
    <t>4520</t>
  </si>
  <si>
    <t>4580</t>
  </si>
  <si>
    <t>4590</t>
  </si>
  <si>
    <t>4610</t>
  </si>
  <si>
    <t>710</t>
  </si>
  <si>
    <t>71015</t>
  </si>
  <si>
    <t>3020</t>
  </si>
  <si>
    <t>4020</t>
  </si>
  <si>
    <t>4040</t>
  </si>
  <si>
    <t>4280</t>
  </si>
  <si>
    <t>4360</t>
  </si>
  <si>
    <t>Opłaty z tytułu zakupu usług telekomunikacyjnych</t>
  </si>
  <si>
    <t>4410</t>
  </si>
  <si>
    <t>4440</t>
  </si>
  <si>
    <t>4550</t>
  </si>
  <si>
    <t>4700</t>
  </si>
  <si>
    <t>4710</t>
  </si>
  <si>
    <t>750</t>
  </si>
  <si>
    <t>75011</t>
  </si>
  <si>
    <t>Kwalifikacja wojskowa.</t>
  </si>
  <si>
    <t>754</t>
  </si>
  <si>
    <t>75411</t>
  </si>
  <si>
    <t>3070</t>
  </si>
  <si>
    <t>4050</t>
  </si>
  <si>
    <t>4060</t>
  </si>
  <si>
    <t>4070</t>
  </si>
  <si>
    <t>4180</t>
  </si>
  <si>
    <t>Równoważniki pieniężne i ekwiwalenty dla żołnierzy i funkcjonariuszy oraz pozostałe nleżności</t>
  </si>
  <si>
    <t>4220</t>
  </si>
  <si>
    <t>4230</t>
  </si>
  <si>
    <t>4250</t>
  </si>
  <si>
    <t>4510</t>
  </si>
  <si>
    <t>2360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</si>
  <si>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</si>
  <si>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851</t>
  </si>
  <si>
    <t>85156</t>
  </si>
  <si>
    <t>Składki na ubezpieczenie zdrowotne oraz świadczenia dla osób nie objętych obowiązkiem ubezpieczenia zdrowotnego</t>
  </si>
  <si>
    <t>4130</t>
  </si>
  <si>
    <t>85203</t>
  </si>
  <si>
    <t>3110</t>
  </si>
  <si>
    <t>853</t>
  </si>
  <si>
    <t>85321</t>
  </si>
  <si>
    <t>Razem:</t>
  </si>
  <si>
    <t>Dochody i wydatki związane z realizacją zadań z zakresu administracji rządowej i innych zadań zleconych                                                                jednostce samorządu terytorialnego odrębnymi ustawami na 2023 rok - po zmianach</t>
  </si>
  <si>
    <t>Starostwa powiatowe</t>
  </si>
  <si>
    <t>Dotacje udzielone w 2023 roku z budżetu podmiotom należącym                                                                                               i nienależącym do sektora finansów publicznych - po zmianach</t>
  </si>
  <si>
    <t>Pozostała działalność</t>
  </si>
  <si>
    <t>Plan wydatków majątkowych na 2023 rok  - po zmianach</t>
  </si>
  <si>
    <t>Rozdz.</t>
  </si>
  <si>
    <t>Plan</t>
  </si>
  <si>
    <t>z tego:</t>
  </si>
  <si>
    <t>Uwagi</t>
  </si>
  <si>
    <t>środki własne</t>
  </si>
  <si>
    <t>kredyty, pożyczki, obligacje</t>
  </si>
  <si>
    <t>środki o których mowa w art. 5 ust. 1 pkt 2 i 3 uofp</t>
  </si>
  <si>
    <t>środki pochodzące                  z innych źródeł                     (w tym dotacje)</t>
  </si>
  <si>
    <t>8.</t>
  </si>
  <si>
    <t>9.</t>
  </si>
  <si>
    <t>10.</t>
  </si>
  <si>
    <t>11.</t>
  </si>
  <si>
    <t>12.</t>
  </si>
  <si>
    <t>Gmina Celestynów</t>
  </si>
  <si>
    <t xml:space="preserve">Rozbudowa dróg powiatowych Nr 2715W i Nr 2716W w miejsc. Dyzin, Jatne i Celestynów, gm. Celestynów, powiat otwocki </t>
  </si>
  <si>
    <t>B.250 000</t>
  </si>
  <si>
    <t>Wykonanie dokumentacji</t>
  </si>
  <si>
    <t>WPF</t>
  </si>
  <si>
    <t xml:space="preserve">Przebudowa mostu w drodze powiatowej Nr 2722W w Pogorzeli 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</si>
  <si>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</si>
  <si>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Gmina Otwock</t>
  </si>
  <si>
    <t>Rozbudowa skrzyżowania dróg powiatowych Nr 2765W ul. Karczewskiej i Nr 2760W  ul. Batorego i ul. Matejki w Otwocku</t>
  </si>
  <si>
    <t>B.700 000</t>
  </si>
  <si>
    <t>D. 900 001</t>
  </si>
  <si>
    <t>Poprawa bezpieczeństwa ruchu poprzez budowę ciągów pieszych i rowerowych na ul. Warszawskiej, ul. Jana Pawła II i ul. Poniatowskiego</t>
  </si>
  <si>
    <t xml:space="preserve">Rozbudowa drogi powiatowej Nr 2715W </t>
  </si>
  <si>
    <t>ul. Powstańców Warszawy i            ul. Wawerska w Otwocku</t>
  </si>
  <si>
    <t>Rozbudowa drogi powiatowej Nr 2765W - ul. Karczewskiej, Staszica w Otwocku na odcinku od km 0+000 do km 0+717</t>
  </si>
  <si>
    <t>Przebudowa sygnalizacji świetlnej na skrzyżowaniu dróg powiatowych Nr 2765W - ul. Kołłątaja i Nr 2763W - ul. Majowej w Otwocku</t>
  </si>
  <si>
    <t>Gmina Kołbiel</t>
  </si>
  <si>
    <t>Poprawa bezpieństwa na drodze powiatowej 2739W w m. Gadka</t>
  </si>
  <si>
    <t>F. 1 127 000</t>
  </si>
  <si>
    <t>Przebudowa drogi powiatowej Nr 2245W m. Dobrzyniec, gmina Kołbiel</t>
  </si>
  <si>
    <t>Gmina Sobienie Jeziory</t>
  </si>
  <si>
    <t>Przebudowa drogi powiatowej Nr 2753W na odcinku Sobienie Jeziory - Radwanków</t>
  </si>
  <si>
    <t>Modernizacja drogi powiatowej Nr 2735W i Nr 2749W</t>
  </si>
  <si>
    <t>B. 200 000</t>
  </si>
  <si>
    <t>Gmina Wiązowna</t>
  </si>
  <si>
    <t>13.</t>
  </si>
  <si>
    <t>Rozbudowa skrzyżowania ul. Napoleońskiej i Łąkowej w Gliniance</t>
  </si>
  <si>
    <t>F. 1 960 000</t>
  </si>
  <si>
    <t>14.</t>
  </si>
  <si>
    <t>Rozbudowa drogi powiatowej Nr 2709W Żanęcin - Dziechciniec w miejscowości Żanęcin</t>
  </si>
  <si>
    <t>A. 2 057 537</t>
  </si>
  <si>
    <t>Gmina Osieck</t>
  </si>
  <si>
    <t>15.</t>
  </si>
  <si>
    <t>Poprawa bezpieczeństwa na drodze powiatowej Nr 1315W w m. Augustówka</t>
  </si>
  <si>
    <t>ZADANIA MIĘDZYGMINNE</t>
  </si>
  <si>
    <t>16.</t>
  </si>
  <si>
    <t>Modernizacja infrastruktury drogowej dróg powiatowych Powiatu Otwockiego polegająca na modernizacji przepraw przez cieki (mosty w m. Glinianka, Kąty, Grabianka, Janów, Nadbrzeż, Brzezinka)</t>
  </si>
  <si>
    <t>17.</t>
  </si>
  <si>
    <t xml:space="preserve">Modernizacja infrastruktury dróg powiatowych Powiatu Otwockiego polegająca na modernizacji przepraw przez cieki </t>
  </si>
  <si>
    <t>18.</t>
  </si>
  <si>
    <t>Modernizacja infrastruktury drogowej Powiatu Otwockiego polegająca na modernizacji przepraw przez cieki wodne  - etap II</t>
  </si>
  <si>
    <t>19.</t>
  </si>
  <si>
    <t>Modernizacja infrastruktury drogowej i mostowej na terenie Powiatu Otwockiego</t>
  </si>
  <si>
    <t>Zakupy inwestycyjne w  ZDP</t>
  </si>
  <si>
    <t>20.</t>
  </si>
  <si>
    <t>Zakupy inwestycyjne w Zarządzie Dróg Powiatowych</t>
  </si>
  <si>
    <t>Razem Rozdział 60014</t>
  </si>
  <si>
    <t>21.</t>
  </si>
  <si>
    <t>Rezerwa na inwestycje i zakupy inwestycyjne</t>
  </si>
  <si>
    <t>Razem rozdział 75818</t>
  </si>
  <si>
    <t>22.</t>
  </si>
  <si>
    <t>Wniesienie wkładu pieniężnego - zwiększenie udziału w Powiatowym Centrum Zdrowia Sp. z o.o.</t>
  </si>
  <si>
    <t>23.</t>
  </si>
  <si>
    <t>Dotacja dla Powiatowego Centrum Zdrowia Sp. z o.o. w Otwocku na przebudowę i modernizację podziemia szpitala oraz modernizację przychodni specjalistycznej</t>
  </si>
  <si>
    <t>Razem Rozdział 85111</t>
  </si>
  <si>
    <t>24.</t>
  </si>
  <si>
    <t>Rozbudowa i modernizacja Domu Pomocy Społecznej Wrzos w Otwocku</t>
  </si>
  <si>
    <t xml:space="preserve">F. 4 675 000                      </t>
  </si>
  <si>
    <t>Razem Rozdział 85202</t>
  </si>
  <si>
    <t>25.</t>
  </si>
  <si>
    <t>Budowa przydomowej oczyszczalni ścieków na potrzeby RDD Podbiel</t>
  </si>
  <si>
    <t>Razem Rozdział 85510</t>
  </si>
  <si>
    <t>Ogółem</t>
  </si>
  <si>
    <t>B. Środki i dotacje otrzymane od innych jst oraz innych jednostek zaliczanych do sektora finansów publicznych</t>
  </si>
  <si>
    <t>C. Inne źródła  - Rządowy Fundusz Inwestycji Lokalnych 2020</t>
  </si>
  <si>
    <t>D. Inne źródła  - Rządowy Fundusz Inwestycji Lokalnych 2021</t>
  </si>
  <si>
    <t>F. Inne źródła - Program Inwestycji Strategicznych - Polski Ład</t>
  </si>
  <si>
    <t>Razem Rozdział 85407</t>
  </si>
  <si>
    <t>26.</t>
  </si>
  <si>
    <t>• na wydatki majątkowe z odsetek</t>
  </si>
  <si>
    <t>A. 1 054 004</t>
  </si>
  <si>
    <t xml:space="preserve"> B. 300 000</t>
  </si>
  <si>
    <t xml:space="preserve">D. 3 244 760  </t>
  </si>
  <si>
    <t>A. 0</t>
  </si>
  <si>
    <t>Przebudowa drogi powiatowej Nr 2736W w m. Teresin</t>
  </si>
  <si>
    <t>środki z rezerwy subwencji ogólnej</t>
  </si>
  <si>
    <t>A. 190 442</t>
  </si>
  <si>
    <t>Gmina Karczew</t>
  </si>
  <si>
    <t>Przebudowa drogi powiatowej Nr 2729W w m. Glinki</t>
  </si>
  <si>
    <t xml:space="preserve">Przebudowa drogi powiatowej Nr 2730W Nadbrzeż – Glinki </t>
  </si>
  <si>
    <t xml:space="preserve"> Modernizacja chodnika w drodze powiatowej Nr 2760W ul. Filipowicza w Otwocku</t>
  </si>
  <si>
    <t>B. 44 678</t>
  </si>
  <si>
    <t>27.</t>
  </si>
  <si>
    <t>28.</t>
  </si>
  <si>
    <t>29.</t>
  </si>
  <si>
    <t>30.</t>
  </si>
  <si>
    <t>31.</t>
  </si>
  <si>
    <t>32.</t>
  </si>
  <si>
    <t>Placówki wychowania pozaszkolnego</t>
  </si>
  <si>
    <t>Edukacyjna opieka wychowawcza</t>
  </si>
  <si>
    <t>D. 2 412 513,15</t>
  </si>
  <si>
    <t>85395</t>
  </si>
  <si>
    <t>Razem Rozdział 85403</t>
  </si>
  <si>
    <t>33.</t>
  </si>
  <si>
    <t>Modernizacja boiska do koszykówki – budowa piłkochwytów i montaż koszy na terenie  Powiatowego Młodzieżowego Domu Kultury w Otwocku</t>
  </si>
  <si>
    <t>środki na zadania określone w ustawie o ochronie gruntów rolnych i leśnych</t>
  </si>
  <si>
    <t>A. Dotacje i środki z budżetu państwa (np. od wojewody, MEN, UKFiS, …), w tym: Rządowy Fundusz Rozwoju Dróg</t>
  </si>
  <si>
    <t>Przebudowa drogi powiatowej Nr 2762W ul. Kraszewskiego w Otwocku na odcinku od ronda przy  ul. Mieszka do ronda przy ul. Batorego</t>
  </si>
  <si>
    <t>D. 300 000 (odsetki RFiL)</t>
  </si>
  <si>
    <r>
      <t xml:space="preserve">C. 1 000,87              C. 707,46 </t>
    </r>
    <r>
      <rPr>
        <sz val="10"/>
        <rFont val="Arial"/>
        <family val="2"/>
        <charset val="238"/>
      </rPr>
      <t>(odsetki RFiL)</t>
    </r>
    <r>
      <rPr>
        <b/>
        <sz val="10"/>
        <rFont val="Arial"/>
        <family val="2"/>
        <charset val="238"/>
      </rPr>
      <t xml:space="preserve">     D. 151 619,67 </t>
    </r>
    <r>
      <rPr>
        <sz val="10"/>
        <rFont val="Arial"/>
        <family val="2"/>
        <charset val="238"/>
      </rPr>
      <t>(odsetki RFiL)</t>
    </r>
  </si>
  <si>
    <t>Przebudowa drogi powiatowej Nr 2709W na odcinku od ul. Dworskiej do                        ul. Olchowej w miejscowości  Dziechciniec</t>
  </si>
  <si>
    <t xml:space="preserve">Budowa boiska sportowego (podbudowa i nawierzchnia poliuretanowa) wraz z zadaszeniem na terenie Specjalnego Ośrodka Szkolno-Wychowawczego  Nr 1              im. Marii Konopnickiej w Otwocku
</t>
  </si>
  <si>
    <t>A. 6 813 522,05     B. 6 820 000</t>
  </si>
  <si>
    <t xml:space="preserve">A. 155 554              B. 200 000  </t>
  </si>
  <si>
    <t>Zakup prawa własności zabudowanej nieruchomości stanowiącej działkę                           ew. nr 25/2 obr. 24, położonej w Józefowie przy ul. Sienkiewicza 28</t>
  </si>
  <si>
    <t>Razem rozdział 70095</t>
  </si>
  <si>
    <t>Razem Rozdział 85311</t>
  </si>
  <si>
    <t>34.</t>
  </si>
  <si>
    <t>35.</t>
  </si>
  <si>
    <t>Dotacja celowa otrzymana z samorządu województwa na inwestycje i zakupy inwestycyjne realizowane na podstawie porozumień (umów) między jednostkami samorządu terytorialnego</t>
  </si>
  <si>
    <t>801</t>
  </si>
  <si>
    <t>Oświata i wychowanie</t>
  </si>
  <si>
    <t>80153</t>
  </si>
  <si>
    <t>Zapewnienie uczniom prawa do bezpłatnego dostępu do podręczników, materiałów edukacyjnych lub materiałów ćwiczeniowych</t>
  </si>
  <si>
    <t>2830</t>
  </si>
  <si>
    <t>Dotacja celowa z budżetu na finansowanie lub dofinansowanie zadań zleconych do realizacji pozostałym jednostkom nie zaliczanym do sektora finansów publicznych</t>
  </si>
  <si>
    <t>4240</t>
  </si>
  <si>
    <t>Zakup środków dydaktycznych i książek</t>
  </si>
  <si>
    <t>Dotacja na sfinansowanie wymaganego wkładu własnego dla placówki prowadzącej  Warsztaty Terapii Zajęciowej  przez  Polskie Stowarzyszenie na Rzecz Osób  z Niepełnosprawnością Intelektualną   w Otwocku,                                                         ul. Moniuszki 41 na zakup autobusu przystosowanego do przewozu osób niepełnosprawnych</t>
  </si>
  <si>
    <t>Wykonanie nakładki asfaltobetonowej w drodze powiatowej Nr 2719W w miejscowości Lasek, gmina Celestynów</t>
  </si>
  <si>
    <t>F. 0</t>
  </si>
  <si>
    <t>F.0</t>
  </si>
  <si>
    <t>Przyjazna przestrzeń w Domu Pomocy Społecznej „Anielin” – dostępność architektoniczna (dostosowanie łazienek do potrzeb osób niepełnosprawnych)</t>
  </si>
  <si>
    <t>Przyjazna przestrzeń w Domu Pomocy Społecznej „Anielin” – dostępność informacyjno-komunikacyjna (zakup planu tyflograficznego)</t>
  </si>
  <si>
    <t>36.</t>
  </si>
  <si>
    <t>37.</t>
  </si>
  <si>
    <t>Dostępny PCPR – dostępność architektoniczna (wykonanie podjazdu dla osób niepełnosprawnych)</t>
  </si>
  <si>
    <t xml:space="preserve">Dostępny PCPR – dostępność informacyjno-komunikacyjna (zakup planu tyflograficznego). </t>
  </si>
  <si>
    <t>Razem Rozdział 85218</t>
  </si>
  <si>
    <t>Plan dochodów rachunku dochodów jednostek oświatowych                                                                        oraz wydatków nimi finansowanych w 2023 roku - po zmianach</t>
  </si>
  <si>
    <t xml:space="preserve">     Jednostka organizacyjna</t>
  </si>
  <si>
    <t>Wydatki razem, w tym</t>
  </si>
  <si>
    <t>Bieżące</t>
  </si>
  <si>
    <t>majątkowe</t>
  </si>
  <si>
    <t>Zespół Szkół Nr 1                                                                            ul. Słowackiego 4/10, 05-400 Otwock</t>
  </si>
  <si>
    <t>Liceum Ogólnokształcące Nr I                                                  ul. Gen. J. Filipowicza 9, 05-400 Otwock</t>
  </si>
  <si>
    <t>Zespół Szkół Nr 2                                                                                    ul. Pułaskiego 7, 05-400 Otwock</t>
  </si>
  <si>
    <t>Zespół Szkół Ekonomiczno-Gastronomicznych                                 ul. Konopnickiej 3, 05-400 Otwock</t>
  </si>
  <si>
    <t>Specjalny Ośrodek Szkolno-Wychowawczy Nr 1                  ul. Majowa 17/19, 05-402 Otwock</t>
  </si>
  <si>
    <t xml:space="preserve"> Specjalny Ośrodek Szkolno-Wychowawczy Nr 2                                                                                                                        ul. Literacka 8, 05-400 Otwock</t>
  </si>
  <si>
    <t>Powiatowy Młodzieżowy Dom Kultury                                               ul. Poniatowskiego 10, 05-400 Otwock</t>
  </si>
  <si>
    <t>Młodzieżowy Ośrodek Socjoterapii "Jędruś"                         ul. Główna 10, 05-410 Józefów</t>
  </si>
  <si>
    <t>38.</t>
  </si>
  <si>
    <t>39.</t>
  </si>
  <si>
    <t>Dochody i wydatki związane z realizacją zadań wykonywanych na mocy porozumień                                                 z organami administracji rządowej na 2023 rok - po zmianach</t>
  </si>
  <si>
    <t>Dotacje celowe otrzymane z budżetu państwa na zadania bieżące realizowane przez powiat na podstawie porozumień z organami administracji rządowej</t>
  </si>
  <si>
    <t>Kwalifikacja wojskowa</t>
  </si>
  <si>
    <t>Oswiata i wychowanie</t>
  </si>
  <si>
    <t>Razem rozdział 75020</t>
  </si>
  <si>
    <t>40.</t>
  </si>
  <si>
    <t>Zakup i dostawa kontenera biurowego  wraz montażem     na potrzeby  archiwum zakładowego Starostwa Powiatowego w Otwocku przy                       ul. Komunardów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</si>
</sst>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_ ;\-#,##0\ "/>
    <numFmt numFmtId="165" formatCode="_-* #,##0.00\ _z_ł_-;\-* #,##0.00\ _z_ł_-;_-* &quot;-&quot;??\ _z_ł_-;_-@_-"/>
    <numFmt numFmtId="166" formatCode="\ #,##0.00&quot; zł &quot;;\-#,##0.00&quot; zł &quot;;&quot; -&quot;#&quot; zł &quot;;@\ "/>
  </numFmts>
  <fonts count="62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rgb="FF222222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Calibri"/>
      <family val="2"/>
      <charset val="238"/>
    </font>
    <font>
      <sz val="8"/>
      <color rgb="FF000000"/>
      <name val="Tahoma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10"/>
      <color rgb="FF222222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9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FF"/>
      </patternFill>
    </fill>
    <fill>
      <patternFill patternType="solid">
        <fgColor rgb="FFFFFFCC"/>
        <bgColor indexed="3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33">
    <xf numFmtId="0" fontId="0" fillId="0" borderId="0" applyNumberFormat="0" applyFill="0" applyBorder="0" applyAlignment="0" applyProtection="0">
      <alignment vertical="top"/>
    </xf>
    <xf numFmtId="0" fontId="10" fillId="0" borderId="0"/>
    <xf numFmtId="0" fontId="13" fillId="0" borderId="0"/>
    <xf numFmtId="0" fontId="9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4" fillId="0" borderId="0"/>
    <xf numFmtId="164" fontId="17" fillId="0" borderId="0"/>
    <xf numFmtId="0" fontId="10" fillId="0" borderId="0"/>
    <xf numFmtId="0" fontId="13" fillId="0" borderId="0"/>
    <xf numFmtId="0" fontId="13" fillId="0" borderId="0"/>
    <xf numFmtId="44" fontId="14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/>
    <xf numFmtId="0" fontId="7" fillId="0" borderId="0"/>
    <xf numFmtId="0" fontId="25" fillId="0" borderId="0"/>
    <xf numFmtId="0" fontId="27" fillId="0" borderId="0"/>
    <xf numFmtId="0" fontId="28" fillId="0" borderId="0"/>
    <xf numFmtId="0" fontId="6" fillId="0" borderId="0"/>
    <xf numFmtId="0" fontId="25" fillId="0" borderId="0"/>
    <xf numFmtId="0" fontId="29" fillId="0" borderId="0"/>
    <xf numFmtId="0" fontId="5" fillId="0" borderId="0"/>
    <xf numFmtId="0" fontId="25" fillId="0" borderId="0"/>
    <xf numFmtId="0" fontId="4" fillId="0" borderId="0"/>
    <xf numFmtId="0" fontId="32" fillId="0" borderId="0"/>
    <xf numFmtId="0" fontId="3" fillId="0" borderId="0"/>
    <xf numFmtId="0" fontId="39" fillId="0" borderId="0"/>
    <xf numFmtId="0" fontId="2" fillId="0" borderId="0"/>
    <xf numFmtId="0" fontId="1" fillId="0" borderId="0"/>
  </cellStyleXfs>
  <cellXfs count="563">
    <xf numFmtId="0" fontId="0" fillId="0" borderId="0" xfId="0" applyAlignment="1"/>
    <xf numFmtId="0" fontId="18" fillId="0" borderId="0" xfId="9" applyFont="1" applyAlignment="1">
      <alignment vertical="center"/>
    </xf>
    <xf numFmtId="0" fontId="14" fillId="0" borderId="0" xfId="9" applyFont="1" applyAlignment="1">
      <alignment vertical="center"/>
    </xf>
    <xf numFmtId="0" fontId="14" fillId="0" borderId="0" xfId="9" applyFont="1" applyAlignment="1">
      <alignment horizontal="right" vertical="top"/>
    </xf>
    <xf numFmtId="0" fontId="16" fillId="3" borderId="5" xfId="9" applyFont="1" applyFill="1" applyBorder="1" applyAlignment="1">
      <alignment horizontal="center" vertical="center"/>
    </xf>
    <xf numFmtId="0" fontId="16" fillId="3" borderId="1" xfId="9" applyFont="1" applyFill="1" applyBorder="1" applyAlignment="1">
      <alignment horizontal="center" vertical="center" wrapText="1"/>
    </xf>
    <xf numFmtId="0" fontId="16" fillId="0" borderId="5" xfId="9" applyFont="1" applyBorder="1" applyAlignment="1">
      <alignment horizontal="center" vertical="center"/>
    </xf>
    <xf numFmtId="0" fontId="16" fillId="0" borderId="5" xfId="9" applyFont="1" applyBorder="1" applyAlignment="1">
      <alignment horizontal="left" vertical="center"/>
    </xf>
    <xf numFmtId="0" fontId="16" fillId="0" borderId="0" xfId="9" applyFont="1" applyAlignment="1">
      <alignment vertical="center"/>
    </xf>
    <xf numFmtId="0" fontId="19" fillId="0" borderId="5" xfId="9" applyFont="1" applyBorder="1" applyAlignment="1">
      <alignment horizontal="center" vertical="center"/>
    </xf>
    <xf numFmtId="0" fontId="19" fillId="0" borderId="5" xfId="9" applyFont="1" applyBorder="1" applyAlignment="1">
      <alignment horizontal="left" vertical="center"/>
    </xf>
    <xf numFmtId="0" fontId="19" fillId="0" borderId="0" xfId="9" applyFont="1" applyAlignment="1">
      <alignment vertical="center"/>
    </xf>
    <xf numFmtId="0" fontId="16" fillId="0" borderId="5" xfId="9" applyFont="1" applyBorder="1" applyAlignment="1">
      <alignment vertical="center"/>
    </xf>
    <xf numFmtId="0" fontId="14" fillId="3" borderId="5" xfId="9" applyFont="1" applyFill="1" applyBorder="1" applyAlignment="1">
      <alignment vertical="center"/>
    </xf>
    <xf numFmtId="3" fontId="16" fillId="3" borderId="5" xfId="9" applyNumberFormat="1" applyFont="1" applyFill="1" applyBorder="1"/>
    <xf numFmtId="0" fontId="14" fillId="0" borderId="5" xfId="9" applyFont="1" applyBorder="1" applyAlignment="1">
      <alignment horizontal="center" vertical="center"/>
    </xf>
    <xf numFmtId="0" fontId="14" fillId="0" borderId="1" xfId="9" applyFont="1" applyBorder="1" applyAlignment="1">
      <alignment vertical="center"/>
    </xf>
    <xf numFmtId="3" fontId="14" fillId="0" borderId="5" xfId="9" applyNumberFormat="1" applyFont="1" applyBorder="1"/>
    <xf numFmtId="0" fontId="14" fillId="0" borderId="5" xfId="9" applyFont="1" applyBorder="1" applyAlignment="1">
      <alignment vertical="center"/>
    </xf>
    <xf numFmtId="0" fontId="14" fillId="3" borderId="5" xfId="9" applyFont="1" applyFill="1" applyBorder="1" applyAlignment="1">
      <alignment horizontal="center" vertical="center"/>
    </xf>
    <xf numFmtId="0" fontId="14" fillId="0" borderId="0" xfId="9" applyFont="1" applyAlignment="1">
      <alignment horizontal="center" vertical="center"/>
    </xf>
    <xf numFmtId="3" fontId="14" fillId="0" borderId="0" xfId="9" applyNumberFormat="1" applyFont="1"/>
    <xf numFmtId="0" fontId="20" fillId="0" borderId="0" xfId="9" applyFont="1" applyAlignment="1">
      <alignment vertical="center"/>
    </xf>
    <xf numFmtId="0" fontId="20" fillId="0" borderId="5" xfId="9" applyFont="1" applyBorder="1" applyAlignment="1">
      <alignment horizontal="center" vertical="center"/>
    </xf>
    <xf numFmtId="0" fontId="20" fillId="0" borderId="5" xfId="9" applyFont="1" applyBorder="1" applyAlignment="1">
      <alignment horizontal="center" vertical="center" wrapText="1"/>
    </xf>
    <xf numFmtId="0" fontId="14" fillId="0" borderId="7" xfId="9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49" fontId="14" fillId="4" borderId="8" xfId="0" applyNumberFormat="1" applyFont="1" applyFill="1" applyBorder="1" applyAlignment="1" applyProtection="1">
      <alignment horizontal="left" vertical="center" wrapText="1"/>
      <protection locked="0"/>
    </xf>
    <xf numFmtId="3" fontId="14" fillId="0" borderId="0" xfId="9" applyNumberFormat="1" applyFont="1" applyAlignment="1">
      <alignment vertical="center"/>
    </xf>
    <xf numFmtId="0" fontId="14" fillId="0" borderId="9" xfId="9" applyFont="1" applyBorder="1" applyAlignment="1">
      <alignment horizontal="center" vertical="center"/>
    </xf>
    <xf numFmtId="0" fontId="19" fillId="0" borderId="9" xfId="9" applyFont="1" applyBorder="1" applyAlignment="1">
      <alignment horizontal="center" vertical="center"/>
    </xf>
    <xf numFmtId="0" fontId="19" fillId="0" borderId="4" xfId="9" applyFont="1" applyBorder="1" applyAlignment="1">
      <alignment vertical="center"/>
    </xf>
    <xf numFmtId="0" fontId="26" fillId="0" borderId="5" xfId="0" applyFont="1" applyBorder="1" applyAlignment="1">
      <alignment horizontal="left" vertical="center" wrapText="1" readingOrder="1"/>
    </xf>
    <xf numFmtId="49" fontId="30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9" applyFont="1" applyBorder="1" applyAlignment="1">
      <alignment horizontal="center" vertical="center"/>
    </xf>
    <xf numFmtId="0" fontId="14" fillId="0" borderId="4" xfId="9" applyFont="1" applyBorder="1" applyAlignment="1">
      <alignment vertical="center"/>
    </xf>
    <xf numFmtId="0" fontId="26" fillId="0" borderId="4" xfId="0" applyFont="1" applyBorder="1" applyAlignment="1">
      <alignment vertical="center" wrapText="1" readingOrder="1"/>
    </xf>
    <xf numFmtId="0" fontId="26" fillId="0" borderId="10" xfId="0" applyFont="1" applyBorder="1" applyAlignment="1">
      <alignment vertical="center" wrapText="1" readingOrder="1"/>
    </xf>
    <xf numFmtId="3" fontId="19" fillId="0" borderId="0" xfId="9" applyNumberFormat="1" applyFont="1" applyAlignment="1">
      <alignment vertical="center"/>
    </xf>
    <xf numFmtId="0" fontId="11" fillId="0" borderId="0" xfId="7" applyFont="1" applyAlignment="1">
      <alignment horizontal="center" vertical="center"/>
    </xf>
    <xf numFmtId="0" fontId="11" fillId="0" borderId="0" xfId="7" applyFont="1"/>
    <xf numFmtId="0" fontId="15" fillId="0" borderId="0" xfId="7" applyFont="1" applyAlignment="1">
      <alignment vertical="center" wrapText="1"/>
    </xf>
    <xf numFmtId="0" fontId="18" fillId="0" borderId="0" xfId="7" applyFont="1"/>
    <xf numFmtId="0" fontId="12" fillId="2" borderId="10" xfId="7" applyFont="1" applyFill="1" applyBorder="1" applyAlignment="1">
      <alignment horizontal="center" vertical="center"/>
    </xf>
    <xf numFmtId="0" fontId="36" fillId="5" borderId="10" xfId="7" applyFont="1" applyFill="1" applyBorder="1" applyAlignment="1">
      <alignment horizontal="center" vertical="center"/>
    </xf>
    <xf numFmtId="0" fontId="36" fillId="0" borderId="0" xfId="7" applyFont="1"/>
    <xf numFmtId="0" fontId="12" fillId="6" borderId="10" xfId="7" applyFont="1" applyFill="1" applyBorder="1" applyAlignment="1">
      <alignment horizontal="center" vertical="center"/>
    </xf>
    <xf numFmtId="0" fontId="11" fillId="6" borderId="10" xfId="7" applyFont="1" applyFill="1" applyBorder="1" applyAlignment="1">
      <alignment horizontal="center" vertical="center"/>
    </xf>
    <xf numFmtId="0" fontId="11" fillId="0" borderId="0" xfId="7" applyFont="1" applyAlignment="1">
      <alignment vertical="center"/>
    </xf>
    <xf numFmtId="0" fontId="11" fillId="0" borderId="10" xfId="7" applyFont="1" applyBorder="1" applyAlignment="1">
      <alignment horizontal="center" vertical="center"/>
    </xf>
    <xf numFmtId="0" fontId="11" fillId="0" borderId="0" xfId="7" applyFont="1" applyAlignment="1">
      <alignment vertical="center" wrapText="1"/>
    </xf>
    <xf numFmtId="0" fontId="12" fillId="0" borderId="0" xfId="7" applyFont="1" applyAlignment="1">
      <alignment vertical="center"/>
    </xf>
    <xf numFmtId="3" fontId="12" fillId="0" borderId="0" xfId="7" applyNumberFormat="1" applyFont="1" applyAlignment="1">
      <alignment vertical="center"/>
    </xf>
    <xf numFmtId="0" fontId="12" fillId="0" borderId="0" xfId="7" applyFont="1" applyAlignment="1">
      <alignment horizontal="center" vertical="center"/>
    </xf>
    <xf numFmtId="0" fontId="37" fillId="0" borderId="0" xfId="7" applyFont="1"/>
    <xf numFmtId="49" fontId="35" fillId="0" borderId="0" xfId="10" applyNumberFormat="1" applyFont="1" applyAlignment="1">
      <alignment horizontal="center" vertical="center"/>
    </xf>
    <xf numFmtId="0" fontId="35" fillId="0" borderId="0" xfId="10" applyFont="1" applyAlignment="1">
      <alignment horizontal="center" vertical="center"/>
    </xf>
    <xf numFmtId="0" fontId="35" fillId="0" borderId="0" xfId="10" applyFont="1" applyAlignment="1">
      <alignment vertical="center" wrapText="1"/>
    </xf>
    <xf numFmtId="3" fontId="35" fillId="0" borderId="0" xfId="10" applyNumberFormat="1" applyFont="1" applyAlignment="1">
      <alignment vertical="center"/>
    </xf>
    <xf numFmtId="0" fontId="35" fillId="0" borderId="0" xfId="10" applyFont="1"/>
    <xf numFmtId="0" fontId="35" fillId="0" borderId="0" xfId="11" applyFont="1" applyAlignment="1">
      <alignment horizontal="center" vertical="center"/>
    </xf>
    <xf numFmtId="0" fontId="35" fillId="0" borderId="0" xfId="11" applyFont="1" applyAlignment="1">
      <alignment vertical="center" wrapText="1"/>
    </xf>
    <xf numFmtId="3" fontId="35" fillId="0" borderId="0" xfId="11" applyNumberFormat="1" applyFont="1" applyAlignment="1">
      <alignment vertical="center"/>
    </xf>
    <xf numFmtId="0" fontId="35" fillId="0" borderId="0" xfId="11" applyFont="1"/>
    <xf numFmtId="0" fontId="34" fillId="0" borderId="0" xfId="11" applyFont="1" applyAlignment="1">
      <alignment horizontal="center" vertical="center" wrapText="1"/>
    </xf>
    <xf numFmtId="0" fontId="38" fillId="10" borderId="5" xfId="11" applyFont="1" applyFill="1" applyBorder="1" applyAlignment="1">
      <alignment horizontal="center" vertical="center"/>
    </xf>
    <xf numFmtId="0" fontId="38" fillId="10" borderId="5" xfId="11" applyFont="1" applyFill="1" applyBorder="1" applyAlignment="1">
      <alignment horizontal="center" vertical="center" wrapText="1"/>
    </xf>
    <xf numFmtId="3" fontId="38" fillId="10" borderId="5" xfId="11" applyNumberFormat="1" applyFont="1" applyFill="1" applyBorder="1" applyAlignment="1">
      <alignment horizontal="center" vertical="center"/>
    </xf>
    <xf numFmtId="0" fontId="38" fillId="0" borderId="0" xfId="11" applyFont="1" applyAlignment="1">
      <alignment vertical="center"/>
    </xf>
    <xf numFmtId="0" fontId="38" fillId="11" borderId="5" xfId="11" applyFont="1" applyFill="1" applyBorder="1" applyAlignment="1">
      <alignment horizontal="center" vertical="center"/>
    </xf>
    <xf numFmtId="0" fontId="38" fillId="11" borderId="5" xfId="11" applyFont="1" applyFill="1" applyBorder="1" applyAlignment="1">
      <alignment vertical="center" wrapText="1"/>
    </xf>
    <xf numFmtId="3" fontId="12" fillId="11" borderId="5" xfId="11" applyNumberFormat="1" applyFont="1" applyFill="1" applyBorder="1" applyAlignment="1">
      <alignment vertical="center"/>
    </xf>
    <xf numFmtId="0" fontId="35" fillId="9" borderId="5" xfId="11" applyFont="1" applyFill="1" applyBorder="1" applyAlignment="1">
      <alignment horizontal="center" vertical="center"/>
    </xf>
    <xf numFmtId="0" fontId="35" fillId="9" borderId="5" xfId="11" applyFont="1" applyFill="1" applyBorder="1" applyAlignment="1">
      <alignment vertical="center" wrapText="1"/>
    </xf>
    <xf numFmtId="3" fontId="11" fillId="9" borderId="5" xfId="11" applyNumberFormat="1" applyFont="1" applyFill="1" applyBorder="1" applyAlignment="1">
      <alignment vertical="center"/>
    </xf>
    <xf numFmtId="0" fontId="35" fillId="0" borderId="0" xfId="11" applyFont="1" applyAlignment="1">
      <alignment vertical="center"/>
    </xf>
    <xf numFmtId="0" fontId="11" fillId="0" borderId="5" xfId="11" applyFont="1" applyBorder="1" applyAlignment="1">
      <alignment horizontal="center" vertical="center"/>
    </xf>
    <xf numFmtId="0" fontId="11" fillId="0" borderId="5" xfId="11" applyFont="1" applyBorder="1" applyAlignment="1">
      <alignment vertical="center" wrapText="1"/>
    </xf>
    <xf numFmtId="3" fontId="23" fillId="0" borderId="5" xfId="11" applyNumberFormat="1" applyFont="1" applyBorder="1" applyAlignment="1">
      <alignment vertical="center"/>
    </xf>
    <xf numFmtId="3" fontId="11" fillId="0" borderId="5" xfId="11" applyNumberFormat="1" applyFont="1" applyBorder="1" applyAlignment="1">
      <alignment vertical="center"/>
    </xf>
    <xf numFmtId="0" fontId="11" fillId="0" borderId="0" xfId="11" applyFont="1" applyAlignment="1">
      <alignment vertical="center"/>
    </xf>
    <xf numFmtId="0" fontId="35" fillId="0" borderId="5" xfId="11" applyFont="1" applyBorder="1" applyAlignment="1">
      <alignment horizontal="center" vertical="center"/>
    </xf>
    <xf numFmtId="0" fontId="38" fillId="8" borderId="5" xfId="11" applyFont="1" applyFill="1" applyBorder="1" applyAlignment="1">
      <alignment horizontal="center" vertical="center"/>
    </xf>
    <xf numFmtId="0" fontId="38" fillId="8" borderId="5" xfId="11" applyFont="1" applyFill="1" applyBorder="1" applyAlignment="1">
      <alignment vertical="center" wrapText="1"/>
    </xf>
    <xf numFmtId="3" fontId="12" fillId="8" borderId="5" xfId="11" applyNumberFormat="1" applyFont="1" applyFill="1" applyBorder="1" applyAlignment="1">
      <alignment vertical="center"/>
    </xf>
    <xf numFmtId="0" fontId="11" fillId="9" borderId="5" xfId="11" applyFont="1" applyFill="1" applyBorder="1" applyAlignment="1">
      <alignment horizontal="center" vertical="center"/>
    </xf>
    <xf numFmtId="3" fontId="12" fillId="10" borderId="5" xfId="11" applyNumberFormat="1" applyFont="1" applyFill="1" applyBorder="1" applyAlignment="1">
      <alignment vertical="center"/>
    </xf>
    <xf numFmtId="3" fontId="12" fillId="9" borderId="5" xfId="11" applyNumberFormat="1" applyFont="1" applyFill="1" applyBorder="1" applyAlignment="1">
      <alignment vertical="center"/>
    </xf>
    <xf numFmtId="4" fontId="19" fillId="0" borderId="5" xfId="9" applyNumberFormat="1" applyFont="1" applyBorder="1" applyAlignment="1">
      <alignment horizontal="right"/>
    </xf>
    <xf numFmtId="4" fontId="16" fillId="0" borderId="5" xfId="9" applyNumberFormat="1" applyFont="1" applyBorder="1" applyAlignment="1">
      <alignment horizontal="right"/>
    </xf>
    <xf numFmtId="4" fontId="16" fillId="0" borderId="5" xfId="9" applyNumberFormat="1" applyFont="1" applyBorder="1"/>
    <xf numFmtId="4" fontId="19" fillId="0" borderId="5" xfId="9" applyNumberFormat="1" applyFont="1" applyBorder="1"/>
    <xf numFmtId="0" fontId="45" fillId="0" borderId="0" xfId="11" applyFont="1" applyAlignment="1">
      <alignment vertical="center"/>
    </xf>
    <xf numFmtId="0" fontId="11" fillId="0" borderId="10" xfId="7" applyFont="1" applyBorder="1" applyAlignment="1">
      <alignment vertical="center" wrapText="1"/>
    </xf>
    <xf numFmtId="0" fontId="41" fillId="12" borderId="0" xfId="26" applyFont="1" applyFill="1" applyAlignment="1">
      <alignment horizontal="left" vertical="top" wrapText="1"/>
    </xf>
    <xf numFmtId="0" fontId="40" fillId="12" borderId="12" xfId="26" applyFont="1" applyFill="1" applyBorder="1" applyAlignment="1">
      <alignment horizontal="center" vertical="center" wrapText="1"/>
    </xf>
    <xf numFmtId="0" fontId="40" fillId="12" borderId="12" xfId="26" applyFont="1" applyFill="1" applyBorder="1" applyAlignment="1">
      <alignment horizontal="left" vertical="center" wrapText="1"/>
    </xf>
    <xf numFmtId="39" fontId="40" fillId="12" borderId="12" xfId="26" applyNumberFormat="1" applyFont="1" applyFill="1" applyBorder="1" applyAlignment="1">
      <alignment horizontal="right" vertical="center" wrapText="1"/>
    </xf>
    <xf numFmtId="49" fontId="38" fillId="8" borderId="10" xfId="10" applyNumberFormat="1" applyFont="1" applyFill="1" applyBorder="1" applyAlignment="1">
      <alignment horizontal="center" vertical="center"/>
    </xf>
    <xf numFmtId="0" fontId="38" fillId="8" borderId="10" xfId="10" applyFont="1" applyFill="1" applyBorder="1" applyAlignment="1">
      <alignment horizontal="center" vertical="center"/>
    </xf>
    <xf numFmtId="0" fontId="38" fillId="8" borderId="10" xfId="10" applyFont="1" applyFill="1" applyBorder="1" applyAlignment="1">
      <alignment horizontal="center" vertical="center" wrapText="1"/>
    </xf>
    <xf numFmtId="3" fontId="38" fillId="8" borderId="10" xfId="10" applyNumberFormat="1" applyFont="1" applyFill="1" applyBorder="1" applyAlignment="1">
      <alignment horizontal="center" vertical="center"/>
    </xf>
    <xf numFmtId="0" fontId="43" fillId="0" borderId="0" xfId="11" applyFont="1" applyAlignment="1">
      <alignment vertical="center"/>
    </xf>
    <xf numFmtId="3" fontId="45" fillId="0" borderId="10" xfId="11" applyNumberFormat="1" applyFont="1" applyBorder="1" applyAlignment="1">
      <alignment vertical="center"/>
    </xf>
    <xf numFmtId="49" fontId="38" fillId="0" borderId="0" xfId="10" applyNumberFormat="1" applyFont="1" applyAlignment="1">
      <alignment horizontal="center" vertical="center" wrapText="1"/>
    </xf>
    <xf numFmtId="0" fontId="16" fillId="0" borderId="0" xfId="7" applyFont="1" applyProtection="1">
      <protection locked="0"/>
    </xf>
    <xf numFmtId="0" fontId="14" fillId="0" borderId="0" xfId="7" applyProtection="1">
      <protection locked="0"/>
    </xf>
    <xf numFmtId="0" fontId="11" fillId="0" borderId="0" xfId="7" applyFont="1" applyAlignment="1" applyProtection="1">
      <alignment horizontal="center" vertical="center"/>
      <protection locked="0"/>
    </xf>
    <xf numFmtId="0" fontId="46" fillId="0" borderId="0" xfId="7" applyFont="1" applyAlignment="1" applyProtection="1">
      <alignment horizontal="center" vertical="center"/>
      <protection locked="0"/>
    </xf>
    <xf numFmtId="0" fontId="14" fillId="0" borderId="0" xfId="7" applyAlignment="1" applyProtection="1">
      <alignment horizontal="center"/>
      <protection locked="0"/>
    </xf>
    <xf numFmtId="0" fontId="16" fillId="0" borderId="0" xfId="7" applyFont="1"/>
    <xf numFmtId="0" fontId="14" fillId="0" borderId="0" xfId="7"/>
    <xf numFmtId="0" fontId="16" fillId="13" borderId="23" xfId="7" applyFont="1" applyFill="1" applyBorder="1" applyAlignment="1">
      <alignment horizontal="center" vertical="center" wrapText="1"/>
    </xf>
    <xf numFmtId="0" fontId="47" fillId="0" borderId="26" xfId="7" applyFont="1" applyBorder="1" applyAlignment="1">
      <alignment horizontal="center" vertical="center"/>
    </xf>
    <xf numFmtId="0" fontId="47" fillId="0" borderId="23" xfId="7" applyFont="1" applyBorder="1" applyAlignment="1">
      <alignment horizontal="center" vertical="center"/>
    </xf>
    <xf numFmtId="0" fontId="16" fillId="0" borderId="23" xfId="7" applyFont="1" applyBorder="1" applyAlignment="1">
      <alignment horizontal="center" vertical="center"/>
    </xf>
    <xf numFmtId="0" fontId="12" fillId="0" borderId="24" xfId="7" applyFont="1" applyBorder="1" applyAlignment="1">
      <alignment horizontal="center" vertical="center"/>
    </xf>
    <xf numFmtId="0" fontId="47" fillId="0" borderId="0" xfId="7" applyFont="1" applyAlignment="1" applyProtection="1">
      <alignment horizontal="center"/>
      <protection locked="0"/>
    </xf>
    <xf numFmtId="0" fontId="47" fillId="0" borderId="0" xfId="7" applyFont="1" applyProtection="1">
      <protection locked="0"/>
    </xf>
    <xf numFmtId="0" fontId="12" fillId="14" borderId="27" xfId="7" applyFont="1" applyFill="1" applyBorder="1" applyAlignment="1">
      <alignment horizontal="center" vertical="center" wrapText="1"/>
    </xf>
    <xf numFmtId="0" fontId="48" fillId="14" borderId="28" xfId="7" applyFont="1" applyFill="1" applyBorder="1" applyAlignment="1" applyProtection="1">
      <alignment horizontal="center" vertical="center" wrapText="1"/>
      <protection locked="0"/>
    </xf>
    <xf numFmtId="0" fontId="14" fillId="0" borderId="0" xfId="7" applyAlignment="1" applyProtection="1">
      <alignment horizontal="center" vertical="center"/>
      <protection locked="0"/>
    </xf>
    <xf numFmtId="0" fontId="14" fillId="0" borderId="0" xfId="7" applyAlignment="1" applyProtection="1">
      <alignment vertical="center"/>
      <protection locked="0"/>
    </xf>
    <xf numFmtId="0" fontId="16" fillId="0" borderId="29" xfId="7" applyFont="1" applyBorder="1" applyAlignment="1">
      <alignment horizontal="center" vertical="center"/>
    </xf>
    <xf numFmtId="0" fontId="16" fillId="0" borderId="30" xfId="7" applyFont="1" applyBorder="1" applyAlignment="1">
      <alignment horizontal="center" vertical="center" wrapText="1"/>
    </xf>
    <xf numFmtId="0" fontId="14" fillId="0" borderId="29" xfId="16" applyFont="1" applyFill="1" applyBorder="1" applyAlignment="1" applyProtection="1">
      <alignment vertical="center" wrapText="1"/>
    </xf>
    <xf numFmtId="0" fontId="11" fillId="0" borderId="27" xfId="7" applyFont="1" applyBorder="1" applyAlignment="1">
      <alignment horizontal="center" vertical="center" wrapText="1"/>
    </xf>
    <xf numFmtId="0" fontId="46" fillId="15" borderId="28" xfId="7" applyFont="1" applyFill="1" applyBorder="1" applyAlignment="1" applyProtection="1">
      <alignment horizontal="center" vertical="center" wrapText="1"/>
      <protection locked="0"/>
    </xf>
    <xf numFmtId="0" fontId="16" fillId="0" borderId="22" xfId="7" applyFont="1" applyBorder="1" applyAlignment="1">
      <alignment horizontal="center" vertical="center" wrapText="1"/>
    </xf>
    <xf numFmtId="0" fontId="14" fillId="0" borderId="22" xfId="7" applyBorder="1" applyAlignment="1">
      <alignment horizontal="left" vertical="center" wrapText="1"/>
    </xf>
    <xf numFmtId="0" fontId="33" fillId="0" borderId="27" xfId="7" applyFont="1" applyBorder="1" applyAlignment="1">
      <alignment horizontal="center" vertical="center" wrapText="1"/>
    </xf>
    <xf numFmtId="0" fontId="51" fillId="0" borderId="0" xfId="7" applyFont="1" applyAlignment="1" applyProtection="1">
      <alignment horizontal="center" vertical="center"/>
      <protection locked="0"/>
    </xf>
    <xf numFmtId="0" fontId="51" fillId="0" borderId="0" xfId="7" applyFont="1" applyAlignment="1" applyProtection="1">
      <alignment vertical="center"/>
      <protection locked="0"/>
    </xf>
    <xf numFmtId="0" fontId="33" fillId="14" borderId="27" xfId="7" applyFont="1" applyFill="1" applyBorder="1" applyAlignment="1">
      <alignment horizontal="center" vertical="center" wrapText="1"/>
    </xf>
    <xf numFmtId="0" fontId="52" fillId="14" borderId="28" xfId="7" applyFont="1" applyFill="1" applyBorder="1" applyAlignment="1" applyProtection="1">
      <alignment horizontal="center" vertical="center" wrapText="1"/>
      <protection locked="0"/>
    </xf>
    <xf numFmtId="0" fontId="16" fillId="0" borderId="0" xfId="7" applyFont="1" applyAlignment="1" applyProtection="1">
      <alignment horizontal="center" vertical="center"/>
      <protection locked="0"/>
    </xf>
    <xf numFmtId="0" fontId="50" fillId="0" borderId="0" xfId="7" applyFont="1" applyAlignment="1" applyProtection="1">
      <alignment horizontal="center" vertical="center"/>
      <protection locked="0"/>
    </xf>
    <xf numFmtId="0" fontId="50" fillId="0" borderId="0" xfId="7" applyFont="1" applyAlignment="1" applyProtection="1">
      <alignment vertical="center"/>
      <protection locked="0"/>
    </xf>
    <xf numFmtId="3" fontId="52" fillId="0" borderId="0" xfId="7" applyNumberFormat="1" applyFont="1" applyAlignment="1" applyProtection="1">
      <alignment horizontal="center" vertical="center"/>
      <protection locked="0"/>
    </xf>
    <xf numFmtId="165" fontId="46" fillId="0" borderId="0" xfId="7" applyNumberFormat="1" applyFont="1" applyAlignment="1" applyProtection="1">
      <alignment horizontal="center" vertical="center"/>
      <protection locked="0"/>
    </xf>
    <xf numFmtId="0" fontId="52" fillId="0" borderId="0" xfId="7" applyFont="1" applyAlignment="1" applyProtection="1">
      <alignment vertical="center"/>
      <protection locked="0"/>
    </xf>
    <xf numFmtId="0" fontId="16" fillId="0" borderId="21" xfId="7" applyFont="1" applyBorder="1" applyAlignment="1">
      <alignment horizontal="center" vertical="center"/>
    </xf>
    <xf numFmtId="0" fontId="53" fillId="0" borderId="22" xfId="16" applyFont="1" applyFill="1" applyBorder="1" applyAlignment="1">
      <alignment horizontal="left" vertical="center" wrapText="1"/>
    </xf>
    <xf numFmtId="0" fontId="54" fillId="14" borderId="24" xfId="7" applyFont="1" applyFill="1" applyBorder="1" applyAlignment="1">
      <alignment horizontal="center" vertical="center" wrapText="1"/>
    </xf>
    <xf numFmtId="0" fontId="35" fillId="0" borderId="27" xfId="7" applyFont="1" applyBorder="1" applyAlignment="1">
      <alignment horizontal="center" vertical="center" wrapText="1"/>
    </xf>
    <xf numFmtId="0" fontId="49" fillId="0" borderId="0" xfId="7" applyFont="1" applyAlignment="1" applyProtection="1">
      <alignment horizontal="center" vertical="center"/>
      <protection locked="0"/>
    </xf>
    <xf numFmtId="0" fontId="49" fillId="0" borderId="0" xfId="7" applyFont="1" applyAlignment="1" applyProtection="1">
      <alignment vertical="center"/>
      <protection locked="0"/>
    </xf>
    <xf numFmtId="0" fontId="16" fillId="0" borderId="22" xfId="7" applyFont="1" applyBorder="1" applyAlignment="1">
      <alignment horizontal="center" vertical="center"/>
    </xf>
    <xf numFmtId="0" fontId="52" fillId="0" borderId="0" xfId="7" applyFont="1" applyAlignment="1" applyProtection="1">
      <alignment horizontal="center" vertical="center"/>
      <protection locked="0"/>
    </xf>
    <xf numFmtId="0" fontId="23" fillId="14" borderId="27" xfId="7" applyFont="1" applyFill="1" applyBorder="1" applyAlignment="1">
      <alignment horizontal="center" vertical="center" wrapText="1"/>
    </xf>
    <xf numFmtId="0" fontId="46" fillId="14" borderId="28" xfId="7" applyFont="1" applyFill="1" applyBorder="1" applyAlignment="1" applyProtection="1">
      <alignment horizontal="center" vertical="center" wrapText="1"/>
      <protection locked="0"/>
    </xf>
    <xf numFmtId="0" fontId="14" fillId="0" borderId="30" xfId="7" applyBorder="1" applyAlignment="1" applyProtection="1">
      <alignment horizontal="left" vertical="center" wrapText="1"/>
      <protection locked="0"/>
    </xf>
    <xf numFmtId="2" fontId="14" fillId="0" borderId="22" xfId="16" applyNumberFormat="1" applyFont="1" applyFill="1" applyBorder="1" applyAlignment="1" applyProtection="1">
      <alignment vertical="center" wrapText="1"/>
      <protection locked="0"/>
    </xf>
    <xf numFmtId="0" fontId="49" fillId="0" borderId="13" xfId="32" applyFont="1" applyBorder="1" applyAlignment="1">
      <alignment vertical="center" wrapText="1"/>
    </xf>
    <xf numFmtId="0" fontId="23" fillId="0" borderId="27" xfId="7" applyFont="1" applyBorder="1" applyAlignment="1">
      <alignment horizontal="center" vertical="center" wrapText="1"/>
    </xf>
    <xf numFmtId="0" fontId="16" fillId="0" borderId="32" xfId="7" applyFont="1" applyBorder="1" applyAlignment="1">
      <alignment horizontal="center" vertical="center"/>
    </xf>
    <xf numFmtId="0" fontId="49" fillId="0" borderId="29" xfId="32" applyFont="1" applyBorder="1" applyAlignment="1">
      <alignment vertical="center" wrapText="1"/>
    </xf>
    <xf numFmtId="0" fontId="44" fillId="0" borderId="34" xfId="7" applyFont="1" applyBorder="1" applyAlignment="1">
      <alignment horizontal="center" vertical="center" wrapText="1"/>
    </xf>
    <xf numFmtId="3" fontId="14" fillId="0" borderId="0" xfId="7" applyNumberFormat="1" applyAlignment="1">
      <alignment vertical="center" wrapText="1"/>
    </xf>
    <xf numFmtId="3" fontId="14" fillId="0" borderId="0" xfId="7" applyNumberFormat="1" applyAlignment="1">
      <alignment vertical="center"/>
    </xf>
    <xf numFmtId="0" fontId="46" fillId="0" borderId="0" xfId="7" applyFont="1" applyAlignment="1">
      <alignment vertical="center" wrapText="1"/>
    </xf>
    <xf numFmtId="0" fontId="14" fillId="0" borderId="0" xfId="7" applyAlignment="1">
      <alignment horizontal="right" vertical="center" wrapText="1"/>
    </xf>
    <xf numFmtId="0" fontId="44" fillId="0" borderId="0" xfId="7" applyFont="1" applyAlignment="1">
      <alignment horizontal="center" vertical="center" wrapText="1"/>
    </xf>
    <xf numFmtId="0" fontId="44" fillId="14" borderId="34" xfId="7" applyFont="1" applyFill="1" applyBorder="1" applyAlignment="1">
      <alignment horizontal="center" vertical="center" wrapText="1"/>
    </xf>
    <xf numFmtId="0" fontId="33" fillId="14" borderId="39" xfId="7" applyFont="1" applyFill="1" applyBorder="1" applyAlignment="1">
      <alignment horizontal="center" vertical="center" wrapText="1"/>
    </xf>
    <xf numFmtId="0" fontId="19" fillId="0" borderId="0" xfId="7" applyFont="1" applyAlignment="1" applyProtection="1">
      <alignment horizontal="center" vertical="center"/>
      <protection locked="0"/>
    </xf>
    <xf numFmtId="0" fontId="19" fillId="0" borderId="0" xfId="7" applyFont="1" applyAlignment="1" applyProtection="1">
      <alignment vertical="center"/>
      <protection locked="0"/>
    </xf>
    <xf numFmtId="0" fontId="49" fillId="0" borderId="29" xfId="7" applyFont="1" applyBorder="1" applyAlignment="1">
      <alignment horizontal="center" vertical="center"/>
    </xf>
    <xf numFmtId="0" fontId="49" fillId="0" borderId="29" xfId="7" applyFont="1" applyBorder="1" applyAlignment="1">
      <alignment horizontal="center" vertical="center" wrapText="1"/>
    </xf>
    <xf numFmtId="0" fontId="35" fillId="0" borderId="40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53" fillId="0" borderId="29" xfId="16" applyFont="1" applyFill="1" applyBorder="1" applyAlignment="1">
      <alignment horizontal="justify" vertical="center"/>
    </xf>
    <xf numFmtId="0" fontId="46" fillId="0" borderId="0" xfId="7" applyFont="1" applyAlignment="1" applyProtection="1">
      <alignment vertical="center"/>
      <protection locked="0"/>
    </xf>
    <xf numFmtId="0" fontId="12" fillId="14" borderId="29" xfId="7" applyFont="1" applyFill="1" applyBorder="1" applyAlignment="1">
      <alignment horizontal="center" vertical="center"/>
    </xf>
    <xf numFmtId="0" fontId="11" fillId="0" borderId="29" xfId="7" applyFont="1" applyBorder="1" applyAlignment="1">
      <alignment horizontal="center" vertical="center" wrapText="1"/>
    </xf>
    <xf numFmtId="0" fontId="51" fillId="0" borderId="20" xfId="7" applyFont="1" applyBorder="1" applyAlignment="1" applyProtection="1">
      <alignment horizontal="center" vertical="center" wrapText="1"/>
      <protection locked="0"/>
    </xf>
    <xf numFmtId="0" fontId="12" fillId="2" borderId="39" xfId="7" applyFont="1" applyFill="1" applyBorder="1" applyAlignment="1">
      <alignment horizontal="center" vertical="center" wrapText="1"/>
    </xf>
    <xf numFmtId="0" fontId="54" fillId="2" borderId="29" xfId="7" applyFont="1" applyFill="1" applyBorder="1" applyAlignment="1">
      <alignment horizontal="center" vertical="center" wrapText="1"/>
    </xf>
    <xf numFmtId="3" fontId="50" fillId="0" borderId="0" xfId="7" applyNumberFormat="1" applyFont="1" applyAlignment="1" applyProtection="1">
      <alignment horizontal="center" vertical="center"/>
      <protection locked="0"/>
    </xf>
    <xf numFmtId="0" fontId="12" fillId="2" borderId="34" xfId="7" applyFont="1" applyFill="1" applyBorder="1" applyAlignment="1">
      <alignment horizontal="center" vertical="center" wrapText="1"/>
    </xf>
    <xf numFmtId="0" fontId="54" fillId="2" borderId="34" xfId="7" applyFont="1" applyFill="1" applyBorder="1" applyAlignment="1">
      <alignment horizontal="center" vertical="center" wrapText="1"/>
    </xf>
    <xf numFmtId="0" fontId="16" fillId="0" borderId="32" xfId="7" applyFont="1" applyBorder="1" applyAlignment="1">
      <alignment horizontal="center" vertical="center" wrapText="1"/>
    </xf>
    <xf numFmtId="0" fontId="14" fillId="0" borderId="35" xfId="7" applyBorder="1" applyAlignment="1">
      <alignment horizontal="left" vertical="center" wrapText="1"/>
    </xf>
    <xf numFmtId="0" fontId="12" fillId="0" borderId="34" xfId="7" applyFont="1" applyBorder="1" applyAlignment="1">
      <alignment horizontal="center" vertical="center" wrapText="1"/>
    </xf>
    <xf numFmtId="0" fontId="54" fillId="2" borderId="48" xfId="7" applyFont="1" applyFill="1" applyBorder="1" applyAlignment="1">
      <alignment horizontal="center" vertical="center" wrapText="1"/>
    </xf>
    <xf numFmtId="0" fontId="14" fillId="0" borderId="40" xfId="16" applyFont="1" applyFill="1" applyBorder="1" applyAlignment="1">
      <alignment vertical="center" wrapText="1"/>
    </xf>
    <xf numFmtId="0" fontId="46" fillId="15" borderId="47" xfId="7" applyFont="1" applyFill="1" applyBorder="1" applyAlignment="1" applyProtection="1">
      <alignment horizontal="center" vertical="center" wrapText="1"/>
      <protection locked="0"/>
    </xf>
    <xf numFmtId="0" fontId="14" fillId="16" borderId="0" xfId="7" applyFill="1" applyAlignment="1" applyProtection="1">
      <alignment vertical="center"/>
      <protection locked="0"/>
    </xf>
    <xf numFmtId="0" fontId="11" fillId="0" borderId="40" xfId="7" applyFont="1" applyBorder="1" applyAlignment="1">
      <alignment horizontal="center" vertical="center" wrapText="1"/>
    </xf>
    <xf numFmtId="0" fontId="16" fillId="0" borderId="0" xfId="7" applyFont="1" applyAlignment="1" applyProtection="1">
      <alignment vertical="center"/>
      <protection locked="0"/>
    </xf>
    <xf numFmtId="0" fontId="16" fillId="16" borderId="0" xfId="7" applyFont="1" applyFill="1" applyAlignment="1" applyProtection="1">
      <alignment vertical="center"/>
      <protection locked="0"/>
    </xf>
    <xf numFmtId="0" fontId="14" fillId="0" borderId="29" xfId="7" applyBorder="1" applyAlignment="1">
      <alignment horizontal="left" vertical="center" wrapText="1"/>
    </xf>
    <xf numFmtId="3" fontId="12" fillId="17" borderId="55" xfId="7" applyNumberFormat="1" applyFont="1" applyFill="1" applyBorder="1" applyAlignment="1">
      <alignment horizontal="center" vertical="center" wrapText="1"/>
    </xf>
    <xf numFmtId="3" fontId="54" fillId="17" borderId="55" xfId="7" applyNumberFormat="1" applyFont="1" applyFill="1" applyBorder="1" applyAlignment="1">
      <alignment horizontal="center" vertical="center" wrapText="1"/>
    </xf>
    <xf numFmtId="0" fontId="16" fillId="0" borderId="0" xfId="9" applyFont="1"/>
    <xf numFmtId="0" fontId="47" fillId="0" borderId="0" xfId="7" applyFont="1"/>
    <xf numFmtId="3" fontId="56" fillId="0" borderId="0" xfId="7" applyNumberFormat="1" applyFont="1"/>
    <xf numFmtId="0" fontId="56" fillId="0" borderId="0" xfId="7" applyFont="1"/>
    <xf numFmtId="3" fontId="11" fillId="0" borderId="0" xfId="7" applyNumberFormat="1" applyFont="1" applyAlignment="1">
      <alignment horizontal="center" vertical="center"/>
    </xf>
    <xf numFmtId="0" fontId="54" fillId="0" borderId="0" xfId="7" applyFont="1" applyAlignment="1" applyProtection="1">
      <alignment horizontal="center" vertical="center"/>
      <protection locked="0"/>
    </xf>
    <xf numFmtId="0" fontId="47" fillId="0" borderId="0" xfId="7" applyFont="1" applyAlignment="1" applyProtection="1">
      <alignment horizontal="center" vertical="center"/>
      <protection locked="0"/>
    </xf>
    <xf numFmtId="0" fontId="47" fillId="0" borderId="0" xfId="7" applyFont="1" applyAlignment="1" applyProtection="1">
      <alignment vertical="center"/>
      <protection locked="0"/>
    </xf>
    <xf numFmtId="0" fontId="57" fillId="0" borderId="0" xfId="7" applyFont="1" applyAlignment="1" applyProtection="1">
      <alignment horizontal="center" vertical="center"/>
      <protection locked="0"/>
    </xf>
    <xf numFmtId="0" fontId="57" fillId="0" borderId="0" xfId="7" applyFont="1" applyAlignment="1" applyProtection="1">
      <alignment vertical="center"/>
      <protection locked="0"/>
    </xf>
    <xf numFmtId="3" fontId="14" fillId="0" borderId="0" xfId="7" applyNumberFormat="1" applyProtection="1">
      <protection locked="0"/>
    </xf>
    <xf numFmtId="0" fontId="56" fillId="0" borderId="0" xfId="7" applyFont="1" applyAlignment="1" applyProtection="1">
      <alignment horizontal="center"/>
      <protection locked="0"/>
    </xf>
    <xf numFmtId="0" fontId="56" fillId="0" borderId="0" xfId="7" applyFont="1" applyProtection="1">
      <protection locked="0"/>
    </xf>
    <xf numFmtId="0" fontId="12" fillId="0" borderId="27" xfId="7" applyFont="1" applyBorder="1" applyAlignment="1">
      <alignment horizontal="center" vertical="center" wrapText="1"/>
    </xf>
    <xf numFmtId="0" fontId="14" fillId="0" borderId="29" xfId="32" applyFont="1" applyBorder="1" applyAlignment="1">
      <alignment vertical="center" wrapText="1"/>
    </xf>
    <xf numFmtId="0" fontId="12" fillId="2" borderId="29" xfId="7" applyFont="1" applyFill="1" applyBorder="1" applyAlignment="1">
      <alignment horizontal="center" vertical="center" wrapText="1"/>
    </xf>
    <xf numFmtId="4" fontId="14" fillId="0" borderId="4" xfId="9" applyNumberFormat="1" applyFont="1" applyBorder="1"/>
    <xf numFmtId="4" fontId="16" fillId="3" borderId="5" xfId="9" applyNumberFormat="1" applyFont="1" applyFill="1" applyBorder="1"/>
    <xf numFmtId="4" fontId="19" fillId="0" borderId="9" xfId="9" applyNumberFormat="1" applyFont="1" applyBorder="1"/>
    <xf numFmtId="4" fontId="14" fillId="0" borderId="10" xfId="9" applyNumberFormat="1" applyFont="1" applyBorder="1"/>
    <xf numFmtId="4" fontId="14" fillId="0" borderId="5" xfId="9" applyNumberFormat="1" applyFont="1" applyBorder="1"/>
    <xf numFmtId="4" fontId="14" fillId="0" borderId="3" xfId="9" applyNumberFormat="1" applyFont="1" applyBorder="1"/>
    <xf numFmtId="4" fontId="46" fillId="0" borderId="4" xfId="9" applyNumberFormat="1" applyFont="1" applyBorder="1"/>
    <xf numFmtId="4" fontId="16" fillId="0" borderId="5" xfId="9" applyNumberFormat="1" applyFont="1" applyBorder="1" applyAlignment="1">
      <alignment vertical="center"/>
    </xf>
    <xf numFmtId="0" fontId="58" fillId="0" borderId="4" xfId="0" applyFont="1" applyBorder="1" applyAlignment="1">
      <alignment vertical="center" wrapText="1" readingOrder="1"/>
    </xf>
    <xf numFmtId="0" fontId="58" fillId="0" borderId="9" xfId="0" applyFont="1" applyBorder="1" applyAlignment="1">
      <alignment vertical="center" wrapText="1" readingOrder="1"/>
    </xf>
    <xf numFmtId="4" fontId="52" fillId="0" borderId="0" xfId="7" applyNumberFormat="1" applyFont="1" applyAlignment="1" applyProtection="1">
      <alignment horizontal="center" vertical="center"/>
      <protection locked="0"/>
    </xf>
    <xf numFmtId="0" fontId="46" fillId="15" borderId="20" xfId="7" applyFont="1" applyFill="1" applyBorder="1" applyAlignment="1" applyProtection="1">
      <alignment horizontal="center" vertical="center" wrapText="1"/>
      <protection locked="0"/>
    </xf>
    <xf numFmtId="0" fontId="11" fillId="14" borderId="29" xfId="7" applyFont="1" applyFill="1" applyBorder="1" applyAlignment="1">
      <alignment horizontal="center" vertical="center" wrapText="1"/>
    </xf>
    <xf numFmtId="4" fontId="14" fillId="14" borderId="29" xfId="7" applyNumberFormat="1" applyFill="1" applyBorder="1" applyAlignment="1">
      <alignment horizontal="right" vertical="center" wrapText="1"/>
    </xf>
    <xf numFmtId="0" fontId="16" fillId="0" borderId="57" xfId="7" applyFont="1" applyBorder="1" applyAlignment="1">
      <alignment horizontal="center" vertical="center" wrapText="1"/>
    </xf>
    <xf numFmtId="0" fontId="14" fillId="0" borderId="30" xfId="16" applyFont="1" applyFill="1" applyBorder="1" applyAlignment="1" applyProtection="1">
      <alignment vertical="center" wrapText="1"/>
      <protection locked="0"/>
    </xf>
    <xf numFmtId="0" fontId="46" fillId="0" borderId="58" xfId="7" applyFont="1" applyBorder="1" applyAlignment="1" applyProtection="1">
      <alignment horizontal="center" vertical="center" wrapText="1"/>
      <protection locked="0"/>
    </xf>
    <xf numFmtId="0" fontId="46" fillId="0" borderId="42" xfId="7" applyFont="1" applyBorder="1" applyAlignment="1" applyProtection="1">
      <alignment horizontal="center" vertical="center" wrapText="1"/>
      <protection locked="0"/>
    </xf>
    <xf numFmtId="0" fontId="55" fillId="14" borderId="39" xfId="7" applyFont="1" applyFill="1" applyBorder="1" applyAlignment="1">
      <alignment horizontal="center" vertical="center" wrapText="1"/>
    </xf>
    <xf numFmtId="0" fontId="46" fillId="0" borderId="41" xfId="7" applyFont="1" applyBorder="1" applyAlignment="1" applyProtection="1">
      <alignment horizontal="center" vertical="center" wrapText="1"/>
      <protection locked="0"/>
    </xf>
    <xf numFmtId="0" fontId="46" fillId="0" borderId="40" xfId="7" applyFont="1" applyBorder="1" applyAlignment="1" applyProtection="1">
      <alignment horizontal="center" vertical="center" wrapText="1"/>
      <protection locked="0"/>
    </xf>
    <xf numFmtId="0" fontId="52" fillId="0" borderId="40" xfId="7" applyFont="1" applyBorder="1" applyAlignment="1" applyProtection="1">
      <alignment horizontal="center" vertical="center" wrapText="1"/>
      <protection locked="0"/>
    </xf>
    <xf numFmtId="0" fontId="52" fillId="0" borderId="59" xfId="7" applyFont="1" applyBorder="1" applyAlignment="1" applyProtection="1">
      <alignment horizontal="center" vertical="center" wrapText="1"/>
      <protection locked="0"/>
    </xf>
    <xf numFmtId="4" fontId="16" fillId="14" borderId="22" xfId="7" applyNumberFormat="1" applyFont="1" applyFill="1" applyBorder="1" applyAlignment="1">
      <alignment vertical="center" wrapText="1"/>
    </xf>
    <xf numFmtId="4" fontId="14" fillId="0" borderId="22" xfId="7" applyNumberFormat="1" applyBorder="1" applyAlignment="1">
      <alignment vertical="center" wrapText="1"/>
    </xf>
    <xf numFmtId="4" fontId="14" fillId="0" borderId="22" xfId="7" applyNumberFormat="1" applyBorder="1" applyAlignment="1">
      <alignment horizontal="right" vertical="center" wrapText="1"/>
    </xf>
    <xf numFmtId="4" fontId="50" fillId="0" borderId="22" xfId="7" applyNumberFormat="1" applyFont="1" applyBorder="1" applyAlignment="1">
      <alignment vertical="center" wrapText="1"/>
    </xf>
    <xf numFmtId="4" fontId="16" fillId="14" borderId="22" xfId="7" applyNumberFormat="1" applyFont="1" applyFill="1" applyBorder="1" applyAlignment="1">
      <alignment horizontal="right" vertical="center" wrapText="1"/>
    </xf>
    <xf numFmtId="4" fontId="49" fillId="0" borderId="22" xfId="7" applyNumberFormat="1" applyFont="1" applyBorder="1" applyAlignment="1">
      <alignment vertical="center" wrapText="1"/>
    </xf>
    <xf numFmtId="4" fontId="49" fillId="0" borderId="22" xfId="7" applyNumberFormat="1" applyFont="1" applyBorder="1" applyAlignment="1">
      <alignment horizontal="right" vertical="center" wrapText="1"/>
    </xf>
    <xf numFmtId="4" fontId="14" fillId="0" borderId="20" xfId="7" applyNumberFormat="1" applyBorder="1" applyAlignment="1">
      <alignment vertical="center" wrapText="1"/>
    </xf>
    <xf numFmtId="4" fontId="46" fillId="0" borderId="30" xfId="7" applyNumberFormat="1" applyFont="1" applyBorder="1" applyAlignment="1">
      <alignment vertical="center" wrapText="1"/>
    </xf>
    <xf numFmtId="4" fontId="14" fillId="0" borderId="30" xfId="7" applyNumberFormat="1" applyBorder="1" applyAlignment="1">
      <alignment horizontal="right" vertical="center" wrapText="1"/>
    </xf>
    <xf numFmtId="4" fontId="16" fillId="14" borderId="37" xfId="7" applyNumberFormat="1" applyFont="1" applyFill="1" applyBorder="1" applyAlignment="1">
      <alignment vertical="center" wrapText="1"/>
    </xf>
    <xf numFmtId="4" fontId="16" fillId="14" borderId="30" xfId="7" applyNumberFormat="1" applyFont="1" applyFill="1" applyBorder="1" applyAlignment="1">
      <alignment vertical="center"/>
    </xf>
    <xf numFmtId="4" fontId="46" fillId="14" borderId="30" xfId="7" applyNumberFormat="1" applyFont="1" applyFill="1" applyBorder="1" applyAlignment="1">
      <alignment vertical="center" wrapText="1"/>
    </xf>
    <xf numFmtId="4" fontId="16" fillId="14" borderId="30" xfId="7" applyNumberFormat="1" applyFont="1" applyFill="1" applyBorder="1" applyAlignment="1">
      <alignment horizontal="right" vertical="center" wrapText="1"/>
    </xf>
    <xf numFmtId="4" fontId="14" fillId="0" borderId="29" xfId="7" applyNumberFormat="1" applyBorder="1" applyAlignment="1">
      <alignment vertical="center" wrapText="1"/>
    </xf>
    <xf numFmtId="4" fontId="14" fillId="0" borderId="29" xfId="7" applyNumberFormat="1" applyBorder="1" applyAlignment="1">
      <alignment horizontal="right" vertical="center" wrapText="1"/>
    </xf>
    <xf numFmtId="4" fontId="14" fillId="14" borderId="29" xfId="7" applyNumberFormat="1" applyFill="1" applyBorder="1" applyAlignment="1">
      <alignment vertical="center" wrapText="1"/>
    </xf>
    <xf numFmtId="4" fontId="14" fillId="14" borderId="29" xfId="7" applyNumberFormat="1" applyFill="1" applyBorder="1" applyAlignment="1">
      <alignment vertical="center"/>
    </xf>
    <xf numFmtId="4" fontId="16" fillId="14" borderId="38" xfId="7" applyNumberFormat="1" applyFont="1" applyFill="1" applyBorder="1" applyAlignment="1">
      <alignment vertical="center" wrapText="1"/>
    </xf>
    <xf numFmtId="4" fontId="16" fillId="14" borderId="38" xfId="7" applyNumberFormat="1" applyFont="1" applyFill="1" applyBorder="1" applyAlignment="1">
      <alignment horizontal="right" vertical="center" wrapText="1"/>
    </xf>
    <xf numFmtId="4" fontId="49" fillId="0" borderId="29" xfId="7" applyNumberFormat="1" applyFont="1" applyBorder="1" applyAlignment="1">
      <alignment vertical="center" wrapText="1"/>
    </xf>
    <xf numFmtId="4" fontId="49" fillId="0" borderId="29" xfId="7" applyNumberFormat="1" applyFont="1" applyBorder="1" applyAlignment="1">
      <alignment horizontal="right" vertical="center" wrapText="1"/>
    </xf>
    <xf numFmtId="4" fontId="22" fillId="14" borderId="29" xfId="7" applyNumberFormat="1" applyFont="1" applyFill="1" applyBorder="1" applyAlignment="1">
      <alignment vertical="center"/>
    </xf>
    <xf numFmtId="4" fontId="16" fillId="2" borderId="38" xfId="7" applyNumberFormat="1" applyFont="1" applyFill="1" applyBorder="1" applyAlignment="1">
      <alignment vertical="center" wrapText="1"/>
    </xf>
    <xf numFmtId="4" fontId="16" fillId="2" borderId="30" xfId="7" applyNumberFormat="1" applyFont="1" applyFill="1" applyBorder="1" applyAlignment="1">
      <alignment vertical="center" wrapText="1"/>
    </xf>
    <xf numFmtId="4" fontId="14" fillId="0" borderId="30" xfId="7" applyNumberFormat="1" applyBorder="1" applyAlignment="1">
      <alignment vertical="center" wrapText="1"/>
    </xf>
    <xf numFmtId="4" fontId="16" fillId="0" borderId="30" xfId="7" applyNumberFormat="1" applyFont="1" applyBorder="1" applyAlignment="1">
      <alignment vertical="center" wrapText="1"/>
    </xf>
    <xf numFmtId="4" fontId="14" fillId="0" borderId="40" xfId="7" applyNumberFormat="1" applyBorder="1" applyAlignment="1">
      <alignment vertical="center" wrapText="1"/>
    </xf>
    <xf numFmtId="4" fontId="16" fillId="2" borderId="41" xfId="7" applyNumberFormat="1" applyFont="1" applyFill="1" applyBorder="1" applyAlignment="1">
      <alignment vertical="center" wrapText="1"/>
    </xf>
    <xf numFmtId="4" fontId="16" fillId="17" borderId="54" xfId="7" applyNumberFormat="1" applyFont="1" applyFill="1" applyBorder="1" applyAlignment="1">
      <alignment vertical="center" wrapText="1"/>
    </xf>
    <xf numFmtId="3" fontId="19" fillId="0" borderId="0" xfId="7" applyNumberFormat="1" applyFont="1" applyAlignment="1">
      <alignment vertical="center" wrapText="1"/>
    </xf>
    <xf numFmtId="3" fontId="19" fillId="0" borderId="0" xfId="7" applyNumberFormat="1" applyFont="1" applyAlignment="1">
      <alignment vertical="center"/>
    </xf>
    <xf numFmtId="0" fontId="19" fillId="0" borderId="0" xfId="7" applyFont="1" applyAlignment="1">
      <alignment horizontal="right" vertical="center" wrapText="1"/>
    </xf>
    <xf numFmtId="0" fontId="46" fillId="0" borderId="25" xfId="7" applyFont="1" applyBorder="1" applyAlignment="1" applyProtection="1">
      <alignment horizontal="center" vertical="center" wrapText="1"/>
      <protection locked="0"/>
    </xf>
    <xf numFmtId="0" fontId="54" fillId="2" borderId="49" xfId="7" applyFont="1" applyFill="1" applyBorder="1" applyAlignment="1">
      <alignment horizontal="center" vertical="center" wrapText="1"/>
    </xf>
    <xf numFmtId="0" fontId="54" fillId="2" borderId="59" xfId="7" applyFont="1" applyFill="1" applyBorder="1" applyAlignment="1">
      <alignment horizontal="center" vertical="center" wrapText="1"/>
    </xf>
    <xf numFmtId="4" fontId="14" fillId="0" borderId="22" xfId="7" applyNumberFormat="1" applyBorder="1" applyAlignment="1">
      <alignment vertical="center"/>
    </xf>
    <xf numFmtId="4" fontId="14" fillId="0" borderId="30" xfId="7" applyNumberFormat="1" applyBorder="1" applyAlignment="1">
      <alignment vertical="center"/>
    </xf>
    <xf numFmtId="4" fontId="14" fillId="0" borderId="29" xfId="7" applyNumberFormat="1" applyBorder="1" applyAlignment="1">
      <alignment vertical="center"/>
    </xf>
    <xf numFmtId="0" fontId="45" fillId="0" borderId="5" xfId="11" applyFont="1" applyBorder="1" applyAlignment="1">
      <alignment vertical="center" wrapText="1"/>
    </xf>
    <xf numFmtId="3" fontId="45" fillId="0" borderId="5" xfId="11" applyNumberFormat="1" applyFont="1" applyBorder="1" applyAlignment="1">
      <alignment vertical="center"/>
    </xf>
    <xf numFmtId="0" fontId="12" fillId="0" borderId="0" xfId="11" applyFont="1" applyAlignment="1">
      <alignment vertical="center"/>
    </xf>
    <xf numFmtId="0" fontId="12" fillId="8" borderId="10" xfId="11" applyFont="1" applyFill="1" applyBorder="1" applyAlignment="1">
      <alignment horizontal="center" vertical="center"/>
    </xf>
    <xf numFmtId="0" fontId="12" fillId="8" borderId="10" xfId="11" applyFont="1" applyFill="1" applyBorder="1" applyAlignment="1">
      <alignment vertical="center" wrapText="1"/>
    </xf>
    <xf numFmtId="3" fontId="12" fillId="8" borderId="10" xfId="11" applyNumberFormat="1" applyFont="1" applyFill="1" applyBorder="1" applyAlignment="1">
      <alignment vertical="center"/>
    </xf>
    <xf numFmtId="0" fontId="11" fillId="9" borderId="10" xfId="11" applyFont="1" applyFill="1" applyBorder="1" applyAlignment="1">
      <alignment horizontal="center" vertical="center"/>
    </xf>
    <xf numFmtId="0" fontId="11" fillId="9" borderId="10" xfId="11" applyFont="1" applyFill="1" applyBorder="1" applyAlignment="1">
      <alignment vertical="center" wrapText="1"/>
    </xf>
    <xf numFmtId="3" fontId="11" fillId="9" borderId="10" xfId="11" applyNumberFormat="1" applyFont="1" applyFill="1" applyBorder="1" applyAlignment="1">
      <alignment vertical="center"/>
    </xf>
    <xf numFmtId="0" fontId="12" fillId="9" borderId="10" xfId="11" applyFont="1" applyFill="1" applyBorder="1" applyAlignment="1">
      <alignment horizontal="center" vertical="center"/>
    </xf>
    <xf numFmtId="0" fontId="12" fillId="9" borderId="10" xfId="11" applyFont="1" applyFill="1" applyBorder="1" applyAlignment="1">
      <alignment vertical="center" wrapText="1"/>
    </xf>
    <xf numFmtId="3" fontId="12" fillId="9" borderId="10" xfId="11" applyNumberFormat="1" applyFont="1" applyFill="1" applyBorder="1" applyAlignment="1">
      <alignment vertical="center"/>
    </xf>
    <xf numFmtId="0" fontId="35" fillId="0" borderId="10" xfId="11" applyFont="1" applyBorder="1" applyAlignment="1">
      <alignment horizontal="center" vertical="center"/>
    </xf>
    <xf numFmtId="0" fontId="35" fillId="0" borderId="10" xfId="11" applyFont="1" applyBorder="1" applyAlignment="1">
      <alignment vertical="center" wrapText="1"/>
    </xf>
    <xf numFmtId="3" fontId="11" fillId="0" borderId="10" xfId="11" applyNumberFormat="1" applyFont="1" applyBorder="1" applyAlignment="1">
      <alignment vertical="center"/>
    </xf>
    <xf numFmtId="0" fontId="54" fillId="2" borderId="60" xfId="7" applyFont="1" applyFill="1" applyBorder="1" applyAlignment="1">
      <alignment horizontal="center" vertical="center" wrapText="1"/>
    </xf>
    <xf numFmtId="0" fontId="46" fillId="16" borderId="0" xfId="7" applyFont="1" applyFill="1" applyAlignment="1" applyProtection="1">
      <alignment vertical="center"/>
      <protection locked="0"/>
    </xf>
    <xf numFmtId="4" fontId="16" fillId="0" borderId="0" xfId="7" applyNumberFormat="1" applyFont="1" applyAlignment="1" applyProtection="1">
      <alignment horizontal="center" vertical="center"/>
      <protection locked="0"/>
    </xf>
    <xf numFmtId="4" fontId="12" fillId="2" borderId="10" xfId="7" applyNumberFormat="1" applyFont="1" applyFill="1" applyBorder="1" applyAlignment="1">
      <alignment vertical="center"/>
    </xf>
    <xf numFmtId="4" fontId="12" fillId="6" borderId="10" xfId="7" applyNumberFormat="1" applyFont="1" applyFill="1" applyBorder="1" applyAlignment="1">
      <alignment horizontal="center" vertical="center"/>
    </xf>
    <xf numFmtId="4" fontId="15" fillId="7" borderId="10" xfId="7" applyNumberFormat="1" applyFont="1" applyFill="1" applyBorder="1" applyAlignment="1">
      <alignment horizontal="right"/>
    </xf>
    <xf numFmtId="0" fontId="34" fillId="0" borderId="21" xfId="7" applyFont="1" applyBorder="1" applyAlignment="1">
      <alignment horizontal="center" vertical="center"/>
    </xf>
    <xf numFmtId="0" fontId="34" fillId="0" borderId="22" xfId="7" applyFont="1" applyBorder="1" applyAlignment="1">
      <alignment horizontal="center" vertical="center" wrapText="1"/>
    </xf>
    <xf numFmtId="4" fontId="16" fillId="0" borderId="22" xfId="7" applyNumberFormat="1" applyFont="1" applyBorder="1" applyAlignment="1">
      <alignment vertical="center"/>
    </xf>
    <xf numFmtId="0" fontId="49" fillId="0" borderId="22" xfId="16" applyFont="1" applyFill="1" applyBorder="1" applyAlignment="1" applyProtection="1">
      <alignment vertical="center" wrapText="1"/>
      <protection locked="0"/>
    </xf>
    <xf numFmtId="0" fontId="46" fillId="0" borderId="21" xfId="7" applyFont="1" applyBorder="1" applyAlignment="1">
      <alignment horizontal="center" vertical="center"/>
    </xf>
    <xf numFmtId="4" fontId="16" fillId="0" borderId="22" xfId="7" applyNumberFormat="1" applyFont="1" applyBorder="1" applyAlignment="1">
      <alignment vertical="center" wrapText="1"/>
    </xf>
    <xf numFmtId="4" fontId="16" fillId="0" borderId="22" xfId="7" applyNumberFormat="1" applyFont="1" applyBorder="1" applyAlignment="1">
      <alignment horizontal="right" vertical="center" wrapText="1"/>
    </xf>
    <xf numFmtId="4" fontId="14" fillId="0" borderId="28" xfId="7" applyNumberFormat="1" applyBorder="1" applyAlignment="1">
      <alignment vertical="center" wrapText="1"/>
    </xf>
    <xf numFmtId="4" fontId="49" fillId="0" borderId="28" xfId="7" applyNumberFormat="1" applyFont="1" applyBorder="1" applyAlignment="1">
      <alignment vertical="center" wrapText="1"/>
    </xf>
    <xf numFmtId="0" fontId="16" fillId="0" borderId="22" xfId="7" applyFont="1" applyBorder="1" applyAlignment="1" applyProtection="1">
      <alignment horizontal="left" vertical="center" wrapText="1"/>
      <protection locked="0"/>
    </xf>
    <xf numFmtId="0" fontId="16" fillId="0" borderId="33" xfId="7" applyFont="1" applyBorder="1" applyAlignment="1">
      <alignment horizontal="center" vertical="center" wrapText="1"/>
    </xf>
    <xf numFmtId="0" fontId="33" fillId="0" borderId="34" xfId="7" applyFont="1" applyBorder="1" applyAlignment="1">
      <alignment horizontal="center" vertical="center" wrapText="1"/>
    </xf>
    <xf numFmtId="0" fontId="49" fillId="0" borderId="0" xfId="32" applyFont="1" applyAlignment="1">
      <alignment vertical="center" wrapText="1"/>
    </xf>
    <xf numFmtId="4" fontId="14" fillId="0" borderId="20" xfId="7" applyNumberFormat="1" applyBorder="1" applyAlignment="1">
      <alignment vertical="center"/>
    </xf>
    <xf numFmtId="4" fontId="11" fillId="0" borderId="30" xfId="7" applyNumberFormat="1" applyFont="1" applyBorder="1" applyAlignment="1">
      <alignment horizontal="right" vertical="center" wrapText="1"/>
    </xf>
    <xf numFmtId="0" fontId="11" fillId="0" borderId="34" xfId="7" applyFont="1" applyBorder="1" applyAlignment="1">
      <alignment horizontal="center" vertical="center" wrapText="1"/>
    </xf>
    <xf numFmtId="0" fontId="16" fillId="0" borderId="41" xfId="7" applyFont="1" applyBorder="1" applyAlignment="1">
      <alignment horizontal="center" vertical="center" wrapText="1"/>
    </xf>
    <xf numFmtId="4" fontId="16" fillId="0" borderId="41" xfId="7" applyNumberFormat="1" applyFont="1" applyBorder="1" applyAlignment="1">
      <alignment vertical="center" wrapText="1"/>
    </xf>
    <xf numFmtId="0" fontId="14" fillId="0" borderId="41" xfId="7" applyBorder="1" applyAlignment="1">
      <alignment horizontal="left" wrapText="1"/>
    </xf>
    <xf numFmtId="4" fontId="14" fillId="0" borderId="41" xfId="7" applyNumberFormat="1" applyBorder="1" applyAlignment="1">
      <alignment vertical="center" wrapText="1"/>
    </xf>
    <xf numFmtId="0" fontId="16" fillId="15" borderId="28" xfId="7" applyFont="1" applyFill="1" applyBorder="1" applyAlignment="1" applyProtection="1">
      <alignment horizontal="center" vertical="center" wrapText="1"/>
      <protection locked="0"/>
    </xf>
    <xf numFmtId="0" fontId="16" fillId="0" borderId="26" xfId="7" applyFont="1" applyBorder="1" applyAlignment="1">
      <alignment horizontal="center" vertical="center" wrapText="1"/>
    </xf>
    <xf numFmtId="0" fontId="16" fillId="0" borderId="23" xfId="7" applyFont="1" applyBorder="1" applyAlignment="1">
      <alignment horizontal="center" vertical="center" wrapText="1"/>
    </xf>
    <xf numFmtId="0" fontId="14" fillId="0" borderId="23" xfId="7" applyBorder="1" applyAlignment="1">
      <alignment horizontal="left" vertical="center" wrapText="1"/>
    </xf>
    <xf numFmtId="4" fontId="14" fillId="0" borderId="23" xfId="7" applyNumberFormat="1" applyBorder="1" applyAlignment="1">
      <alignment vertical="center" wrapText="1"/>
    </xf>
    <xf numFmtId="0" fontId="11" fillId="0" borderId="24" xfId="7" applyFont="1" applyBorder="1" applyAlignment="1">
      <alignment horizontal="center" vertical="center" wrapText="1"/>
    </xf>
    <xf numFmtId="4" fontId="56" fillId="0" borderId="0" xfId="7" applyNumberFormat="1" applyFont="1"/>
    <xf numFmtId="0" fontId="11" fillId="0" borderId="10" xfId="11" applyFont="1" applyBorder="1" applyAlignment="1">
      <alignment horizontal="center" vertical="center"/>
    </xf>
    <xf numFmtId="0" fontId="43" fillId="0" borderId="10" xfId="11" applyFont="1" applyBorder="1" applyAlignment="1">
      <alignment horizontal="center" vertical="center"/>
    </xf>
    <xf numFmtId="0" fontId="43" fillId="0" borderId="5" xfId="11" applyFont="1" applyBorder="1" applyAlignment="1">
      <alignment horizontal="center" vertical="center"/>
    </xf>
    <xf numFmtId="0" fontId="45" fillId="0" borderId="5" xfId="11" applyFont="1" applyBorder="1" applyAlignment="1">
      <alignment horizontal="center" vertical="center"/>
    </xf>
    <xf numFmtId="39" fontId="42" fillId="8" borderId="12" xfId="26" applyNumberFormat="1" applyFont="1" applyFill="1" applyBorder="1" applyAlignment="1">
      <alignment horizontal="right" vertical="center" wrapText="1"/>
    </xf>
    <xf numFmtId="4" fontId="11" fillId="0" borderId="0" xfId="7" applyNumberFormat="1" applyFont="1"/>
    <xf numFmtId="0" fontId="11" fillId="0" borderId="10" xfId="7" applyFont="1" applyBorder="1" applyAlignment="1">
      <alignment horizontal="center" vertical="center" wrapText="1"/>
    </xf>
    <xf numFmtId="0" fontId="11" fillId="0" borderId="10" xfId="11" applyFont="1" applyBorder="1" applyAlignment="1">
      <alignment vertical="center" wrapText="1"/>
    </xf>
    <xf numFmtId="3" fontId="11" fillId="0" borderId="0" xfId="7" applyNumberFormat="1" applyFont="1" applyAlignment="1">
      <alignment vertical="center"/>
    </xf>
    <xf numFmtId="0" fontId="14" fillId="0" borderId="22" xfId="16" applyFont="1" applyFill="1" applyBorder="1" applyAlignment="1" applyProtection="1">
      <alignment vertical="center" wrapText="1"/>
      <protection locked="0"/>
    </xf>
    <xf numFmtId="4" fontId="16" fillId="0" borderId="29" xfId="7" applyNumberFormat="1" applyFont="1" applyBorder="1" applyAlignment="1">
      <alignment vertical="center" wrapText="1"/>
    </xf>
    <xf numFmtId="0" fontId="16" fillId="0" borderId="56" xfId="7" applyFont="1" applyBorder="1" applyAlignment="1">
      <alignment horizontal="center" vertical="center" wrapText="1"/>
    </xf>
    <xf numFmtId="0" fontId="16" fillId="0" borderId="16" xfId="7" applyFont="1" applyBorder="1" applyAlignment="1">
      <alignment horizontal="center" vertical="center" wrapText="1"/>
    </xf>
    <xf numFmtId="0" fontId="16" fillId="0" borderId="64" xfId="7" applyFont="1" applyBorder="1" applyAlignment="1">
      <alignment horizontal="center" vertical="center" wrapText="1"/>
    </xf>
    <xf numFmtId="4" fontId="16" fillId="0" borderId="65" xfId="7" applyNumberFormat="1" applyFont="1" applyBorder="1" applyAlignment="1">
      <alignment vertical="center" wrapText="1"/>
    </xf>
    <xf numFmtId="4" fontId="16" fillId="0" borderId="16" xfId="7" applyNumberFormat="1" applyFont="1" applyBorder="1" applyAlignment="1">
      <alignment vertical="center" wrapText="1"/>
    </xf>
    <xf numFmtId="0" fontId="12" fillId="0" borderId="19" xfId="7" applyFont="1" applyBorder="1" applyAlignment="1">
      <alignment horizontal="center" vertical="center" wrapText="1"/>
    </xf>
    <xf numFmtId="0" fontId="53" fillId="0" borderId="41" xfId="0" applyFont="1" applyFill="1" applyBorder="1" applyAlignment="1">
      <alignment vertical="center" wrapText="1"/>
    </xf>
    <xf numFmtId="4" fontId="14" fillId="0" borderId="16" xfId="7" applyNumberFormat="1" applyBorder="1" applyAlignment="1">
      <alignment vertical="center" wrapText="1"/>
    </xf>
    <xf numFmtId="0" fontId="53" fillId="0" borderId="29" xfId="0" applyFont="1" applyFill="1" applyBorder="1" applyAlignment="1">
      <alignment vertical="center" wrapText="1"/>
    </xf>
    <xf numFmtId="0" fontId="12" fillId="0" borderId="43" xfId="7" applyFont="1" applyBorder="1" applyAlignment="1">
      <alignment horizontal="center" vertical="center" wrapText="1"/>
    </xf>
    <xf numFmtId="0" fontId="12" fillId="2" borderId="43" xfId="7" applyFont="1" applyFill="1" applyBorder="1" applyAlignment="1">
      <alignment horizontal="center" vertical="center" wrapText="1"/>
    </xf>
    <xf numFmtId="0" fontId="12" fillId="0" borderId="66" xfId="7" applyFont="1" applyBorder="1" applyAlignment="1">
      <alignment horizontal="center" vertical="center" wrapText="1"/>
    </xf>
    <xf numFmtId="0" fontId="54" fillId="2" borderId="27" xfId="7" applyFont="1" applyFill="1" applyBorder="1" applyAlignment="1">
      <alignment horizontal="center" vertical="center" wrapText="1"/>
    </xf>
    <xf numFmtId="0" fontId="54" fillId="2" borderId="55" xfId="7" applyFont="1" applyFill="1" applyBorder="1" applyAlignment="1">
      <alignment horizontal="center" vertical="center" wrapText="1"/>
    </xf>
    <xf numFmtId="0" fontId="46" fillId="0" borderId="28" xfId="7" applyFont="1" applyBorder="1" applyAlignment="1" applyProtection="1">
      <alignment horizontal="center" vertical="center" wrapText="1"/>
      <protection locked="0"/>
    </xf>
    <xf numFmtId="0" fontId="16" fillId="18" borderId="36" xfId="7" applyFont="1" applyFill="1" applyBorder="1" applyAlignment="1">
      <alignment horizontal="center" vertical="center"/>
    </xf>
    <xf numFmtId="0" fontId="16" fillId="18" borderId="22" xfId="7" applyFont="1" applyFill="1" applyBorder="1" applyAlignment="1">
      <alignment horizontal="center" vertical="center" wrapText="1"/>
    </xf>
    <xf numFmtId="4" fontId="50" fillId="18" borderId="22" xfId="7" applyNumberFormat="1" applyFont="1" applyFill="1" applyBorder="1" applyAlignment="1">
      <alignment vertical="center" wrapText="1"/>
    </xf>
    <xf numFmtId="0" fontId="33" fillId="18" borderId="27" xfId="7" applyFont="1" applyFill="1" applyBorder="1" applyAlignment="1">
      <alignment horizontal="center" vertical="center" wrapText="1"/>
    </xf>
    <xf numFmtId="3" fontId="44" fillId="0" borderId="5" xfId="11" applyNumberFormat="1" applyFont="1" applyBorder="1" applyAlignment="1">
      <alignment vertical="center"/>
    </xf>
    <xf numFmtId="0" fontId="11" fillId="18" borderId="27" xfId="7" applyFont="1" applyFill="1" applyBorder="1" applyAlignment="1">
      <alignment horizontal="center" vertical="center" wrapText="1"/>
    </xf>
    <xf numFmtId="0" fontId="16" fillId="18" borderId="21" xfId="7" applyFont="1" applyFill="1" applyBorder="1" applyAlignment="1">
      <alignment horizontal="center" vertical="center"/>
    </xf>
    <xf numFmtId="0" fontId="34" fillId="18" borderId="22" xfId="7" applyFont="1" applyFill="1" applyBorder="1" applyAlignment="1">
      <alignment horizontal="center" vertical="center"/>
    </xf>
    <xf numFmtId="0" fontId="16" fillId="18" borderId="22" xfId="7" applyFont="1" applyFill="1" applyBorder="1" applyAlignment="1">
      <alignment horizontal="center" vertical="center"/>
    </xf>
    <xf numFmtId="0" fontId="16" fillId="18" borderId="22" xfId="7" applyFont="1" applyFill="1" applyBorder="1" applyAlignment="1" applyProtection="1">
      <alignment horizontal="left" vertical="center" wrapText="1"/>
      <protection locked="0"/>
    </xf>
    <xf numFmtId="4" fontId="16" fillId="18" borderId="22" xfId="7" applyNumberFormat="1" applyFont="1" applyFill="1" applyBorder="1" applyAlignment="1">
      <alignment vertical="center" wrapText="1"/>
    </xf>
    <xf numFmtId="4" fontId="16" fillId="18" borderId="22" xfId="7" applyNumberFormat="1" applyFont="1" applyFill="1" applyBorder="1" applyAlignment="1">
      <alignment vertical="center"/>
    </xf>
    <xf numFmtId="4" fontId="16" fillId="18" borderId="22" xfId="7" applyNumberFormat="1" applyFont="1" applyFill="1" applyBorder="1" applyAlignment="1">
      <alignment horizontal="right" vertical="center" wrapText="1"/>
    </xf>
    <xf numFmtId="0" fontId="12" fillId="18" borderId="27" xfId="7" applyFont="1" applyFill="1" applyBorder="1" applyAlignment="1">
      <alignment horizontal="center" vertical="center" wrapText="1"/>
    </xf>
    <xf numFmtId="0" fontId="16" fillId="18" borderId="29" xfId="7" applyFont="1" applyFill="1" applyBorder="1" applyAlignment="1">
      <alignment horizontal="center" vertical="center"/>
    </xf>
    <xf numFmtId="0" fontId="16" fillId="18" borderId="29" xfId="7" applyFont="1" applyFill="1" applyBorder="1" applyAlignment="1">
      <alignment horizontal="center" vertical="center" wrapText="1"/>
    </xf>
    <xf numFmtId="0" fontId="46" fillId="15" borderId="48" xfId="7" applyFont="1" applyFill="1" applyBorder="1" applyAlignment="1" applyProtection="1">
      <alignment horizontal="center" vertical="center" wrapText="1"/>
      <protection locked="0"/>
    </xf>
    <xf numFmtId="4" fontId="16" fillId="2" borderId="67" xfId="7" applyNumberFormat="1" applyFont="1" applyFill="1" applyBorder="1" applyAlignment="1">
      <alignment vertical="center" wrapText="1"/>
    </xf>
    <xf numFmtId="0" fontId="12" fillId="2" borderId="36" xfId="7" applyFont="1" applyFill="1" applyBorder="1" applyAlignment="1">
      <alignment horizontal="center" vertical="center" wrapText="1"/>
    </xf>
    <xf numFmtId="0" fontId="54" fillId="2" borderId="24" xfId="7" applyFont="1" applyFill="1" applyBorder="1" applyAlignment="1">
      <alignment horizontal="center" vertical="center" wrapText="1"/>
    </xf>
    <xf numFmtId="0" fontId="16" fillId="18" borderId="30" xfId="7" applyFont="1" applyFill="1" applyBorder="1" applyAlignment="1">
      <alignment horizontal="center" vertical="center" wrapText="1"/>
    </xf>
    <xf numFmtId="0" fontId="16" fillId="18" borderId="68" xfId="7" applyFont="1" applyFill="1" applyBorder="1" applyAlignment="1">
      <alignment horizontal="center" vertical="center" wrapText="1"/>
    </xf>
    <xf numFmtId="0" fontId="16" fillId="18" borderId="55" xfId="7" applyFont="1" applyFill="1" applyBorder="1" applyAlignment="1">
      <alignment horizontal="center" vertical="center" wrapText="1"/>
    </xf>
    <xf numFmtId="0" fontId="54" fillId="2" borderId="39" xfId="7" applyFont="1" applyFill="1" applyBorder="1" applyAlignment="1">
      <alignment horizontal="center" vertical="center" wrapText="1"/>
    </xf>
    <xf numFmtId="0" fontId="54" fillId="0" borderId="29" xfId="7" applyFont="1" applyBorder="1" applyAlignment="1">
      <alignment horizontal="center" vertical="center" wrapText="1"/>
    </xf>
    <xf numFmtId="0" fontId="16" fillId="18" borderId="29" xfId="7" applyFont="1" applyFill="1" applyBorder="1" applyAlignment="1">
      <alignment horizontal="left" vertical="center" wrapText="1"/>
    </xf>
    <xf numFmtId="4" fontId="16" fillId="18" borderId="29" xfId="7" applyNumberFormat="1" applyFont="1" applyFill="1" applyBorder="1" applyAlignment="1">
      <alignment vertical="center" wrapText="1"/>
    </xf>
    <xf numFmtId="0" fontId="12" fillId="18" borderId="29" xfId="7" applyFont="1" applyFill="1" applyBorder="1" applyAlignment="1">
      <alignment horizontal="center" vertical="center" wrapText="1"/>
    </xf>
    <xf numFmtId="0" fontId="16" fillId="18" borderId="29" xfId="16" applyFont="1" applyFill="1" applyBorder="1" applyAlignment="1">
      <alignment vertical="center" wrapText="1"/>
    </xf>
    <xf numFmtId="4" fontId="16" fillId="18" borderId="29" xfId="7" applyNumberFormat="1" applyFont="1" applyFill="1" applyBorder="1" applyAlignment="1">
      <alignment horizontal="right" vertical="center" wrapText="1"/>
    </xf>
    <xf numFmtId="0" fontId="16" fillId="0" borderId="29" xfId="7" applyFont="1" applyBorder="1" applyAlignment="1" applyProtection="1">
      <alignment horizontal="center" vertical="center" wrapText="1"/>
      <protection locked="0"/>
    </xf>
    <xf numFmtId="0" fontId="34" fillId="18" borderId="29" xfId="7" applyFont="1" applyFill="1" applyBorder="1" applyAlignment="1">
      <alignment horizontal="center" vertical="center" wrapText="1"/>
    </xf>
    <xf numFmtId="0" fontId="34" fillId="18" borderId="29" xfId="32" applyFont="1" applyFill="1" applyBorder="1" applyAlignment="1">
      <alignment vertical="center" wrapText="1"/>
    </xf>
    <xf numFmtId="4" fontId="34" fillId="18" borderId="29" xfId="7" applyNumberFormat="1" applyFont="1" applyFill="1" applyBorder="1" applyAlignment="1">
      <alignment horizontal="right" vertical="center" wrapText="1"/>
    </xf>
    <xf numFmtId="4" fontId="34" fillId="18" borderId="29" xfId="7" applyNumberFormat="1" applyFont="1" applyFill="1" applyBorder="1" applyAlignment="1">
      <alignment vertical="center" wrapText="1"/>
    </xf>
    <xf numFmtId="0" fontId="30" fillId="18" borderId="29" xfId="16" applyFont="1" applyFill="1" applyBorder="1" applyAlignment="1">
      <alignment horizontal="justify" vertical="center"/>
    </xf>
    <xf numFmtId="0" fontId="33" fillId="18" borderId="29" xfId="7" applyFont="1" applyFill="1" applyBorder="1" applyAlignment="1">
      <alignment horizontal="center" vertical="center" wrapText="1"/>
    </xf>
    <xf numFmtId="3" fontId="16" fillId="0" borderId="0" xfId="7" applyNumberFormat="1" applyFont="1" applyAlignment="1" applyProtection="1">
      <alignment horizontal="center" vertical="center"/>
      <protection locked="0"/>
    </xf>
    <xf numFmtId="0" fontId="16" fillId="18" borderId="30" xfId="7" applyFont="1" applyFill="1" applyBorder="1" applyAlignment="1" applyProtection="1">
      <alignment horizontal="left" vertical="center" wrapText="1"/>
      <protection locked="0"/>
    </xf>
    <xf numFmtId="0" fontId="16" fillId="0" borderId="28" xfId="7" applyFont="1" applyBorder="1" applyAlignment="1" applyProtection="1">
      <alignment horizontal="center" vertical="center" wrapText="1"/>
      <protection locked="0"/>
    </xf>
    <xf numFmtId="0" fontId="34" fillId="18" borderId="22" xfId="7" applyFont="1" applyFill="1" applyBorder="1" applyAlignment="1" applyProtection="1">
      <alignment horizontal="left" vertical="center" wrapText="1"/>
      <protection locked="0"/>
    </xf>
    <xf numFmtId="4" fontId="34" fillId="18" borderId="22" xfId="7" applyNumberFormat="1" applyFont="1" applyFill="1" applyBorder="1" applyAlignment="1">
      <alignment vertical="center" wrapText="1"/>
    </xf>
    <xf numFmtId="4" fontId="34" fillId="18" borderId="22" xfId="7" applyNumberFormat="1" applyFont="1" applyFill="1" applyBorder="1" applyAlignment="1">
      <alignment horizontal="right" vertical="center" wrapText="1"/>
    </xf>
    <xf numFmtId="0" fontId="38" fillId="18" borderId="27" xfId="7" applyFont="1" applyFill="1" applyBorder="1" applyAlignment="1">
      <alignment horizontal="center" vertical="center" wrapText="1"/>
    </xf>
    <xf numFmtId="0" fontId="16" fillId="18" borderId="29" xfId="32" applyFont="1" applyFill="1" applyBorder="1" applyAlignment="1">
      <alignment vertical="center" wrapText="1"/>
    </xf>
    <xf numFmtId="4" fontId="16" fillId="18" borderId="29" xfId="7" applyNumberFormat="1" applyFont="1" applyFill="1" applyBorder="1" applyAlignment="1">
      <alignment vertical="center"/>
    </xf>
    <xf numFmtId="0" fontId="50" fillId="0" borderId="40" xfId="7" applyFont="1" applyBorder="1" applyAlignment="1" applyProtection="1">
      <alignment horizontal="center" vertical="center" wrapText="1"/>
      <protection locked="0"/>
    </xf>
    <xf numFmtId="0" fontId="16" fillId="18" borderId="22" xfId="7" applyFont="1" applyFill="1" applyBorder="1" applyAlignment="1">
      <alignment horizontal="left" vertical="center" wrapText="1"/>
    </xf>
    <xf numFmtId="0" fontId="16" fillId="18" borderId="28" xfId="7" applyFont="1" applyFill="1" applyBorder="1" applyAlignment="1" applyProtection="1">
      <alignment horizontal="center" vertical="center" wrapText="1"/>
      <protection locked="0"/>
    </xf>
    <xf numFmtId="0" fontId="30" fillId="18" borderId="22" xfId="16" applyFont="1" applyFill="1" applyBorder="1" applyAlignment="1">
      <alignment horizontal="left" vertical="center" wrapText="1"/>
    </xf>
    <xf numFmtId="0" fontId="16" fillId="15" borderId="20" xfId="7" applyFont="1" applyFill="1" applyBorder="1" applyAlignment="1" applyProtection="1">
      <alignment horizontal="center" vertical="center" wrapText="1"/>
      <protection locked="0"/>
    </xf>
    <xf numFmtId="0" fontId="12" fillId="19" borderId="71" xfId="7" applyFont="1" applyFill="1" applyBorder="1" applyAlignment="1">
      <alignment horizontal="center" vertical="center" wrapText="1"/>
    </xf>
    <xf numFmtId="0" fontId="12" fillId="19" borderId="72" xfId="7" applyFont="1" applyFill="1" applyBorder="1" applyAlignment="1">
      <alignment horizontal="center" vertical="center" wrapText="1"/>
    </xf>
    <xf numFmtId="0" fontId="12" fillId="19" borderId="73" xfId="7" applyFont="1" applyFill="1" applyBorder="1" applyAlignment="1">
      <alignment horizontal="center" vertical="center" wrapText="1"/>
    </xf>
    <xf numFmtId="0" fontId="11" fillId="16" borderId="29" xfId="7" applyFont="1" applyFill="1" applyBorder="1" applyAlignment="1">
      <alignment horizontal="center" vertical="center" wrapText="1"/>
    </xf>
    <xf numFmtId="3" fontId="11" fillId="16" borderId="29" xfId="7" applyNumberFormat="1" applyFont="1" applyFill="1" applyBorder="1" applyAlignment="1">
      <alignment horizontal="right" vertical="center" wrapText="1"/>
    </xf>
    <xf numFmtId="0" fontId="46" fillId="0" borderId="0" xfId="7" applyFont="1"/>
    <xf numFmtId="0" fontId="14" fillId="16" borderId="0" xfId="7" applyFill="1"/>
    <xf numFmtId="3" fontId="12" fillId="19" borderId="29" xfId="7" applyNumberFormat="1" applyFont="1" applyFill="1" applyBorder="1" applyAlignment="1">
      <alignment horizontal="right" vertical="center" wrapText="1"/>
    </xf>
    <xf numFmtId="0" fontId="45" fillId="20" borderId="29" xfId="7" applyFont="1" applyFill="1" applyBorder="1" applyAlignment="1">
      <alignment horizontal="center" vertical="center" wrapText="1"/>
    </xf>
    <xf numFmtId="3" fontId="45" fillId="20" borderId="29" xfId="7" applyNumberFormat="1" applyFont="1" applyFill="1" applyBorder="1" applyAlignment="1">
      <alignment horizontal="right" vertical="center" wrapText="1"/>
    </xf>
    <xf numFmtId="0" fontId="59" fillId="0" borderId="0" xfId="0" applyFont="1" applyAlignment="1">
      <alignment wrapText="1"/>
    </xf>
    <xf numFmtId="0" fontId="43" fillId="0" borderId="5" xfId="11" applyFont="1" applyBorder="1" applyAlignment="1">
      <alignment vertical="center" wrapText="1"/>
    </xf>
    <xf numFmtId="3" fontId="44" fillId="0" borderId="10" xfId="11" applyNumberFormat="1" applyFont="1" applyBorder="1" applyAlignment="1">
      <alignment vertical="center"/>
    </xf>
    <xf numFmtId="0" fontId="45" fillId="0" borderId="10" xfId="7" applyFont="1" applyBorder="1" applyAlignment="1">
      <alignment horizontal="center" vertical="center"/>
    </xf>
    <xf numFmtId="0" fontId="45" fillId="0" borderId="10" xfId="7" applyFont="1" applyBorder="1" applyAlignment="1">
      <alignment vertical="center" wrapText="1"/>
    </xf>
    <xf numFmtId="4" fontId="23" fillId="0" borderId="10" xfId="7" applyNumberFormat="1" applyFont="1" applyBorder="1" applyAlignment="1">
      <alignment horizontal="center" vertical="center"/>
    </xf>
    <xf numFmtId="4" fontId="11" fillId="0" borderId="10" xfId="7" applyNumberFormat="1" applyFont="1" applyBorder="1" applyAlignment="1">
      <alignment horizontal="right" vertical="center"/>
    </xf>
    <xf numFmtId="4" fontId="23" fillId="0" borderId="10" xfId="7" applyNumberFormat="1" applyFont="1" applyBorder="1" applyAlignment="1">
      <alignment vertical="center"/>
    </xf>
    <xf numFmtId="4" fontId="11" fillId="0" borderId="10" xfId="7" applyNumberFormat="1" applyFont="1" applyBorder="1" applyAlignment="1">
      <alignment vertical="center"/>
    </xf>
    <xf numFmtId="4" fontId="44" fillId="0" borderId="10" xfId="7" applyNumberFormat="1" applyFont="1" applyBorder="1" applyAlignment="1">
      <alignment vertical="center"/>
    </xf>
    <xf numFmtId="4" fontId="45" fillId="0" borderId="10" xfId="7" applyNumberFormat="1" applyFont="1" applyBorder="1" applyAlignment="1">
      <alignment vertical="center"/>
    </xf>
    <xf numFmtId="4" fontId="23" fillId="0" borderId="10" xfId="7" applyNumberFormat="1" applyFont="1" applyBorder="1" applyAlignment="1">
      <alignment vertical="center" wrapText="1"/>
    </xf>
    <xf numFmtId="4" fontId="11" fillId="0" borderId="10" xfId="7" applyNumberFormat="1" applyFont="1" applyBorder="1" applyAlignment="1">
      <alignment horizontal="right" vertical="center" wrapText="1"/>
    </xf>
    <xf numFmtId="4" fontId="11" fillId="0" borderId="10" xfId="7" applyNumberFormat="1" applyFont="1" applyBorder="1" applyAlignment="1">
      <alignment vertical="center" wrapText="1"/>
    </xf>
    <xf numFmtId="4" fontId="23" fillId="0" borderId="10" xfId="7" applyNumberFormat="1" applyFont="1" applyBorder="1" applyAlignment="1">
      <alignment horizontal="right" vertical="center" wrapText="1"/>
    </xf>
    <xf numFmtId="4" fontId="45" fillId="0" borderId="10" xfId="7" applyNumberFormat="1" applyFont="1" applyBorder="1" applyAlignment="1">
      <alignment vertical="center" wrapText="1"/>
    </xf>
    <xf numFmtId="0" fontId="42" fillId="9" borderId="12" xfId="26" applyFont="1" applyFill="1" applyBorder="1" applyAlignment="1">
      <alignment horizontal="center" vertical="center" wrapText="1"/>
    </xf>
    <xf numFmtId="0" fontId="42" fillId="9" borderId="12" xfId="26" applyFont="1" applyFill="1" applyBorder="1" applyAlignment="1">
      <alignment horizontal="left" vertical="center" wrapText="1"/>
    </xf>
    <xf numFmtId="39" fontId="42" fillId="9" borderId="12" xfId="26" applyNumberFormat="1" applyFont="1" applyFill="1" applyBorder="1" applyAlignment="1">
      <alignment horizontal="right" vertical="center" wrapText="1"/>
    </xf>
    <xf numFmtId="0" fontId="40" fillId="6" borderId="12" xfId="26" applyFont="1" applyFill="1" applyBorder="1" applyAlignment="1">
      <alignment horizontal="center" vertical="center" wrapText="1"/>
    </xf>
    <xf numFmtId="0" fontId="40" fillId="6" borderId="12" xfId="26" applyFont="1" applyFill="1" applyBorder="1" applyAlignment="1">
      <alignment horizontal="left" vertical="center" wrapText="1"/>
    </xf>
    <xf numFmtId="39" fontId="40" fillId="6" borderId="12" xfId="26" applyNumberFormat="1" applyFont="1" applyFill="1" applyBorder="1" applyAlignment="1">
      <alignment horizontal="right" vertical="center" wrapText="1"/>
    </xf>
    <xf numFmtId="0" fontId="35" fillId="0" borderId="0" xfId="2" applyFont="1"/>
    <xf numFmtId="0" fontId="38" fillId="8" borderId="10" xfId="2" applyFont="1" applyFill="1" applyBorder="1" applyAlignment="1">
      <alignment horizontal="center" vertical="center"/>
    </xf>
    <xf numFmtId="0" fontId="35" fillId="0" borderId="0" xfId="2" applyFont="1" applyAlignment="1">
      <alignment vertical="center"/>
    </xf>
    <xf numFmtId="0" fontId="38" fillId="9" borderId="10" xfId="2" applyFont="1" applyFill="1" applyBorder="1" applyAlignment="1">
      <alignment horizontal="center" vertical="center"/>
    </xf>
    <xf numFmtId="0" fontId="38" fillId="9" borderId="10" xfId="2" applyFont="1" applyFill="1" applyBorder="1" applyAlignment="1">
      <alignment vertical="center" wrapText="1"/>
    </xf>
    <xf numFmtId="3" fontId="12" fillId="9" borderId="10" xfId="2" applyNumberFormat="1" applyFont="1" applyFill="1" applyBorder="1" applyAlignment="1">
      <alignment vertical="center"/>
    </xf>
    <xf numFmtId="0" fontId="38" fillId="0" borderId="0" xfId="2" applyFont="1" applyAlignment="1">
      <alignment vertical="center"/>
    </xf>
    <xf numFmtId="0" fontId="35" fillId="6" borderId="10" xfId="2" applyFont="1" applyFill="1" applyBorder="1" applyAlignment="1">
      <alignment horizontal="center" vertical="center"/>
    </xf>
    <xf numFmtId="0" fontId="35" fillId="6" borderId="10" xfId="2" applyFont="1" applyFill="1" applyBorder="1" applyAlignment="1">
      <alignment vertical="center" wrapText="1"/>
    </xf>
    <xf numFmtId="3" fontId="11" fillId="6" borderId="10" xfId="2" applyNumberFormat="1" applyFont="1" applyFill="1" applyBorder="1" applyAlignment="1">
      <alignment vertical="center"/>
    </xf>
    <xf numFmtId="0" fontId="35" fillId="0" borderId="10" xfId="2" applyFont="1" applyBorder="1" applyAlignment="1">
      <alignment horizontal="center" vertical="center"/>
    </xf>
    <xf numFmtId="0" fontId="35" fillId="0" borderId="10" xfId="2" applyFont="1" applyBorder="1" applyAlignment="1">
      <alignment vertical="center" wrapText="1"/>
    </xf>
    <xf numFmtId="3" fontId="11" fillId="0" borderId="10" xfId="2" applyNumberFormat="1" applyFont="1" applyBorder="1" applyAlignment="1">
      <alignment vertical="center"/>
    </xf>
    <xf numFmtId="0" fontId="11" fillId="6" borderId="10" xfId="2" applyFont="1" applyFill="1" applyBorder="1" applyAlignment="1">
      <alignment horizontal="center" vertical="center"/>
    </xf>
    <xf numFmtId="0" fontId="11" fillId="6" borderId="10" xfId="2" applyFont="1" applyFill="1" applyBorder="1" applyAlignment="1">
      <alignment horizontal="left" vertical="center"/>
    </xf>
    <xf numFmtId="3" fontId="11" fillId="6" borderId="10" xfId="2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11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vertical="center" wrapText="1"/>
    </xf>
    <xf numFmtId="0" fontId="23" fillId="0" borderId="10" xfId="2" applyFont="1" applyBorder="1" applyAlignment="1">
      <alignment horizontal="center" vertical="center"/>
    </xf>
    <xf numFmtId="0" fontId="11" fillId="0" borderId="10" xfId="10" applyFont="1" applyBorder="1" applyAlignment="1">
      <alignment vertical="center" wrapText="1"/>
    </xf>
    <xf numFmtId="0" fontId="38" fillId="9" borderId="10" xfId="10" applyFont="1" applyFill="1" applyBorder="1" applyAlignment="1">
      <alignment vertical="center" wrapText="1"/>
    </xf>
    <xf numFmtId="0" fontId="35" fillId="6" borderId="10" xfId="10" applyFont="1" applyFill="1" applyBorder="1" applyAlignment="1">
      <alignment vertical="center" wrapText="1"/>
    </xf>
    <xf numFmtId="0" fontId="35" fillId="0" borderId="10" xfId="10" applyFont="1" applyBorder="1" applyAlignment="1">
      <alignment vertical="center" wrapText="1"/>
    </xf>
    <xf numFmtId="3" fontId="12" fillId="8" borderId="10" xfId="2" applyNumberFormat="1" applyFont="1" applyFill="1" applyBorder="1" applyAlignment="1">
      <alignment vertical="center"/>
    </xf>
    <xf numFmtId="0" fontId="35" fillId="0" borderId="0" xfId="2" applyFont="1" applyAlignment="1">
      <alignment horizontal="center"/>
    </xf>
    <xf numFmtId="4" fontId="16" fillId="2" borderId="65" xfId="7" applyNumberFormat="1" applyFont="1" applyFill="1" applyBorder="1" applyAlignment="1">
      <alignment vertical="center" wrapText="1"/>
    </xf>
    <xf numFmtId="4" fontId="16" fillId="2" borderId="16" xfId="7" applyNumberFormat="1" applyFont="1" applyFill="1" applyBorder="1" applyAlignment="1">
      <alignment vertical="center" wrapText="1"/>
    </xf>
    <xf numFmtId="0" fontId="12" fillId="2" borderId="19" xfId="7" applyFont="1" applyFill="1" applyBorder="1" applyAlignment="1">
      <alignment horizontal="center" vertical="center" wrapText="1"/>
    </xf>
    <xf numFmtId="4" fontId="16" fillId="2" borderId="29" xfId="7" applyNumberFormat="1" applyFont="1" applyFill="1" applyBorder="1" applyAlignment="1">
      <alignment vertical="center" wrapText="1"/>
    </xf>
    <xf numFmtId="0" fontId="14" fillId="0" borderId="76" xfId="7" applyBorder="1" applyAlignment="1" applyProtection="1">
      <alignment horizontal="center" vertical="center" wrapText="1"/>
      <protection locked="0"/>
    </xf>
    <xf numFmtId="0" fontId="54" fillId="18" borderId="29" xfId="7" applyFont="1" applyFill="1" applyBorder="1" applyAlignment="1">
      <alignment horizontal="center" vertical="center" wrapText="1"/>
    </xf>
    <xf numFmtId="4" fontId="60" fillId="0" borderId="10" xfId="7" applyNumberFormat="1" applyFont="1" applyBorder="1" applyAlignment="1">
      <alignment vertical="center" wrapText="1"/>
    </xf>
    <xf numFmtId="0" fontId="61" fillId="0" borderId="0" xfId="7" applyFont="1" applyAlignment="1">
      <alignment vertical="center"/>
    </xf>
    <xf numFmtId="0" fontId="16" fillId="2" borderId="67" xfId="7" applyFont="1" applyFill="1" applyBorder="1" applyAlignment="1">
      <alignment horizontal="center" vertical="center" wrapText="1"/>
    </xf>
    <xf numFmtId="0" fontId="46" fillId="15" borderId="31" xfId="7" applyFont="1" applyFill="1" applyBorder="1" applyAlignment="1" applyProtection="1">
      <alignment horizontal="center" vertical="center" wrapText="1"/>
      <protection locked="0"/>
    </xf>
    <xf numFmtId="0" fontId="46" fillId="15" borderId="26" xfId="7" applyFont="1" applyFill="1" applyBorder="1" applyAlignment="1" applyProtection="1">
      <alignment horizontal="center" vertical="center" wrapText="1"/>
      <protection locked="0"/>
    </xf>
    <xf numFmtId="0" fontId="16" fillId="15" borderId="31" xfId="7" applyFont="1" applyFill="1" applyBorder="1" applyAlignment="1" applyProtection="1">
      <alignment horizontal="center" vertical="center" wrapText="1"/>
      <protection locked="0"/>
    </xf>
    <xf numFmtId="0" fontId="16" fillId="15" borderId="50" xfId="7" applyFont="1" applyFill="1" applyBorder="1" applyAlignment="1" applyProtection="1">
      <alignment horizontal="center" vertical="center" wrapText="1"/>
      <protection locked="0"/>
    </xf>
    <xf numFmtId="0" fontId="16" fillId="18" borderId="31" xfId="7" applyFont="1" applyFill="1" applyBorder="1" applyAlignment="1">
      <alignment horizontal="center" vertical="center"/>
    </xf>
    <xf numFmtId="0" fontId="16" fillId="18" borderId="26" xfId="7" applyFont="1" applyFill="1" applyBorder="1" applyAlignment="1">
      <alignment horizontal="center" vertical="center"/>
    </xf>
    <xf numFmtId="0" fontId="22" fillId="14" borderId="43" xfId="7" applyFont="1" applyFill="1" applyBorder="1" applyAlignment="1">
      <alignment horizontal="center" vertical="center"/>
    </xf>
    <xf numFmtId="0" fontId="22" fillId="14" borderId="44" xfId="7" applyFont="1" applyFill="1" applyBorder="1" applyAlignment="1">
      <alignment horizontal="center" vertical="center"/>
    </xf>
    <xf numFmtId="0" fontId="22" fillId="14" borderId="45" xfId="7" applyFont="1" applyFill="1" applyBorder="1" applyAlignment="1">
      <alignment horizontal="center" vertical="center"/>
    </xf>
    <xf numFmtId="0" fontId="16" fillId="0" borderId="41" xfId="7" applyFont="1" applyBorder="1" applyAlignment="1">
      <alignment horizontal="center" vertical="center"/>
    </xf>
    <xf numFmtId="0" fontId="16" fillId="0" borderId="42" xfId="7" applyFont="1" applyBorder="1" applyAlignment="1">
      <alignment horizontal="center" vertical="center"/>
    </xf>
    <xf numFmtId="0" fontId="16" fillId="15" borderId="26" xfId="7" applyFont="1" applyFill="1" applyBorder="1" applyAlignment="1" applyProtection="1">
      <alignment horizontal="center" vertical="center" wrapText="1"/>
      <protection locked="0"/>
    </xf>
    <xf numFmtId="0" fontId="46" fillId="0" borderId="31" xfId="7" applyFont="1" applyBorder="1" applyAlignment="1">
      <alignment horizontal="center" vertical="center"/>
    </xf>
    <xf numFmtId="0" fontId="46" fillId="0" borderId="26" xfId="7" applyFont="1" applyBorder="1" applyAlignment="1">
      <alignment horizontal="center" vertical="center"/>
    </xf>
    <xf numFmtId="0" fontId="22" fillId="14" borderId="36" xfId="7" applyFont="1" applyFill="1" applyBorder="1" applyAlignment="1">
      <alignment horizontal="center" vertical="center"/>
    </xf>
    <xf numFmtId="0" fontId="22" fillId="14" borderId="0" xfId="7" applyFont="1" applyFill="1" applyAlignment="1">
      <alignment horizontal="center" vertical="center"/>
    </xf>
    <xf numFmtId="0" fontId="22" fillId="14" borderId="37" xfId="7" applyFont="1" applyFill="1" applyBorder="1" applyAlignment="1">
      <alignment horizontal="center" vertical="center"/>
    </xf>
    <xf numFmtId="0" fontId="22" fillId="14" borderId="21" xfId="7" applyFont="1" applyFill="1" applyBorder="1" applyAlignment="1">
      <alignment horizontal="center" vertical="center"/>
    </xf>
    <xf numFmtId="0" fontId="22" fillId="14" borderId="22" xfId="7" applyFont="1" applyFill="1" applyBorder="1" applyAlignment="1">
      <alignment horizontal="center" vertical="center"/>
    </xf>
    <xf numFmtId="0" fontId="34" fillId="18" borderId="31" xfId="7" applyFont="1" applyFill="1" applyBorder="1" applyAlignment="1">
      <alignment horizontal="center" vertical="center"/>
    </xf>
    <xf numFmtId="0" fontId="34" fillId="18" borderId="26" xfId="7" applyFont="1" applyFill="1" applyBorder="1" applyAlignment="1">
      <alignment horizontal="center" vertical="center"/>
    </xf>
    <xf numFmtId="0" fontId="16" fillId="0" borderId="31" xfId="7" applyFont="1" applyBorder="1" applyAlignment="1">
      <alignment horizontal="center" vertical="center"/>
    </xf>
    <xf numFmtId="0" fontId="16" fillId="0" borderId="26" xfId="7" applyFont="1" applyBorder="1" applyAlignment="1">
      <alignment horizontal="center" vertical="center"/>
    </xf>
    <xf numFmtId="0" fontId="22" fillId="14" borderId="31" xfId="7" applyFont="1" applyFill="1" applyBorder="1" applyAlignment="1">
      <alignment horizontal="center" vertical="center"/>
    </xf>
    <xf numFmtId="0" fontId="22" fillId="14" borderId="30" xfId="7" applyFont="1" applyFill="1" applyBorder="1" applyAlignment="1">
      <alignment horizontal="center" vertical="center"/>
    </xf>
    <xf numFmtId="0" fontId="22" fillId="14" borderId="38" xfId="7" applyFont="1" applyFill="1" applyBorder="1" applyAlignment="1">
      <alignment horizontal="center" vertical="center"/>
    </xf>
    <xf numFmtId="166" fontId="15" fillId="17" borderId="51" xfId="8" applyNumberFormat="1" applyFont="1" applyFill="1" applyBorder="1" applyAlignment="1">
      <alignment horizontal="center" vertical="center" wrapText="1"/>
    </xf>
    <xf numFmtId="166" fontId="15" fillId="17" borderId="52" xfId="8" applyNumberFormat="1" applyFont="1" applyFill="1" applyBorder="1" applyAlignment="1">
      <alignment horizontal="center" vertical="center" wrapText="1"/>
    </xf>
    <xf numFmtId="166" fontId="15" fillId="17" borderId="53" xfId="8" applyNumberFormat="1" applyFont="1" applyFill="1" applyBorder="1" applyAlignment="1">
      <alignment horizontal="center" vertical="center" wrapText="1"/>
    </xf>
    <xf numFmtId="0" fontId="34" fillId="18" borderId="41" xfId="7" applyFont="1" applyFill="1" applyBorder="1" applyAlignment="1">
      <alignment horizontal="center" vertical="center"/>
    </xf>
    <xf numFmtId="0" fontId="34" fillId="18" borderId="42" xfId="7" applyFont="1" applyFill="1" applyBorder="1" applyAlignment="1">
      <alignment horizontal="center" vertical="center"/>
    </xf>
    <xf numFmtId="0" fontId="38" fillId="18" borderId="40" xfId="7" applyFont="1" applyFill="1" applyBorder="1" applyAlignment="1">
      <alignment horizontal="center" vertical="center" wrapText="1"/>
    </xf>
    <xf numFmtId="0" fontId="38" fillId="18" borderId="42" xfId="7" applyFont="1" applyFill="1" applyBorder="1" applyAlignment="1">
      <alignment horizontal="center" vertical="center" wrapText="1"/>
    </xf>
    <xf numFmtId="0" fontId="16" fillId="18" borderId="41" xfId="7" applyFont="1" applyFill="1" applyBorder="1" applyAlignment="1">
      <alignment horizontal="center" vertical="center"/>
    </xf>
    <xf numFmtId="0" fontId="16" fillId="18" borderId="42" xfId="7" applyFont="1" applyFill="1" applyBorder="1" applyAlignment="1">
      <alignment horizontal="center" vertical="center"/>
    </xf>
    <xf numFmtId="0" fontId="16" fillId="2" borderId="46" xfId="7" applyFont="1" applyFill="1" applyBorder="1" applyAlignment="1">
      <alignment horizontal="center" vertical="center" wrapText="1"/>
    </xf>
    <xf numFmtId="0" fontId="16" fillId="2" borderId="38" xfId="7" applyFont="1" applyFill="1" applyBorder="1" applyAlignment="1">
      <alignment horizontal="center" vertical="center" wrapText="1"/>
    </xf>
    <xf numFmtId="0" fontId="16" fillId="2" borderId="36" xfId="7" applyFont="1" applyFill="1" applyBorder="1" applyAlignment="1">
      <alignment horizontal="center" vertical="center" wrapText="1"/>
    </xf>
    <xf numFmtId="0" fontId="16" fillId="2" borderId="0" xfId="7" applyFont="1" applyFill="1" applyAlignment="1">
      <alignment horizontal="center" vertical="center" wrapText="1"/>
    </xf>
    <xf numFmtId="0" fontId="16" fillId="2" borderId="37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6" fillId="2" borderId="30" xfId="7" applyFont="1" applyFill="1" applyBorder="1" applyAlignment="1">
      <alignment horizontal="center" vertical="center" wrapText="1"/>
    </xf>
    <xf numFmtId="0" fontId="16" fillId="2" borderId="49" xfId="7" applyFont="1" applyFill="1" applyBorder="1" applyAlignment="1">
      <alignment horizontal="center" vertical="center" wrapText="1"/>
    </xf>
    <xf numFmtId="0" fontId="16" fillId="0" borderId="31" xfId="7" applyFont="1" applyBorder="1" applyAlignment="1">
      <alignment horizontal="center" vertical="center" wrapText="1"/>
    </xf>
    <xf numFmtId="0" fontId="16" fillId="0" borderId="46" xfId="7" applyFont="1" applyBorder="1" applyAlignment="1">
      <alignment horizontal="center" vertical="center" wrapText="1"/>
    </xf>
    <xf numFmtId="0" fontId="16" fillId="2" borderId="43" xfId="7" applyFont="1" applyFill="1" applyBorder="1" applyAlignment="1">
      <alignment horizontal="center" vertical="center" wrapText="1"/>
    </xf>
    <xf numFmtId="0" fontId="16" fillId="2" borderId="44" xfId="7" applyFont="1" applyFill="1" applyBorder="1" applyAlignment="1">
      <alignment horizontal="center" vertical="center" wrapText="1"/>
    </xf>
    <xf numFmtId="0" fontId="16" fillId="2" borderId="45" xfId="7" applyFont="1" applyFill="1" applyBorder="1" applyAlignment="1">
      <alignment horizontal="center" vertical="center" wrapText="1"/>
    </xf>
    <xf numFmtId="0" fontId="16" fillId="2" borderId="56" xfId="7" applyFont="1" applyFill="1" applyBorder="1" applyAlignment="1">
      <alignment horizontal="center" vertical="center" wrapText="1"/>
    </xf>
    <xf numFmtId="0" fontId="16" fillId="2" borderId="16" xfId="7" applyFont="1" applyFill="1" applyBorder="1" applyAlignment="1">
      <alignment horizontal="center" vertical="center" wrapText="1"/>
    </xf>
    <xf numFmtId="0" fontId="16" fillId="2" borderId="19" xfId="7" applyFont="1" applyFill="1" applyBorder="1" applyAlignment="1">
      <alignment horizontal="center" vertical="center" wrapText="1"/>
    </xf>
    <xf numFmtId="0" fontId="16" fillId="2" borderId="41" xfId="7" applyFont="1" applyFill="1" applyBorder="1" applyAlignment="1">
      <alignment horizontal="center" vertical="center" wrapText="1"/>
    </xf>
    <xf numFmtId="0" fontId="46" fillId="2" borderId="20" xfId="7" applyFont="1" applyFill="1" applyBorder="1" applyAlignment="1" applyProtection="1">
      <alignment horizontal="center" vertical="center" wrapText="1"/>
      <protection locked="0"/>
    </xf>
    <xf numFmtId="0" fontId="46" fillId="2" borderId="25" xfId="7" applyFont="1" applyFill="1" applyBorder="1" applyAlignment="1" applyProtection="1">
      <alignment horizontal="center" vertical="center" wrapText="1"/>
      <protection locked="0"/>
    </xf>
    <xf numFmtId="0" fontId="16" fillId="2" borderId="61" xfId="7" applyFont="1" applyFill="1" applyBorder="1" applyAlignment="1">
      <alignment horizontal="center" vertical="center" wrapText="1"/>
    </xf>
    <xf numFmtId="0" fontId="16" fillId="2" borderId="62" xfId="7" applyFont="1" applyFill="1" applyBorder="1" applyAlignment="1">
      <alignment horizontal="center" vertical="center" wrapText="1"/>
    </xf>
    <xf numFmtId="0" fontId="16" fillId="2" borderId="63" xfId="7" applyFont="1" applyFill="1" applyBorder="1" applyAlignment="1">
      <alignment horizontal="center" vertical="center" wrapText="1"/>
    </xf>
    <xf numFmtId="0" fontId="15" fillId="0" borderId="0" xfId="7" applyFont="1" applyAlignment="1">
      <alignment horizontal="center"/>
    </xf>
    <xf numFmtId="0" fontId="16" fillId="2" borderId="14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0" fontId="16" fillId="2" borderId="22" xfId="7" applyFont="1" applyFill="1" applyBorder="1" applyAlignment="1">
      <alignment horizontal="center" vertical="center" wrapText="1"/>
    </xf>
    <xf numFmtId="0" fontId="16" fillId="13" borderId="15" xfId="7" applyFont="1" applyFill="1" applyBorder="1" applyAlignment="1">
      <alignment horizontal="center" vertical="center" wrapText="1"/>
    </xf>
    <xf numFmtId="0" fontId="16" fillId="13" borderId="22" xfId="7" applyFont="1" applyFill="1" applyBorder="1" applyAlignment="1">
      <alignment horizontal="center" vertical="center" wrapText="1"/>
    </xf>
    <xf numFmtId="0" fontId="16" fillId="13" borderId="16" xfId="7" applyFont="1" applyFill="1" applyBorder="1" applyAlignment="1">
      <alignment horizontal="center" vertical="center" wrapText="1"/>
    </xf>
    <xf numFmtId="0" fontId="16" fillId="13" borderId="23" xfId="7" applyFont="1" applyFill="1" applyBorder="1" applyAlignment="1">
      <alignment horizontal="center" vertical="center" wrapText="1"/>
    </xf>
    <xf numFmtId="0" fontId="16" fillId="13" borderId="17" xfId="7" applyFont="1" applyFill="1" applyBorder="1" applyAlignment="1">
      <alignment horizontal="center" vertical="center" wrapText="1"/>
    </xf>
    <xf numFmtId="0" fontId="16" fillId="13" borderId="18" xfId="7" applyFont="1" applyFill="1" applyBorder="1" applyAlignment="1">
      <alignment horizontal="center" vertical="center" wrapText="1"/>
    </xf>
    <xf numFmtId="0" fontId="12" fillId="13" borderId="19" xfId="7" applyFont="1" applyFill="1" applyBorder="1" applyAlignment="1">
      <alignment horizontal="center" vertical="center" wrapText="1"/>
    </xf>
    <xf numFmtId="0" fontId="12" fillId="13" borderId="24" xfId="7" applyFont="1" applyFill="1" applyBorder="1" applyAlignment="1">
      <alignment horizontal="center" vertical="center" wrapText="1"/>
    </xf>
    <xf numFmtId="0" fontId="15" fillId="0" borderId="0" xfId="9" applyFont="1" applyAlignment="1">
      <alignment horizontal="center" vertical="center"/>
    </xf>
    <xf numFmtId="0" fontId="16" fillId="3" borderId="6" xfId="9" applyFont="1" applyFill="1" applyBorder="1" applyAlignment="1">
      <alignment horizontal="center" vertical="center"/>
    </xf>
    <xf numFmtId="0" fontId="16" fillId="3" borderId="2" xfId="9" applyFont="1" applyFill="1" applyBorder="1" applyAlignment="1">
      <alignment horizontal="center" vertical="center"/>
    </xf>
    <xf numFmtId="0" fontId="26" fillId="0" borderId="9" xfId="0" applyFont="1" applyBorder="1" applyAlignment="1">
      <alignment horizontal="left" vertical="center" wrapText="1" readingOrder="1"/>
    </xf>
    <xf numFmtId="49" fontId="38" fillId="0" borderId="0" xfId="10" applyNumberFormat="1" applyFont="1" applyAlignment="1">
      <alignment horizontal="center" vertical="center" wrapText="1"/>
    </xf>
    <xf numFmtId="0" fontId="42" fillId="8" borderId="12" xfId="26" applyFont="1" applyFill="1" applyBorder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0" fontId="38" fillId="8" borderId="74" xfId="2" applyFont="1" applyFill="1" applyBorder="1" applyAlignment="1">
      <alignment horizontal="center" vertical="center" wrapText="1"/>
    </xf>
    <xf numFmtId="0" fontId="38" fillId="8" borderId="11" xfId="2" applyFont="1" applyFill="1" applyBorder="1" applyAlignment="1">
      <alignment horizontal="center" vertical="center" wrapText="1"/>
    </xf>
    <xf numFmtId="0" fontId="38" fillId="8" borderId="75" xfId="2" applyFont="1" applyFill="1" applyBorder="1" applyAlignment="1">
      <alignment horizontal="center" vertical="center" wrapText="1"/>
    </xf>
    <xf numFmtId="0" fontId="34" fillId="0" borderId="0" xfId="11" applyFont="1" applyAlignment="1">
      <alignment horizontal="center" vertical="center" wrapText="1"/>
    </xf>
    <xf numFmtId="0" fontId="38" fillId="10" borderId="6" xfId="11" applyFont="1" applyFill="1" applyBorder="1" applyAlignment="1">
      <alignment horizontal="center" vertical="center" wrapText="1"/>
    </xf>
    <xf numFmtId="0" fontId="38" fillId="10" borderId="11" xfId="11" applyFont="1" applyFill="1" applyBorder="1" applyAlignment="1">
      <alignment horizontal="center" vertical="center" wrapText="1"/>
    </xf>
    <xf numFmtId="0" fontId="38" fillId="10" borderId="2" xfId="11" applyFont="1" applyFill="1" applyBorder="1" applyAlignment="1">
      <alignment horizontal="center" vertical="center" wrapText="1"/>
    </xf>
    <xf numFmtId="0" fontId="12" fillId="6" borderId="10" xfId="7" applyFont="1" applyFill="1" applyBorder="1" applyAlignment="1">
      <alignment horizontal="center" vertical="center" wrapText="1"/>
    </xf>
    <xf numFmtId="0" fontId="12" fillId="2" borderId="10" xfId="7" applyFont="1" applyFill="1" applyBorder="1" applyAlignment="1">
      <alignment horizontal="center" vertical="center"/>
    </xf>
    <xf numFmtId="44" fontId="12" fillId="2" borderId="10" xfId="12" applyFont="1" applyFill="1" applyBorder="1" applyAlignment="1">
      <alignment horizontal="center" vertical="center"/>
    </xf>
    <xf numFmtId="44" fontId="15" fillId="7" borderId="10" xfId="12" applyFont="1" applyFill="1" applyBorder="1" applyAlignment="1">
      <alignment horizontal="center"/>
    </xf>
    <xf numFmtId="0" fontId="22" fillId="0" borderId="0" xfId="7" applyFont="1" applyAlignment="1">
      <alignment horizontal="center" vertical="center" wrapText="1"/>
    </xf>
    <xf numFmtId="0" fontId="12" fillId="19" borderId="43" xfId="7" applyFont="1" applyFill="1" applyBorder="1" applyAlignment="1">
      <alignment horizontal="center" vertical="center" wrapText="1"/>
    </xf>
    <xf numFmtId="0" fontId="12" fillId="19" borderId="44" xfId="7" applyFont="1" applyFill="1" applyBorder="1" applyAlignment="1">
      <alignment horizontal="center" vertical="center" wrapText="1"/>
    </xf>
    <xf numFmtId="0" fontId="12" fillId="19" borderId="45" xfId="7" applyFont="1" applyFill="1" applyBorder="1" applyAlignment="1">
      <alignment horizontal="center" vertical="center" wrapText="1"/>
    </xf>
    <xf numFmtId="0" fontId="15" fillId="0" borderId="0" xfId="7" applyFont="1" applyAlignment="1">
      <alignment horizontal="center" vertical="center" wrapText="1"/>
    </xf>
    <xf numFmtId="0" fontId="12" fillId="19" borderId="41" xfId="7" applyFont="1" applyFill="1" applyBorder="1" applyAlignment="1">
      <alignment horizontal="center" vertical="center" wrapText="1"/>
    </xf>
    <xf numFmtId="0" fontId="12" fillId="19" borderId="42" xfId="7" applyFont="1" applyFill="1" applyBorder="1" applyAlignment="1">
      <alignment horizontal="center" vertical="center" wrapText="1"/>
    </xf>
    <xf numFmtId="0" fontId="12" fillId="19" borderId="69" xfId="7" applyFont="1" applyFill="1" applyBorder="1" applyAlignment="1">
      <alignment horizontal="center" vertical="center" wrapText="1"/>
    </xf>
    <xf numFmtId="0" fontId="12" fillId="19" borderId="0" xfId="7" applyFont="1" applyFill="1" applyAlignment="1">
      <alignment horizontal="center" vertical="center" wrapText="1"/>
    </xf>
    <xf numFmtId="0" fontId="12" fillId="19" borderId="66" xfId="7" applyFont="1" applyFill="1" applyBorder="1" applyAlignment="1">
      <alignment horizontal="center" vertical="center" wrapText="1"/>
    </xf>
    <xf numFmtId="0" fontId="12" fillId="19" borderId="70" xfId="7" applyFont="1" applyFill="1" applyBorder="1" applyAlignment="1">
      <alignment horizontal="center" vertical="center" wrapText="1"/>
    </xf>
  </cellXfs>
  <cellStyles count="33">
    <cellStyle name="Normalny" xfId="0" builtinId="0"/>
    <cellStyle name="Normalny 10" xfId="3" xr:uid="{00000000-0005-0000-0000-000001000000}"/>
    <cellStyle name="Normalny 11" xfId="20" xr:uid="{00000000-0005-0000-0000-000002000000}"/>
    <cellStyle name="Normalny 12" xfId="21" xr:uid="{00000000-0005-0000-0000-000003000000}"/>
    <cellStyle name="Normalny 12 2" xfId="26" xr:uid="{8DC3E8AD-D61E-446C-95C4-8D4979AD3980}"/>
    <cellStyle name="Normalny 13" xfId="24" xr:uid="{00000000-0005-0000-0000-000004000000}"/>
    <cellStyle name="Normalny 13 2" xfId="23" xr:uid="{00000000-0005-0000-0000-000005000000}"/>
    <cellStyle name="Normalny 14" xfId="28" xr:uid="{74ECA276-6C7F-4800-A98C-BD72D38368F8}"/>
    <cellStyle name="Normalny 15" xfId="30" xr:uid="{BB64FB9F-EC7B-4B48-BE64-DB2FD48B4D76}"/>
    <cellStyle name="Normalny 2" xfId="1" xr:uid="{00000000-0005-0000-0000-000006000000}"/>
    <cellStyle name="Normalny 2 2" xfId="22" xr:uid="{00000000-0005-0000-0000-000007000000}"/>
    <cellStyle name="Normalny 2 2 2" xfId="7" xr:uid="{00000000-0005-0000-0000-000008000000}"/>
    <cellStyle name="Normalny 2 2 3" xfId="25" xr:uid="{00000000-0005-0000-0000-000009000000}"/>
    <cellStyle name="Normalny 2 2 3 2" xfId="27" xr:uid="{16E90ACD-920A-4EB1-8E63-BEEA4D85F776}"/>
    <cellStyle name="Normalny 2 2 3 2 2" xfId="29" xr:uid="{003664C7-D83F-42AB-A248-31B23B80077D}"/>
    <cellStyle name="Normalny 2 2 3 2 2 2" xfId="31" xr:uid="{242C4711-D306-43AC-B984-D2805BEB806F}"/>
    <cellStyle name="Normalny 2 2 3 2 2 2 2" xfId="32" xr:uid="{6308BEF1-B1F4-43F2-BC1C-B6DADD8C07F4}"/>
    <cellStyle name="Normalny 2 3" xfId="9" xr:uid="{00000000-0005-0000-0000-00000A000000}"/>
    <cellStyle name="Normalny 2 4" xfId="16" xr:uid="{00000000-0005-0000-0000-00000B000000}"/>
    <cellStyle name="Normalny 3" xfId="13" xr:uid="{00000000-0005-0000-0000-00000C000000}"/>
    <cellStyle name="Normalny 3 2" xfId="14" xr:uid="{00000000-0005-0000-0000-00000D000000}"/>
    <cellStyle name="Normalny 4" xfId="15" xr:uid="{00000000-0005-0000-0000-00000E000000}"/>
    <cellStyle name="Normalny 5" xfId="17" xr:uid="{00000000-0005-0000-0000-00000F000000}"/>
    <cellStyle name="Normalny 6" xfId="2" xr:uid="{00000000-0005-0000-0000-000010000000}"/>
    <cellStyle name="Normalny 6 2" xfId="11" xr:uid="{00000000-0005-0000-0000-000011000000}"/>
    <cellStyle name="Normalny 6 3" xfId="10" xr:uid="{00000000-0005-0000-0000-000012000000}"/>
    <cellStyle name="Normalny 7" xfId="18" xr:uid="{00000000-0005-0000-0000-000013000000}"/>
    <cellStyle name="Normalny 7 2" xfId="5" xr:uid="{00000000-0005-0000-0000-000014000000}"/>
    <cellStyle name="Normalny 8" xfId="19" xr:uid="{00000000-0005-0000-0000-000015000000}"/>
    <cellStyle name="Normalny 8 2" xfId="4" xr:uid="{00000000-0005-0000-0000-000016000000}"/>
    <cellStyle name="Normalny 9" xfId="6" xr:uid="{00000000-0005-0000-0000-000017000000}"/>
    <cellStyle name="Walutowy 3 2 2" xfId="8" xr:uid="{00000000-0005-0000-0000-000018000000}"/>
    <cellStyle name="Walutowy 3 3" xfId="12" xr:uid="{00000000-0005-0000-0000-000019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2adc03ddaa974343b1da40e471b84874_26_08_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por&#243;wnanie_31_10_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73346-F250-4D3E-BFFA-C57486C314DD}">
  <sheetPr>
    <tabColor rgb="FF92D050"/>
    <pageSetUpPr fitToPage="1"/>
  </sheetPr>
  <dimension ref="A1:S89"/>
  <sheetViews>
    <sheetView tabSelected="1" topLeftCell="A46" workbookViewId="0">
      <selection activeCell="E55" sqref="E55"/>
    </sheetView>
  </sheetViews>
  <sheetFormatPr defaultColWidth="11.6640625" defaultRowHeight="12.75"/>
  <cols>
    <col min="1" max="1" width="5.6640625" style="105" customWidth="1"/>
    <col min="2" max="2" width="6.6640625" style="105" customWidth="1"/>
    <col min="3" max="3" width="9.33203125" style="105" customWidth="1"/>
    <col min="4" max="4" width="7.33203125" style="105" customWidth="1"/>
    <col min="5" max="5" width="81.1640625" style="106" customWidth="1"/>
    <col min="6" max="6" width="15.6640625" style="106" customWidth="1"/>
    <col min="7" max="7" width="14.33203125" style="106" customWidth="1"/>
    <col min="8" max="8" width="15.33203125" style="106" customWidth="1"/>
    <col min="9" max="9" width="12.5" style="106" customWidth="1"/>
    <col min="10" max="10" width="16.83203125" style="106" customWidth="1"/>
    <col min="11" max="11" width="29" style="107" customWidth="1"/>
    <col min="12" max="12" width="14.6640625" style="108" hidden="1" customWidth="1"/>
    <col min="13" max="13" width="15" style="109" bestFit="1" customWidth="1"/>
    <col min="14" max="14" width="17.1640625" style="109" customWidth="1"/>
    <col min="15" max="15" width="11.6640625" style="109"/>
    <col min="16" max="16384" width="11.6640625" style="106"/>
  </cols>
  <sheetData>
    <row r="1" spans="1:15" ht="12" customHeight="1"/>
    <row r="2" spans="1:15" ht="15.75" customHeight="1">
      <c r="A2" s="521" t="s">
        <v>220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</row>
    <row r="3" spans="1:15" ht="15" customHeight="1" thickBot="1">
      <c r="A3" s="110"/>
      <c r="B3" s="110"/>
      <c r="C3" s="110"/>
      <c r="D3" s="110"/>
      <c r="E3" s="111"/>
      <c r="F3" s="111"/>
      <c r="G3" s="111"/>
      <c r="H3" s="111"/>
      <c r="I3" s="111"/>
      <c r="J3" s="111"/>
      <c r="K3" s="39"/>
    </row>
    <row r="4" spans="1:15" ht="19.5" customHeight="1" thickBot="1">
      <c r="A4" s="522" t="s">
        <v>2</v>
      </c>
      <c r="B4" s="524" t="s">
        <v>0</v>
      </c>
      <c r="C4" s="526" t="s">
        <v>221</v>
      </c>
      <c r="D4" s="528" t="s">
        <v>48</v>
      </c>
      <c r="E4" s="526" t="s">
        <v>49</v>
      </c>
      <c r="F4" s="526" t="s">
        <v>222</v>
      </c>
      <c r="G4" s="530" t="s">
        <v>223</v>
      </c>
      <c r="H4" s="531"/>
      <c r="I4" s="531"/>
      <c r="J4" s="531"/>
      <c r="K4" s="532" t="s">
        <v>224</v>
      </c>
      <c r="L4" s="516"/>
    </row>
    <row r="5" spans="1:15" ht="95.25" customHeight="1" thickBot="1">
      <c r="A5" s="523"/>
      <c r="B5" s="525"/>
      <c r="C5" s="527"/>
      <c r="D5" s="529"/>
      <c r="E5" s="527"/>
      <c r="F5" s="527"/>
      <c r="G5" s="112" t="s">
        <v>225</v>
      </c>
      <c r="H5" s="112" t="s">
        <v>226</v>
      </c>
      <c r="I5" s="112" t="s">
        <v>227</v>
      </c>
      <c r="J5" s="112" t="s">
        <v>228</v>
      </c>
      <c r="K5" s="533"/>
      <c r="L5" s="517"/>
    </row>
    <row r="6" spans="1:15" s="118" customFormat="1" ht="15" customHeight="1" thickBot="1">
      <c r="A6" s="113" t="s">
        <v>3</v>
      </c>
      <c r="B6" s="114" t="s">
        <v>4</v>
      </c>
      <c r="C6" s="114" t="s">
        <v>5</v>
      </c>
      <c r="D6" s="114" t="s">
        <v>6</v>
      </c>
      <c r="E6" s="115" t="s">
        <v>7</v>
      </c>
      <c r="F6" s="114" t="s">
        <v>35</v>
      </c>
      <c r="G6" s="114" t="s">
        <v>34</v>
      </c>
      <c r="H6" s="114" t="s">
        <v>229</v>
      </c>
      <c r="I6" s="114" t="s">
        <v>230</v>
      </c>
      <c r="J6" s="114" t="s">
        <v>231</v>
      </c>
      <c r="K6" s="116" t="s">
        <v>232</v>
      </c>
      <c r="L6" s="114" t="s">
        <v>233</v>
      </c>
      <c r="M6" s="117"/>
      <c r="N6" s="117"/>
      <c r="O6" s="117"/>
    </row>
    <row r="7" spans="1:15" s="122" customFormat="1" ht="27.95" customHeight="1" thickBot="1">
      <c r="A7" s="481" t="s">
        <v>234</v>
      </c>
      <c r="B7" s="482"/>
      <c r="C7" s="482"/>
      <c r="D7" s="482"/>
      <c r="E7" s="482"/>
      <c r="F7" s="233">
        <f>SUM(G7:J7)</f>
        <v>5308010</v>
      </c>
      <c r="G7" s="233">
        <f>SUM(G8:G10)</f>
        <v>304006</v>
      </c>
      <c r="H7" s="233">
        <f>SUM(H8:H10)</f>
        <v>3500000</v>
      </c>
      <c r="I7" s="233">
        <f t="shared" ref="I7" si="0">SUM(I8:I10)</f>
        <v>0</v>
      </c>
      <c r="J7" s="233">
        <f>1000000+250000+400000-345996+200000</f>
        <v>1504004</v>
      </c>
      <c r="K7" s="119"/>
      <c r="L7" s="120"/>
      <c r="M7" s="121"/>
      <c r="N7" s="121"/>
      <c r="O7" s="121"/>
    </row>
    <row r="8" spans="1:15" s="122" customFormat="1" ht="36.75" customHeight="1" thickBot="1">
      <c r="A8" s="123" t="s">
        <v>3</v>
      </c>
      <c r="B8" s="124">
        <v>600</v>
      </c>
      <c r="C8" s="124">
        <v>60014</v>
      </c>
      <c r="D8" s="124">
        <v>6050</v>
      </c>
      <c r="E8" s="125" t="s">
        <v>235</v>
      </c>
      <c r="F8" s="300">
        <f>SUM(G8:I8)+250000</f>
        <v>500000</v>
      </c>
      <c r="G8" s="269">
        <v>250000</v>
      </c>
      <c r="H8" s="269"/>
      <c r="I8" s="234"/>
      <c r="J8" s="235" t="s">
        <v>236</v>
      </c>
      <c r="K8" s="126" t="s">
        <v>237</v>
      </c>
      <c r="L8" s="127" t="s">
        <v>238</v>
      </c>
      <c r="M8" s="121"/>
      <c r="N8" s="121"/>
      <c r="O8" s="121"/>
    </row>
    <row r="9" spans="1:15" s="122" customFormat="1" ht="31.5" customHeight="1" thickBot="1">
      <c r="A9" s="293" t="s">
        <v>4</v>
      </c>
      <c r="B9" s="294">
        <v>600</v>
      </c>
      <c r="C9" s="294">
        <v>60014</v>
      </c>
      <c r="D9" s="294">
        <v>6050</v>
      </c>
      <c r="E9" s="296" t="s">
        <v>239</v>
      </c>
      <c r="F9" s="301">
        <f>SUM(G9:I9)+1000000+400000-345996</f>
        <v>2108010</v>
      </c>
      <c r="G9" s="269">
        <f>400000-345994</f>
        <v>54006</v>
      </c>
      <c r="H9" s="269">
        <v>1000000</v>
      </c>
      <c r="I9" s="238"/>
      <c r="J9" s="239" t="s">
        <v>304</v>
      </c>
      <c r="K9" s="144" t="s">
        <v>309</v>
      </c>
      <c r="L9" s="127" t="s">
        <v>238</v>
      </c>
      <c r="M9" s="121"/>
      <c r="N9" s="121"/>
      <c r="O9" s="121"/>
    </row>
    <row r="10" spans="1:15" s="132" customFormat="1" ht="98.25" customHeight="1" thickBot="1">
      <c r="A10" s="123" t="s">
        <v>5</v>
      </c>
      <c r="B10" s="128">
        <v>600</v>
      </c>
      <c r="C10" s="128">
        <v>60014</v>
      </c>
      <c r="D10" s="128">
        <v>6300</v>
      </c>
      <c r="E10" s="129" t="s">
        <v>240</v>
      </c>
      <c r="F10" s="234">
        <f>SUM(G10:I10)</f>
        <v>2500000</v>
      </c>
      <c r="G10" s="234"/>
      <c r="H10" s="234">
        <v>2500000</v>
      </c>
      <c r="I10" s="236"/>
      <c r="J10" s="236"/>
      <c r="K10" s="130"/>
      <c r="L10" s="127" t="s">
        <v>238</v>
      </c>
      <c r="M10" s="131"/>
      <c r="N10" s="131"/>
      <c r="O10" s="131"/>
    </row>
    <row r="11" spans="1:15" s="132" customFormat="1" ht="51" customHeight="1" thickBot="1">
      <c r="A11" s="346" t="s">
        <v>6</v>
      </c>
      <c r="B11" s="347">
        <v>600</v>
      </c>
      <c r="C11" s="347">
        <v>60014</v>
      </c>
      <c r="D11" s="347">
        <v>6050</v>
      </c>
      <c r="E11" s="393" t="s">
        <v>353</v>
      </c>
      <c r="F11" s="356">
        <v>200000</v>
      </c>
      <c r="G11" s="356"/>
      <c r="H11" s="356"/>
      <c r="I11" s="348"/>
      <c r="J11" s="358" t="s">
        <v>257</v>
      </c>
      <c r="K11" s="349"/>
      <c r="L11" s="394"/>
      <c r="M11" s="131"/>
      <c r="N11" s="131"/>
      <c r="O11" s="131"/>
    </row>
    <row r="12" spans="1:15" s="137" customFormat="1" ht="27.95" customHeight="1" thickBot="1">
      <c r="A12" s="481" t="s">
        <v>241</v>
      </c>
      <c r="B12" s="482"/>
      <c r="C12" s="482"/>
      <c r="D12" s="482"/>
      <c r="E12" s="482"/>
      <c r="F12" s="233">
        <f>SUM(G12:J12)</f>
        <v>23361706.050000001</v>
      </c>
      <c r="G12" s="233">
        <f>SUM(G13:G21)</f>
        <v>750273</v>
      </c>
      <c r="H12" s="233">
        <f t="shared" ref="H12:I12" si="1">SUM(H13:H21)</f>
        <v>3533150</v>
      </c>
      <c r="I12" s="233">
        <f t="shared" si="1"/>
        <v>0</v>
      </c>
      <c r="J12" s="233">
        <f>3078800+6813523+2705007+6500000+900001+700000+165960+300000+320000-2705007+300000-0.95</f>
        <v>19078283.050000001</v>
      </c>
      <c r="K12" s="133"/>
      <c r="L12" s="134"/>
      <c r="M12" s="135"/>
      <c r="N12" s="136"/>
      <c r="O12" s="136"/>
    </row>
    <row r="13" spans="1:15" s="140" customFormat="1" ht="42" customHeight="1" thickBot="1">
      <c r="A13" s="485" t="s">
        <v>7</v>
      </c>
      <c r="B13" s="128">
        <v>600</v>
      </c>
      <c r="C13" s="128">
        <v>60014</v>
      </c>
      <c r="D13" s="128">
        <v>6050</v>
      </c>
      <c r="E13" s="225" t="s">
        <v>242</v>
      </c>
      <c r="F13" s="234">
        <f>SUM(G13:I13)+700000</f>
        <v>4200000</v>
      </c>
      <c r="G13" s="269"/>
      <c r="H13" s="269">
        <v>3500000</v>
      </c>
      <c r="I13" s="234"/>
      <c r="J13" s="235" t="s">
        <v>243</v>
      </c>
      <c r="K13" s="126"/>
      <c r="L13" s="464" t="s">
        <v>238</v>
      </c>
      <c r="M13" s="138"/>
      <c r="N13" s="139"/>
    </row>
    <row r="14" spans="1:15" s="140" customFormat="1" ht="42" customHeight="1" thickBot="1">
      <c r="A14" s="486"/>
      <c r="B14" s="128">
        <v>600</v>
      </c>
      <c r="C14" s="128">
        <v>60014</v>
      </c>
      <c r="D14" s="128">
        <v>6100</v>
      </c>
      <c r="E14" s="225" t="s">
        <v>242</v>
      </c>
      <c r="F14" s="234">
        <v>900001</v>
      </c>
      <c r="G14" s="269"/>
      <c r="H14" s="269"/>
      <c r="I14" s="234"/>
      <c r="J14" s="235" t="s">
        <v>244</v>
      </c>
      <c r="K14" s="126"/>
      <c r="L14" s="465"/>
      <c r="M14" s="138"/>
      <c r="N14" s="139"/>
    </row>
    <row r="15" spans="1:15" s="132" customFormat="1" ht="42.75" customHeight="1" thickBot="1">
      <c r="A15" s="476" t="s">
        <v>35</v>
      </c>
      <c r="B15" s="128">
        <v>600</v>
      </c>
      <c r="C15" s="128">
        <v>60014</v>
      </c>
      <c r="D15" s="128">
        <v>6050</v>
      </c>
      <c r="E15" s="225" t="s">
        <v>245</v>
      </c>
      <c r="F15" s="234">
        <v>300000</v>
      </c>
      <c r="G15" s="269"/>
      <c r="H15" s="269"/>
      <c r="I15" s="234"/>
      <c r="J15" s="235" t="s">
        <v>305</v>
      </c>
      <c r="K15" s="126"/>
      <c r="L15" s="464" t="s">
        <v>238</v>
      </c>
      <c r="M15" s="135"/>
      <c r="N15" s="135"/>
      <c r="O15" s="131"/>
    </row>
    <row r="16" spans="1:15" s="132" customFormat="1" ht="42.75" customHeight="1" thickBot="1">
      <c r="A16" s="477"/>
      <c r="B16" s="128">
        <v>600</v>
      </c>
      <c r="C16" s="128">
        <v>60014</v>
      </c>
      <c r="D16" s="128">
        <v>6100</v>
      </c>
      <c r="E16" s="225" t="s">
        <v>245</v>
      </c>
      <c r="F16" s="234">
        <f>3078800+165960</f>
        <v>3244760</v>
      </c>
      <c r="G16" s="269"/>
      <c r="H16" s="269"/>
      <c r="I16" s="234"/>
      <c r="J16" s="235" t="s">
        <v>306</v>
      </c>
      <c r="K16" s="126"/>
      <c r="L16" s="465"/>
      <c r="M16" s="135"/>
      <c r="N16" s="135"/>
      <c r="O16" s="131"/>
    </row>
    <row r="17" spans="1:15" s="137" customFormat="1" ht="42.75" customHeight="1" thickBot="1">
      <c r="A17" s="141" t="s">
        <v>34</v>
      </c>
      <c r="B17" s="128">
        <v>600</v>
      </c>
      <c r="C17" s="128">
        <v>60014</v>
      </c>
      <c r="D17" s="128">
        <v>6050</v>
      </c>
      <c r="E17" s="329" t="s">
        <v>246</v>
      </c>
      <c r="F17" s="234">
        <f>SUM(G17:H17)+6813523+6500000+320000-0.95</f>
        <v>14339269.050000001</v>
      </c>
      <c r="G17" s="269">
        <v>705747</v>
      </c>
      <c r="H17" s="269"/>
      <c r="I17" s="234"/>
      <c r="J17" s="235" t="s">
        <v>336</v>
      </c>
      <c r="K17" s="126" t="s">
        <v>247</v>
      </c>
      <c r="L17" s="313" t="s">
        <v>238</v>
      </c>
      <c r="M17" s="136"/>
      <c r="N17" s="136"/>
      <c r="O17" s="136"/>
    </row>
    <row r="18" spans="1:15" s="132" customFormat="1" ht="46.5" customHeight="1" thickBot="1">
      <c r="A18" s="297" t="s">
        <v>229</v>
      </c>
      <c r="B18" s="128">
        <v>600</v>
      </c>
      <c r="C18" s="128">
        <v>60014</v>
      </c>
      <c r="D18" s="128">
        <v>6050</v>
      </c>
      <c r="E18" s="142" t="s">
        <v>248</v>
      </c>
      <c r="F18" s="234">
        <v>0</v>
      </c>
      <c r="G18" s="269"/>
      <c r="H18" s="269">
        <v>0</v>
      </c>
      <c r="I18" s="234"/>
      <c r="J18" s="235" t="s">
        <v>307</v>
      </c>
      <c r="K18" s="126"/>
      <c r="L18" s="221" t="s">
        <v>238</v>
      </c>
      <c r="M18" s="131"/>
      <c r="N18" s="131"/>
      <c r="O18" s="131"/>
    </row>
    <row r="19" spans="1:15" s="132" customFormat="1" ht="46.5" customHeight="1" thickBot="1">
      <c r="A19" s="352" t="s">
        <v>230</v>
      </c>
      <c r="B19" s="347">
        <v>600</v>
      </c>
      <c r="C19" s="347">
        <v>60014</v>
      </c>
      <c r="D19" s="347">
        <v>6050</v>
      </c>
      <c r="E19" s="395" t="s">
        <v>249</v>
      </c>
      <c r="F19" s="356">
        <f>SUM(G19:I19)</f>
        <v>44526</v>
      </c>
      <c r="G19" s="357">
        <f>220000-175474</f>
        <v>44526</v>
      </c>
      <c r="H19" s="357"/>
      <c r="I19" s="356"/>
      <c r="J19" s="358"/>
      <c r="K19" s="359"/>
      <c r="L19" s="396" t="s">
        <v>238</v>
      </c>
      <c r="M19" s="131"/>
      <c r="N19" s="131"/>
      <c r="O19" s="131"/>
    </row>
    <row r="20" spans="1:15" s="140" customFormat="1" ht="46.5" customHeight="1" thickBot="1">
      <c r="A20" s="141" t="s">
        <v>231</v>
      </c>
      <c r="B20" s="128">
        <v>600</v>
      </c>
      <c r="C20" s="128">
        <v>60014</v>
      </c>
      <c r="D20" s="128">
        <v>6100</v>
      </c>
      <c r="E20" s="142" t="s">
        <v>314</v>
      </c>
      <c r="F20" s="234">
        <v>300000</v>
      </c>
      <c r="G20" s="269"/>
      <c r="H20" s="269"/>
      <c r="I20" s="234"/>
      <c r="J20" s="235" t="s">
        <v>332</v>
      </c>
      <c r="K20" s="207"/>
      <c r="L20" s="226"/>
      <c r="M20" s="148"/>
      <c r="N20" s="148"/>
      <c r="O20" s="148"/>
    </row>
    <row r="21" spans="1:15" s="132" customFormat="1" ht="36" customHeight="1" thickBot="1">
      <c r="A21" s="141" t="s">
        <v>232</v>
      </c>
      <c r="B21" s="128">
        <v>600</v>
      </c>
      <c r="C21" s="128">
        <v>60014</v>
      </c>
      <c r="D21" s="128">
        <v>6050</v>
      </c>
      <c r="E21" s="142" t="s">
        <v>331</v>
      </c>
      <c r="F21" s="234">
        <f>SUM(G21:I21)</f>
        <v>33150</v>
      </c>
      <c r="G21" s="269"/>
      <c r="H21" s="269">
        <v>33150</v>
      </c>
      <c r="I21" s="234"/>
      <c r="J21" s="235"/>
      <c r="K21" s="207"/>
      <c r="L21" s="227"/>
      <c r="M21" s="131"/>
      <c r="N21" s="131"/>
      <c r="O21" s="131"/>
    </row>
    <row r="22" spans="1:15" s="137" customFormat="1" ht="27.95" customHeight="1" thickBot="1">
      <c r="A22" s="481" t="s">
        <v>250</v>
      </c>
      <c r="B22" s="482"/>
      <c r="C22" s="482"/>
      <c r="D22" s="482"/>
      <c r="E22" s="482"/>
      <c r="F22" s="233">
        <f>SUM(G22:J22)</f>
        <v>3421871</v>
      </c>
      <c r="G22" s="233">
        <f>SUM(G23:G27)</f>
        <v>371001</v>
      </c>
      <c r="H22" s="233">
        <f t="shared" ref="H22:I22" si="2">SUM(H23:H27)</f>
        <v>1580100</v>
      </c>
      <c r="I22" s="233">
        <f t="shared" si="2"/>
        <v>0</v>
      </c>
      <c r="J22" s="237">
        <f>1127000+1000.87+152327.56+190442-0.43</f>
        <v>1470770.0000000002</v>
      </c>
      <c r="K22" s="119"/>
      <c r="L22" s="143"/>
      <c r="M22" s="136"/>
      <c r="N22" s="136"/>
      <c r="O22" s="136"/>
    </row>
    <row r="23" spans="1:15" s="146" customFormat="1" ht="35.1" customHeight="1" thickBot="1">
      <c r="A23" s="483" t="s">
        <v>233</v>
      </c>
      <c r="B23" s="353">
        <v>600</v>
      </c>
      <c r="C23" s="353">
        <v>60014</v>
      </c>
      <c r="D23" s="353">
        <v>6050</v>
      </c>
      <c r="E23" s="386" t="s">
        <v>251</v>
      </c>
      <c r="F23" s="387">
        <f>SUM(G23:I23)</f>
        <v>1464500</v>
      </c>
      <c r="G23" s="357">
        <v>41500</v>
      </c>
      <c r="H23" s="357">
        <v>1423000</v>
      </c>
      <c r="I23" s="387"/>
      <c r="J23" s="388"/>
      <c r="K23" s="389"/>
      <c r="L23" s="313" t="s">
        <v>238</v>
      </c>
      <c r="M23" s="145"/>
      <c r="N23" s="145"/>
      <c r="O23" s="145"/>
    </row>
    <row r="24" spans="1:15" s="146" customFormat="1" ht="35.1" customHeight="1" thickBot="1">
      <c r="A24" s="484"/>
      <c r="B24" s="353">
        <v>600</v>
      </c>
      <c r="C24" s="353">
        <v>60014</v>
      </c>
      <c r="D24" s="353">
        <v>6370</v>
      </c>
      <c r="E24" s="386" t="s">
        <v>251</v>
      </c>
      <c r="F24" s="387">
        <f>1127000</f>
        <v>1127000</v>
      </c>
      <c r="G24" s="357"/>
      <c r="H24" s="357"/>
      <c r="I24" s="387"/>
      <c r="J24" s="388" t="s">
        <v>252</v>
      </c>
      <c r="K24" s="389"/>
      <c r="L24" s="313" t="s">
        <v>238</v>
      </c>
      <c r="M24" s="145"/>
      <c r="N24" s="145"/>
      <c r="O24" s="145"/>
    </row>
    <row r="25" spans="1:15" s="140" customFormat="1" ht="35.1" customHeight="1" thickBot="1">
      <c r="A25" s="141" t="s">
        <v>259</v>
      </c>
      <c r="B25" s="147">
        <v>600</v>
      </c>
      <c r="C25" s="147">
        <v>60014</v>
      </c>
      <c r="D25" s="147">
        <v>6050</v>
      </c>
      <c r="E25" s="302" t="s">
        <v>253</v>
      </c>
      <c r="F25" s="298">
        <f>SUM(G25:I25)</f>
        <v>400000</v>
      </c>
      <c r="G25" s="295">
        <v>242900</v>
      </c>
      <c r="H25" s="295">
        <v>157100</v>
      </c>
      <c r="I25" s="298"/>
      <c r="J25" s="299"/>
      <c r="K25" s="207"/>
      <c r="L25" s="221" t="s">
        <v>238</v>
      </c>
      <c r="M25" s="148"/>
      <c r="N25" s="148"/>
      <c r="O25" s="148"/>
    </row>
    <row r="26" spans="1:15" s="140" customFormat="1" ht="77.25" customHeight="1" thickBot="1">
      <c r="A26" s="468" t="s">
        <v>262</v>
      </c>
      <c r="B26" s="354">
        <v>600</v>
      </c>
      <c r="C26" s="354">
        <v>60014</v>
      </c>
      <c r="D26" s="354">
        <v>6100</v>
      </c>
      <c r="E26" s="355" t="s">
        <v>308</v>
      </c>
      <c r="F26" s="356">
        <f>151619.67+707.46+1000.87</f>
        <v>153328</v>
      </c>
      <c r="G26" s="357"/>
      <c r="H26" s="357"/>
      <c r="I26" s="356"/>
      <c r="J26" s="358" t="s">
        <v>333</v>
      </c>
      <c r="K26" s="359"/>
      <c r="L26" s="464" t="s">
        <v>238</v>
      </c>
      <c r="M26" s="148"/>
      <c r="N26" s="220"/>
      <c r="O26" s="148"/>
    </row>
    <row r="27" spans="1:15" s="140" customFormat="1" ht="35.25" customHeight="1" thickBot="1">
      <c r="A27" s="469"/>
      <c r="B27" s="354">
        <v>600</v>
      </c>
      <c r="C27" s="354">
        <v>60014</v>
      </c>
      <c r="D27" s="354">
        <v>6050</v>
      </c>
      <c r="E27" s="355" t="s">
        <v>308</v>
      </c>
      <c r="F27" s="356">
        <f>G27+190442</f>
        <v>277043</v>
      </c>
      <c r="G27" s="357">
        <f>37114+49487</f>
        <v>86601</v>
      </c>
      <c r="H27" s="357"/>
      <c r="I27" s="356"/>
      <c r="J27" s="358" t="s">
        <v>310</v>
      </c>
      <c r="K27" s="351" t="s">
        <v>309</v>
      </c>
      <c r="L27" s="465"/>
      <c r="M27" s="148"/>
      <c r="N27" s="148"/>
      <c r="O27" s="148"/>
    </row>
    <row r="28" spans="1:15" s="132" customFormat="1" ht="27.95" customHeight="1" thickBot="1">
      <c r="A28" s="481" t="s">
        <v>254</v>
      </c>
      <c r="B28" s="482"/>
      <c r="C28" s="482"/>
      <c r="D28" s="482"/>
      <c r="E28" s="482"/>
      <c r="F28" s="233">
        <f>SUM(G28:J28)</f>
        <v>551850</v>
      </c>
      <c r="G28" s="233">
        <f>SUM(G29:G30)</f>
        <v>196296</v>
      </c>
      <c r="H28" s="233">
        <f t="shared" ref="H28:I28" si="3">SUM(H29:H30)</f>
        <v>0</v>
      </c>
      <c r="I28" s="233">
        <f t="shared" si="3"/>
        <v>0</v>
      </c>
      <c r="J28" s="237">
        <f>200000+155554</f>
        <v>355554</v>
      </c>
      <c r="K28" s="149"/>
      <c r="L28" s="150"/>
      <c r="M28" s="131"/>
      <c r="N28" s="131"/>
      <c r="O28" s="131"/>
    </row>
    <row r="29" spans="1:15" s="122" customFormat="1" ht="42.75" customHeight="1" thickBot="1">
      <c r="A29" s="141" t="s">
        <v>266</v>
      </c>
      <c r="B29" s="147">
        <v>600</v>
      </c>
      <c r="C29" s="147">
        <v>60014</v>
      </c>
      <c r="D29" s="147">
        <v>6050</v>
      </c>
      <c r="E29" s="151" t="s">
        <v>255</v>
      </c>
      <c r="F29" s="234">
        <f>G29</f>
        <v>116850</v>
      </c>
      <c r="G29" s="269">
        <f>150000-33150</f>
        <v>116850</v>
      </c>
      <c r="H29" s="295"/>
      <c r="I29" s="298"/>
      <c r="J29" s="299"/>
      <c r="K29" s="207"/>
      <c r="L29" s="345"/>
      <c r="M29" s="121"/>
      <c r="N29" s="121"/>
      <c r="O29" s="121"/>
    </row>
    <row r="30" spans="1:15" s="122" customFormat="1" ht="42.75" customHeight="1" thickBot="1">
      <c r="A30" s="352" t="s">
        <v>269</v>
      </c>
      <c r="B30" s="354">
        <v>600</v>
      </c>
      <c r="C30" s="354">
        <v>60014</v>
      </c>
      <c r="D30" s="354">
        <v>6050</v>
      </c>
      <c r="E30" s="384" t="s">
        <v>256</v>
      </c>
      <c r="F30" s="356">
        <f>G30+200000+155554</f>
        <v>435000</v>
      </c>
      <c r="G30" s="357">
        <f>200000-155554+35000</f>
        <v>79446</v>
      </c>
      <c r="H30" s="357"/>
      <c r="I30" s="356"/>
      <c r="J30" s="358" t="s">
        <v>337</v>
      </c>
      <c r="K30" s="359"/>
      <c r="L30" s="385"/>
      <c r="M30" s="121"/>
      <c r="N30" s="121"/>
      <c r="O30" s="121"/>
    </row>
    <row r="31" spans="1:15" s="132" customFormat="1" ht="27.95" customHeight="1" thickBot="1">
      <c r="A31" s="481" t="s">
        <v>258</v>
      </c>
      <c r="B31" s="482"/>
      <c r="C31" s="482"/>
      <c r="D31" s="482"/>
      <c r="E31" s="482"/>
      <c r="F31" s="233">
        <f>SUM(G31:J31)</f>
        <v>5381306</v>
      </c>
      <c r="G31" s="233">
        <f>SUM(G32:G35)</f>
        <v>185000</v>
      </c>
      <c r="H31" s="233">
        <f t="shared" ref="H31:I31" si="4">SUM(H32:H35)</f>
        <v>1178769</v>
      </c>
      <c r="I31" s="233">
        <f t="shared" si="4"/>
        <v>0</v>
      </c>
      <c r="J31" s="237">
        <f>1960000+2057537</f>
        <v>4017537</v>
      </c>
      <c r="K31" s="133"/>
      <c r="L31" s="150"/>
      <c r="M31" s="131"/>
      <c r="N31" s="131"/>
      <c r="O31" s="131"/>
    </row>
    <row r="32" spans="1:15" s="132" customFormat="1" ht="39.75" customHeight="1" thickBot="1">
      <c r="A32" s="485" t="s">
        <v>271</v>
      </c>
      <c r="B32" s="128">
        <v>600</v>
      </c>
      <c r="C32" s="128">
        <v>60014</v>
      </c>
      <c r="D32" s="128">
        <v>6050</v>
      </c>
      <c r="E32" s="152" t="s">
        <v>260</v>
      </c>
      <c r="F32" s="234">
        <f>SUM(G32:I32)</f>
        <v>185000</v>
      </c>
      <c r="G32" s="269">
        <v>185000</v>
      </c>
      <c r="H32" s="269"/>
      <c r="I32" s="234"/>
      <c r="J32" s="235"/>
      <c r="K32" s="126"/>
      <c r="L32" s="127" t="s">
        <v>238</v>
      </c>
      <c r="M32" s="131"/>
      <c r="N32" s="131"/>
      <c r="O32" s="131"/>
    </row>
    <row r="33" spans="1:19" s="132" customFormat="1" ht="36.75" customHeight="1" thickBot="1">
      <c r="A33" s="486"/>
      <c r="B33" s="128">
        <v>600</v>
      </c>
      <c r="C33" s="128">
        <v>60014</v>
      </c>
      <c r="D33" s="128">
        <v>6370</v>
      </c>
      <c r="E33" s="153" t="s">
        <v>260</v>
      </c>
      <c r="F33" s="234">
        <f>1960000</f>
        <v>1960000</v>
      </c>
      <c r="G33" s="269">
        <v>0</v>
      </c>
      <c r="H33" s="269"/>
      <c r="I33" s="234"/>
      <c r="J33" s="235" t="s">
        <v>261</v>
      </c>
      <c r="K33" s="154"/>
      <c r="L33" s="127" t="s">
        <v>238</v>
      </c>
      <c r="M33" s="131"/>
      <c r="N33" s="131"/>
      <c r="O33" s="131"/>
    </row>
    <row r="34" spans="1:19" s="140" customFormat="1" ht="35.25" customHeight="1" thickBot="1">
      <c r="A34" s="155" t="s">
        <v>273</v>
      </c>
      <c r="B34" s="128">
        <v>600</v>
      </c>
      <c r="C34" s="128">
        <v>60014</v>
      </c>
      <c r="D34" s="224">
        <v>6050</v>
      </c>
      <c r="E34" s="156" t="s">
        <v>263</v>
      </c>
      <c r="F34" s="240">
        <f>SUM(G34:I34)+2057537</f>
        <v>3086306</v>
      </c>
      <c r="G34" s="270"/>
      <c r="H34" s="270">
        <v>1028769</v>
      </c>
      <c r="I34" s="241"/>
      <c r="J34" s="242" t="s">
        <v>264</v>
      </c>
      <c r="K34" s="157"/>
      <c r="L34" s="221" t="s">
        <v>238</v>
      </c>
      <c r="M34" s="148"/>
      <c r="N34" s="158"/>
      <c r="O34" s="159"/>
      <c r="P34" s="159"/>
      <c r="Q34" s="160"/>
      <c r="R34" s="161"/>
      <c r="S34" s="162"/>
    </row>
    <row r="35" spans="1:19" s="140" customFormat="1" ht="39" customHeight="1" thickBot="1">
      <c r="A35" s="155" t="s">
        <v>275</v>
      </c>
      <c r="B35" s="128">
        <v>600</v>
      </c>
      <c r="C35" s="303">
        <v>60014</v>
      </c>
      <c r="D35" s="170">
        <v>6050</v>
      </c>
      <c r="E35" s="305" t="s">
        <v>334</v>
      </c>
      <c r="F35" s="247">
        <f>SUM(G35:I35)</f>
        <v>150000</v>
      </c>
      <c r="G35" s="306">
        <v>0</v>
      </c>
      <c r="H35" s="270">
        <v>150000</v>
      </c>
      <c r="I35" s="258"/>
      <c r="J35" s="242"/>
      <c r="K35" s="304"/>
      <c r="L35" s="229"/>
      <c r="M35" s="148"/>
      <c r="N35" s="263"/>
      <c r="O35" s="264"/>
      <c r="P35" s="264"/>
      <c r="Q35" s="160"/>
      <c r="R35" s="265"/>
      <c r="S35" s="162"/>
    </row>
    <row r="36" spans="1:19" s="140" customFormat="1" ht="27.95" customHeight="1" thickBot="1">
      <c r="A36" s="487" t="s">
        <v>265</v>
      </c>
      <c r="B36" s="488"/>
      <c r="C36" s="488"/>
      <c r="D36" s="489"/>
      <c r="E36" s="488"/>
      <c r="F36" s="243">
        <f>SUM(G36:J36)</f>
        <v>10000</v>
      </c>
      <c r="G36" s="244">
        <f>SUM(G37)</f>
        <v>10000</v>
      </c>
      <c r="H36" s="244"/>
      <c r="I36" s="245"/>
      <c r="J36" s="246"/>
      <c r="K36" s="163"/>
      <c r="L36" s="230"/>
      <c r="M36" s="148"/>
      <c r="N36" s="148"/>
      <c r="O36" s="148"/>
    </row>
    <row r="37" spans="1:19" s="140" customFormat="1" ht="42" customHeight="1" thickBot="1">
      <c r="A37" s="123" t="s">
        <v>278</v>
      </c>
      <c r="B37" s="170">
        <v>600</v>
      </c>
      <c r="C37" s="170">
        <v>60014</v>
      </c>
      <c r="D37" s="170">
        <v>6050</v>
      </c>
      <c r="E37" s="208" t="s">
        <v>267</v>
      </c>
      <c r="F37" s="330">
        <f>SUM(G37:I37)</f>
        <v>10000</v>
      </c>
      <c r="G37" s="271">
        <f>200000-190000</f>
        <v>10000</v>
      </c>
      <c r="H37" s="271"/>
      <c r="I37" s="247"/>
      <c r="J37" s="248"/>
      <c r="K37" s="174" t="s">
        <v>237</v>
      </c>
      <c r="L37" s="221" t="s">
        <v>238</v>
      </c>
      <c r="M37" s="148"/>
      <c r="N37" s="148"/>
      <c r="O37" s="148"/>
    </row>
    <row r="38" spans="1:19" s="140" customFormat="1" ht="33" customHeight="1" thickBot="1">
      <c r="A38" s="470" t="s">
        <v>311</v>
      </c>
      <c r="B38" s="471"/>
      <c r="C38" s="471"/>
      <c r="D38" s="471"/>
      <c r="E38" s="472"/>
      <c r="F38" s="249">
        <f>SUM(G38:J38)</f>
        <v>649487</v>
      </c>
      <c r="G38" s="250">
        <f>SUM(G39:G41)</f>
        <v>149487</v>
      </c>
      <c r="H38" s="250">
        <f t="shared" ref="H38:I38" si="5">SUM(H39:H41)</f>
        <v>0</v>
      </c>
      <c r="I38" s="250">
        <f t="shared" si="5"/>
        <v>0</v>
      </c>
      <c r="J38" s="223">
        <f>200000+300000</f>
        <v>500000</v>
      </c>
      <c r="K38" s="222"/>
      <c r="L38" s="231"/>
      <c r="M38" s="148"/>
      <c r="N38" s="148"/>
      <c r="O38" s="148"/>
    </row>
    <row r="39" spans="1:19" s="137" customFormat="1" ht="37.5" customHeight="1" thickBot="1">
      <c r="A39" s="360" t="s">
        <v>281</v>
      </c>
      <c r="B39" s="361">
        <v>600</v>
      </c>
      <c r="C39" s="361">
        <v>60014</v>
      </c>
      <c r="D39" s="361">
        <v>6050</v>
      </c>
      <c r="E39" s="390" t="s">
        <v>312</v>
      </c>
      <c r="F39" s="372">
        <f>SUM(G39:I39)</f>
        <v>149487</v>
      </c>
      <c r="G39" s="391">
        <f>100000+49487</f>
        <v>149487</v>
      </c>
      <c r="H39" s="391"/>
      <c r="I39" s="372"/>
      <c r="J39" s="375"/>
      <c r="K39" s="373"/>
      <c r="L39" s="392"/>
      <c r="M39" s="136"/>
      <c r="N39" s="136"/>
      <c r="O39" s="136"/>
    </row>
    <row r="40" spans="1:19" s="140" customFormat="1" ht="42" customHeight="1" thickBot="1">
      <c r="A40" s="473" t="s">
        <v>284</v>
      </c>
      <c r="B40" s="170">
        <v>600</v>
      </c>
      <c r="C40" s="170">
        <v>60014</v>
      </c>
      <c r="D40" s="170">
        <v>6050</v>
      </c>
      <c r="E40" s="208" t="s">
        <v>313</v>
      </c>
      <c r="F40" s="247">
        <v>200000</v>
      </c>
      <c r="G40" s="271"/>
      <c r="H40" s="271"/>
      <c r="I40" s="247"/>
      <c r="J40" s="248" t="s">
        <v>257</v>
      </c>
      <c r="K40" s="174" t="s">
        <v>329</v>
      </c>
      <c r="L40" s="231"/>
      <c r="M40" s="148"/>
      <c r="N40" s="148"/>
      <c r="O40" s="148"/>
    </row>
    <row r="41" spans="1:19" s="140" customFormat="1" ht="42" customHeight="1" thickBot="1">
      <c r="A41" s="474"/>
      <c r="B41" s="170">
        <v>600</v>
      </c>
      <c r="C41" s="170">
        <v>60014</v>
      </c>
      <c r="D41" s="170">
        <v>6100</v>
      </c>
      <c r="E41" s="208" t="s">
        <v>313</v>
      </c>
      <c r="F41" s="247">
        <v>300000</v>
      </c>
      <c r="G41" s="271"/>
      <c r="H41" s="271"/>
      <c r="I41" s="247"/>
      <c r="J41" s="248" t="s">
        <v>332</v>
      </c>
      <c r="K41" s="174"/>
      <c r="L41" s="232"/>
      <c r="M41" s="148"/>
      <c r="N41" s="148"/>
      <c r="O41" s="148"/>
    </row>
    <row r="42" spans="1:19" s="166" customFormat="1" ht="27.95" customHeight="1" thickBot="1">
      <c r="A42" s="478" t="s">
        <v>268</v>
      </c>
      <c r="B42" s="479"/>
      <c r="C42" s="479"/>
      <c r="D42" s="479"/>
      <c r="E42" s="480"/>
      <c r="F42" s="251">
        <f>SUM(G42:J42)</f>
        <v>1399753</v>
      </c>
      <c r="G42" s="251">
        <f>SUM(G43:G49)</f>
        <v>387500</v>
      </c>
      <c r="H42" s="251">
        <f t="shared" ref="H42:I42" si="6">SUM(H43:H49)</f>
        <v>1012253</v>
      </c>
      <c r="I42" s="251">
        <f t="shared" si="6"/>
        <v>0</v>
      </c>
      <c r="J42" s="252">
        <f>1781250+6103750+1900000-1900000-1781250-6103750</f>
        <v>0</v>
      </c>
      <c r="K42" s="164"/>
      <c r="L42" s="228"/>
      <c r="M42" s="165"/>
      <c r="N42" s="165"/>
      <c r="O42" s="165"/>
    </row>
    <row r="43" spans="1:19" s="166" customFormat="1" ht="55.5" customHeight="1" thickBot="1">
      <c r="A43" s="167" t="s">
        <v>286</v>
      </c>
      <c r="B43" s="168">
        <v>600</v>
      </c>
      <c r="C43" s="168">
        <v>60014</v>
      </c>
      <c r="D43" s="168">
        <v>6050</v>
      </c>
      <c r="E43" s="156" t="s">
        <v>270</v>
      </c>
      <c r="F43" s="253"/>
      <c r="G43" s="247"/>
      <c r="H43" s="247"/>
      <c r="I43" s="253"/>
      <c r="J43" s="254"/>
      <c r="K43" s="169" t="s">
        <v>237</v>
      </c>
      <c r="L43" s="127" t="s">
        <v>238</v>
      </c>
      <c r="M43" s="165"/>
      <c r="N43" s="165"/>
      <c r="O43" s="165"/>
    </row>
    <row r="44" spans="1:19" s="122" customFormat="1" ht="39.950000000000003" customHeight="1" thickBot="1">
      <c r="A44" s="493" t="s">
        <v>289</v>
      </c>
      <c r="B44" s="377">
        <v>600</v>
      </c>
      <c r="C44" s="377">
        <v>60014</v>
      </c>
      <c r="D44" s="377">
        <v>6050</v>
      </c>
      <c r="E44" s="378" t="s">
        <v>272</v>
      </c>
      <c r="F44" s="379">
        <f>SUM(G44:I44)</f>
        <v>200000</v>
      </c>
      <c r="G44" s="372">
        <v>200000</v>
      </c>
      <c r="H44" s="372"/>
      <c r="I44" s="380"/>
      <c r="J44" s="379"/>
      <c r="K44" s="495" t="s">
        <v>237</v>
      </c>
      <c r="L44" s="466"/>
      <c r="M44" s="121"/>
      <c r="N44" s="121"/>
      <c r="O44" s="121"/>
    </row>
    <row r="45" spans="1:19" s="122" customFormat="1" ht="39.950000000000003" customHeight="1" thickBot="1">
      <c r="A45" s="494"/>
      <c r="B45" s="377">
        <v>600</v>
      </c>
      <c r="C45" s="377">
        <v>60014</v>
      </c>
      <c r="D45" s="377">
        <v>6370</v>
      </c>
      <c r="E45" s="378" t="s">
        <v>272</v>
      </c>
      <c r="F45" s="380">
        <v>0</v>
      </c>
      <c r="G45" s="372"/>
      <c r="H45" s="372"/>
      <c r="I45" s="380"/>
      <c r="J45" s="379" t="s">
        <v>354</v>
      </c>
      <c r="K45" s="496"/>
      <c r="L45" s="475"/>
      <c r="M45" s="121"/>
      <c r="N45" s="121"/>
      <c r="O45" s="121"/>
    </row>
    <row r="46" spans="1:19" s="189" customFormat="1" ht="46.5" customHeight="1" thickBot="1">
      <c r="A46" s="497" t="s">
        <v>293</v>
      </c>
      <c r="B46" s="361">
        <v>600</v>
      </c>
      <c r="C46" s="361">
        <v>60014</v>
      </c>
      <c r="D46" s="361">
        <v>6050</v>
      </c>
      <c r="E46" s="381" t="s">
        <v>274</v>
      </c>
      <c r="F46" s="372">
        <f>SUM(G46:I46)</f>
        <v>187500</v>
      </c>
      <c r="G46" s="372">
        <v>187500</v>
      </c>
      <c r="H46" s="372"/>
      <c r="I46" s="372"/>
      <c r="J46" s="375"/>
      <c r="K46" s="382"/>
      <c r="L46" s="313" t="s">
        <v>238</v>
      </c>
      <c r="M46" s="135"/>
      <c r="N46" s="135"/>
      <c r="O46" s="135"/>
    </row>
    <row r="47" spans="1:19" s="189" customFormat="1" ht="44.25" customHeight="1" thickBot="1">
      <c r="A47" s="498"/>
      <c r="B47" s="361">
        <v>600</v>
      </c>
      <c r="C47" s="361">
        <v>60014</v>
      </c>
      <c r="D47" s="361">
        <v>6370</v>
      </c>
      <c r="E47" s="381" t="s">
        <v>274</v>
      </c>
      <c r="F47" s="372">
        <v>0</v>
      </c>
      <c r="G47" s="372"/>
      <c r="H47" s="372"/>
      <c r="I47" s="372"/>
      <c r="J47" s="375" t="s">
        <v>354</v>
      </c>
      <c r="K47" s="382"/>
      <c r="L47" s="313" t="s">
        <v>238</v>
      </c>
      <c r="M47" s="135"/>
      <c r="N47" s="135"/>
      <c r="O47" s="135"/>
    </row>
    <row r="48" spans="1:19" s="189" customFormat="1" ht="39.950000000000003" customHeight="1" thickBot="1">
      <c r="A48" s="497" t="s">
        <v>302</v>
      </c>
      <c r="B48" s="361">
        <v>600</v>
      </c>
      <c r="C48" s="361">
        <v>60014</v>
      </c>
      <c r="D48" s="361">
        <v>6050</v>
      </c>
      <c r="E48" s="381" t="s">
        <v>276</v>
      </c>
      <c r="F48" s="372">
        <f>SUM(G48:I48)</f>
        <v>1012253</v>
      </c>
      <c r="G48" s="372"/>
      <c r="H48" s="372">
        <f>369753+642500</f>
        <v>1012253</v>
      </c>
      <c r="I48" s="372"/>
      <c r="J48" s="375"/>
      <c r="K48" s="382"/>
      <c r="L48" s="466" t="s">
        <v>238</v>
      </c>
      <c r="M48" s="383"/>
      <c r="N48" s="383"/>
      <c r="O48" s="135"/>
    </row>
    <row r="49" spans="1:16" s="189" customFormat="1" ht="39.950000000000003" customHeight="1" thickBot="1">
      <c r="A49" s="498"/>
      <c r="B49" s="361">
        <v>600</v>
      </c>
      <c r="C49" s="361">
        <v>60014</v>
      </c>
      <c r="D49" s="361">
        <v>6370</v>
      </c>
      <c r="E49" s="381" t="s">
        <v>276</v>
      </c>
      <c r="F49" s="372">
        <v>0</v>
      </c>
      <c r="G49" s="372"/>
      <c r="H49" s="372"/>
      <c r="I49" s="372"/>
      <c r="J49" s="375" t="s">
        <v>355</v>
      </c>
      <c r="K49" s="382"/>
      <c r="L49" s="467"/>
      <c r="M49" s="135"/>
      <c r="N49" s="135"/>
      <c r="O49" s="135"/>
    </row>
    <row r="50" spans="1:16" s="172" customFormat="1" ht="26.25" customHeight="1" thickBot="1">
      <c r="A50" s="470" t="s">
        <v>277</v>
      </c>
      <c r="B50" s="471"/>
      <c r="C50" s="471"/>
      <c r="D50" s="471"/>
      <c r="E50" s="472"/>
      <c r="F50" s="255">
        <f>SUM(G50:I50)</f>
        <v>495000</v>
      </c>
      <c r="G50" s="255">
        <f>G51</f>
        <v>495000</v>
      </c>
      <c r="H50" s="255">
        <f t="shared" ref="H50:I50" si="7">H51</f>
        <v>0</v>
      </c>
      <c r="I50" s="255">
        <f t="shared" si="7"/>
        <v>0</v>
      </c>
      <c r="J50" s="255"/>
      <c r="K50" s="173"/>
      <c r="L50" s="173"/>
      <c r="M50" s="108"/>
      <c r="N50" s="108"/>
      <c r="O50" s="108"/>
    </row>
    <row r="51" spans="1:16" s="132" customFormat="1" ht="30" customHeight="1" thickBot="1">
      <c r="A51" s="123" t="s">
        <v>302</v>
      </c>
      <c r="B51" s="170">
        <v>600</v>
      </c>
      <c r="C51" s="170">
        <v>60014</v>
      </c>
      <c r="D51" s="170">
        <v>6060</v>
      </c>
      <c r="E51" s="171" t="s">
        <v>279</v>
      </c>
      <c r="F51" s="247">
        <f>SUM(G51:I51)</f>
        <v>495000</v>
      </c>
      <c r="G51" s="247">
        <v>495000</v>
      </c>
      <c r="H51" s="247"/>
      <c r="I51" s="247"/>
      <c r="J51" s="248"/>
      <c r="K51" s="174"/>
      <c r="L51" s="175"/>
      <c r="M51" s="131"/>
      <c r="N51" s="131"/>
      <c r="O51" s="131"/>
    </row>
    <row r="52" spans="1:16" s="137" customFormat="1" ht="35.1" customHeight="1" thickBot="1">
      <c r="A52" s="499" t="s">
        <v>280</v>
      </c>
      <c r="B52" s="500"/>
      <c r="C52" s="500"/>
      <c r="D52" s="500"/>
      <c r="E52" s="500"/>
      <c r="F52" s="256">
        <f>SUM(F7,F12,F22,F28,F31,F36,F38,F42,F50)</f>
        <v>40578983.049999997</v>
      </c>
      <c r="G52" s="256">
        <f t="shared" ref="G52:J52" si="8">SUM(G7,G12,G22,G28,G31,G36,G38,G42,G50)</f>
        <v>2848563</v>
      </c>
      <c r="H52" s="256">
        <f t="shared" si="8"/>
        <v>10804272</v>
      </c>
      <c r="I52" s="256">
        <f t="shared" si="8"/>
        <v>0</v>
      </c>
      <c r="J52" s="256">
        <f t="shared" si="8"/>
        <v>26926148.050000001</v>
      </c>
      <c r="K52" s="176"/>
      <c r="L52" s="177"/>
      <c r="M52" s="178"/>
      <c r="N52" s="178"/>
      <c r="O52" s="136"/>
    </row>
    <row r="53" spans="1:16" s="137" customFormat="1" ht="41.25" customHeight="1" thickBot="1">
      <c r="A53" s="331" t="s">
        <v>316</v>
      </c>
      <c r="B53" s="332">
        <v>700</v>
      </c>
      <c r="C53" s="332">
        <v>70095</v>
      </c>
      <c r="D53" s="333">
        <v>6060</v>
      </c>
      <c r="E53" s="337" t="s">
        <v>338</v>
      </c>
      <c r="F53" s="334">
        <f>SUM(G53:I53)</f>
        <v>1200000</v>
      </c>
      <c r="G53" s="338">
        <v>1200000</v>
      </c>
      <c r="H53" s="335"/>
      <c r="I53" s="335"/>
      <c r="J53" s="335"/>
      <c r="K53" s="336"/>
      <c r="L53" s="177"/>
      <c r="M53" s="178"/>
      <c r="N53" s="178"/>
      <c r="O53" s="136"/>
    </row>
    <row r="54" spans="1:16" s="137" customFormat="1" ht="35.1" customHeight="1" thickBot="1">
      <c r="A54" s="512" t="s">
        <v>339</v>
      </c>
      <c r="B54" s="513"/>
      <c r="C54" s="513"/>
      <c r="D54" s="513"/>
      <c r="E54" s="514"/>
      <c r="F54" s="455">
        <f>F53</f>
        <v>1200000</v>
      </c>
      <c r="G54" s="456">
        <f t="shared" ref="G54:J54" si="9">G53</f>
        <v>1200000</v>
      </c>
      <c r="H54" s="456">
        <f t="shared" si="9"/>
        <v>0</v>
      </c>
      <c r="I54" s="456">
        <f t="shared" si="9"/>
        <v>0</v>
      </c>
      <c r="J54" s="456">
        <f t="shared" si="9"/>
        <v>0</v>
      </c>
      <c r="K54" s="457"/>
      <c r="L54" s="287"/>
      <c r="M54" s="178"/>
      <c r="N54" s="178"/>
      <c r="O54" s="136"/>
    </row>
    <row r="55" spans="1:16" s="137" customFormat="1" ht="54" customHeight="1" thickBot="1">
      <c r="A55" s="361" t="s">
        <v>317</v>
      </c>
      <c r="B55" s="361">
        <v>750</v>
      </c>
      <c r="C55" s="361">
        <v>75020</v>
      </c>
      <c r="D55" s="361">
        <v>6050</v>
      </c>
      <c r="E55" s="371" t="s">
        <v>384</v>
      </c>
      <c r="F55" s="372">
        <f>SUM(G55:I55)</f>
        <v>60000</v>
      </c>
      <c r="G55" s="372">
        <v>60000</v>
      </c>
      <c r="H55" s="372"/>
      <c r="I55" s="372"/>
      <c r="J55" s="372"/>
      <c r="K55" s="373"/>
      <c r="L55" s="460"/>
      <c r="M55" s="178"/>
      <c r="N55" s="178"/>
      <c r="O55" s="136"/>
    </row>
    <row r="56" spans="1:16" s="137" customFormat="1" ht="35.1" customHeight="1" thickBot="1">
      <c r="A56" s="518" t="s">
        <v>382</v>
      </c>
      <c r="B56" s="519"/>
      <c r="C56" s="519"/>
      <c r="D56" s="519"/>
      <c r="E56" s="520"/>
      <c r="F56" s="458">
        <f>F55</f>
        <v>60000</v>
      </c>
      <c r="G56" s="458">
        <f t="shared" ref="G56:J56" si="10">G55</f>
        <v>60000</v>
      </c>
      <c r="H56" s="458">
        <f t="shared" si="10"/>
        <v>0</v>
      </c>
      <c r="I56" s="458">
        <f t="shared" si="10"/>
        <v>0</v>
      </c>
      <c r="J56" s="458">
        <f t="shared" si="10"/>
        <v>0</v>
      </c>
      <c r="K56" s="209"/>
      <c r="L56" s="177"/>
      <c r="M56" s="178"/>
      <c r="N56" s="178"/>
      <c r="O56" s="136"/>
    </row>
    <row r="57" spans="1:16" s="132" customFormat="1" ht="34.5" customHeight="1" thickBot="1">
      <c r="A57" s="314" t="s">
        <v>318</v>
      </c>
      <c r="B57" s="315">
        <v>758</v>
      </c>
      <c r="C57" s="315">
        <v>75818</v>
      </c>
      <c r="D57" s="315">
        <v>6800</v>
      </c>
      <c r="E57" s="316" t="s">
        <v>282</v>
      </c>
      <c r="F57" s="317">
        <f>G57</f>
        <v>100000</v>
      </c>
      <c r="G57" s="317">
        <v>100000</v>
      </c>
      <c r="H57" s="317"/>
      <c r="I57" s="317"/>
      <c r="J57" s="317"/>
      <c r="K57" s="318"/>
      <c r="L57" s="459"/>
      <c r="M57" s="131"/>
      <c r="N57" s="131"/>
      <c r="O57" s="131"/>
    </row>
    <row r="58" spans="1:16" s="132" customFormat="1" ht="35.1" customHeight="1" thickBot="1">
      <c r="A58" s="504" t="s">
        <v>283</v>
      </c>
      <c r="B58" s="505"/>
      <c r="C58" s="505"/>
      <c r="D58" s="505"/>
      <c r="E58" s="505"/>
      <c r="F58" s="257">
        <f>SUM(F57)</f>
        <v>100000</v>
      </c>
      <c r="G58" s="257">
        <f>SUM(G57)</f>
        <v>100000</v>
      </c>
      <c r="H58" s="257">
        <f>SUM(H57)</f>
        <v>0</v>
      </c>
      <c r="I58" s="257">
        <f>SUM(I57)</f>
        <v>0</v>
      </c>
      <c r="J58" s="257"/>
      <c r="K58" s="179"/>
      <c r="L58" s="180"/>
      <c r="M58" s="131"/>
      <c r="N58" s="131"/>
      <c r="O58" s="131"/>
    </row>
    <row r="59" spans="1:16" s="132" customFormat="1" ht="35.1" customHeight="1" thickBot="1">
      <c r="A59" s="181" t="s">
        <v>319</v>
      </c>
      <c r="B59" s="124">
        <v>851</v>
      </c>
      <c r="C59" s="124">
        <v>85111</v>
      </c>
      <c r="D59" s="124">
        <v>6010</v>
      </c>
      <c r="E59" s="182" t="s">
        <v>285</v>
      </c>
      <c r="F59" s="258">
        <f>G59</f>
        <v>400000</v>
      </c>
      <c r="G59" s="258">
        <v>400000</v>
      </c>
      <c r="H59" s="259"/>
      <c r="I59" s="259"/>
      <c r="J59" s="259"/>
      <c r="K59" s="183"/>
      <c r="L59" s="184"/>
      <c r="M59" s="131"/>
      <c r="N59" s="131"/>
      <c r="O59" s="131"/>
    </row>
    <row r="60" spans="1:16" s="132" customFormat="1" ht="58.5" customHeight="1" thickBot="1">
      <c r="A60" s="181" t="s">
        <v>320</v>
      </c>
      <c r="B60" s="124">
        <v>851</v>
      </c>
      <c r="C60" s="124">
        <v>85111</v>
      </c>
      <c r="D60" s="124">
        <v>6230</v>
      </c>
      <c r="E60" s="182" t="s">
        <v>287</v>
      </c>
      <c r="F60" s="258">
        <v>2412513.15</v>
      </c>
      <c r="G60" s="258"/>
      <c r="H60" s="258"/>
      <c r="I60" s="258"/>
      <c r="J60" s="307" t="s">
        <v>324</v>
      </c>
      <c r="K60" s="308"/>
      <c r="L60" s="127" t="s">
        <v>238</v>
      </c>
      <c r="M60" s="131"/>
      <c r="N60" s="131"/>
      <c r="O60" s="131"/>
    </row>
    <row r="61" spans="1:16" s="132" customFormat="1" ht="35.1" customHeight="1" thickBot="1">
      <c r="A61" s="506" t="s">
        <v>288</v>
      </c>
      <c r="B61" s="506"/>
      <c r="C61" s="506"/>
      <c r="D61" s="506"/>
      <c r="E61" s="506"/>
      <c r="F61" s="257">
        <f>SUM(F59:F60)</f>
        <v>2812513.15</v>
      </c>
      <c r="G61" s="257">
        <f t="shared" ref="G61:I61" si="11">SUM(G59:G60)</f>
        <v>400000</v>
      </c>
      <c r="H61" s="257">
        <f t="shared" si="11"/>
        <v>0</v>
      </c>
      <c r="I61" s="257">
        <f t="shared" si="11"/>
        <v>0</v>
      </c>
      <c r="J61" s="257">
        <v>2412513.15</v>
      </c>
      <c r="K61" s="179"/>
      <c r="L61" s="184"/>
      <c r="M61" s="131"/>
      <c r="N61" s="131"/>
      <c r="O61" s="131"/>
    </row>
    <row r="62" spans="1:16" s="187" customFormat="1" ht="35.25" customHeight="1" thickBot="1">
      <c r="A62" s="507" t="s">
        <v>321</v>
      </c>
      <c r="B62" s="128">
        <v>852</v>
      </c>
      <c r="C62" s="128">
        <v>85202</v>
      </c>
      <c r="D62" s="128">
        <v>6050</v>
      </c>
      <c r="E62" s="185" t="s">
        <v>290</v>
      </c>
      <c r="F62" s="234">
        <f>SUM(G62:I62)</f>
        <v>4006626</v>
      </c>
      <c r="G62" s="234">
        <v>252898</v>
      </c>
      <c r="H62" s="234">
        <v>3753728</v>
      </c>
      <c r="I62" s="234"/>
      <c r="J62" s="235"/>
      <c r="K62" s="126"/>
      <c r="L62" s="186" t="s">
        <v>238</v>
      </c>
      <c r="M62" s="121"/>
      <c r="N62" s="121"/>
      <c r="O62" s="121"/>
      <c r="P62" s="122"/>
    </row>
    <row r="63" spans="1:16" s="187" customFormat="1" ht="42" customHeight="1" thickBot="1">
      <c r="A63" s="508"/>
      <c r="B63" s="124">
        <v>852</v>
      </c>
      <c r="C63" s="124">
        <v>85202</v>
      </c>
      <c r="D63" s="124">
        <v>6370</v>
      </c>
      <c r="E63" s="185" t="s">
        <v>290</v>
      </c>
      <c r="F63" s="260">
        <f>4675000</f>
        <v>4675000</v>
      </c>
      <c r="G63" s="260"/>
      <c r="H63" s="260"/>
      <c r="I63" s="260"/>
      <c r="J63" s="242" t="s">
        <v>291</v>
      </c>
      <c r="K63" s="188"/>
      <c r="L63" s="362" t="s">
        <v>238</v>
      </c>
      <c r="M63" s="121"/>
      <c r="N63" s="121"/>
      <c r="O63" s="121"/>
      <c r="P63" s="122"/>
    </row>
    <row r="64" spans="1:16" s="187" customFormat="1" ht="47.25" customHeight="1" thickBot="1">
      <c r="A64" s="361" t="s">
        <v>327</v>
      </c>
      <c r="B64" s="366">
        <v>852</v>
      </c>
      <c r="C64" s="366">
        <v>85202</v>
      </c>
      <c r="D64" s="361">
        <v>6050</v>
      </c>
      <c r="E64" s="374" t="s">
        <v>356</v>
      </c>
      <c r="F64" s="372">
        <f>SUM(G64:I64)</f>
        <v>75839.83</v>
      </c>
      <c r="G64" s="372">
        <v>75839.83</v>
      </c>
      <c r="H64" s="372"/>
      <c r="I64" s="372"/>
      <c r="J64" s="375"/>
      <c r="K64" s="373"/>
      <c r="L64" s="376"/>
      <c r="M64" s="121"/>
      <c r="N64" s="121"/>
      <c r="O64" s="121"/>
      <c r="P64" s="122"/>
    </row>
    <row r="65" spans="1:16" s="187" customFormat="1" ht="42" customHeight="1" thickBot="1">
      <c r="A65" s="361" t="s">
        <v>341</v>
      </c>
      <c r="B65" s="367">
        <v>852</v>
      </c>
      <c r="C65" s="368">
        <v>85202</v>
      </c>
      <c r="D65" s="361">
        <v>6060</v>
      </c>
      <c r="E65" s="374" t="s">
        <v>357</v>
      </c>
      <c r="F65" s="372">
        <f>SUM(G65:I65)</f>
        <v>3000</v>
      </c>
      <c r="G65" s="372">
        <v>3000</v>
      </c>
      <c r="H65" s="372"/>
      <c r="I65" s="372"/>
      <c r="J65" s="375"/>
      <c r="K65" s="373"/>
      <c r="L65" s="376"/>
      <c r="M65" s="121"/>
      <c r="N65" s="121"/>
      <c r="O65" s="121"/>
      <c r="P65" s="122"/>
    </row>
    <row r="66" spans="1:16" s="190" customFormat="1" ht="42" customHeight="1" thickBot="1">
      <c r="A66" s="463" t="s">
        <v>292</v>
      </c>
      <c r="B66" s="463"/>
      <c r="C66" s="463"/>
      <c r="D66" s="463"/>
      <c r="E66" s="463"/>
      <c r="F66" s="363">
        <f>SUM(F62:F65)</f>
        <v>8760465.8300000001</v>
      </c>
      <c r="G66" s="363">
        <f t="shared" ref="G66:I66" si="12">SUM(G62:G65)</f>
        <v>331737.83</v>
      </c>
      <c r="H66" s="363">
        <f t="shared" si="12"/>
        <v>3753728</v>
      </c>
      <c r="I66" s="363">
        <f t="shared" si="12"/>
        <v>0</v>
      </c>
      <c r="J66" s="363">
        <v>4675000</v>
      </c>
      <c r="K66" s="364"/>
      <c r="L66" s="369"/>
      <c r="M66" s="135"/>
      <c r="N66" s="135"/>
      <c r="O66" s="135"/>
      <c r="P66" s="189"/>
    </row>
    <row r="67" spans="1:16" s="190" customFormat="1" ht="42" customHeight="1" thickBot="1">
      <c r="A67" s="361" t="s">
        <v>342</v>
      </c>
      <c r="B67" s="361">
        <v>852</v>
      </c>
      <c r="C67" s="361">
        <v>85218</v>
      </c>
      <c r="D67" s="361">
        <v>6050</v>
      </c>
      <c r="E67" s="371" t="s">
        <v>360</v>
      </c>
      <c r="F67" s="372">
        <f>SUM(G67:I67)</f>
        <v>35012</v>
      </c>
      <c r="G67" s="372">
        <v>35012</v>
      </c>
      <c r="H67" s="372"/>
      <c r="I67" s="372"/>
      <c r="J67" s="372"/>
      <c r="K67" s="373"/>
      <c r="L67" s="370"/>
      <c r="M67" s="135"/>
      <c r="N67" s="135"/>
      <c r="O67" s="135"/>
      <c r="P67" s="189"/>
    </row>
    <row r="68" spans="1:16" s="190" customFormat="1" ht="42" customHeight="1" thickBot="1">
      <c r="A68" s="361" t="s">
        <v>358</v>
      </c>
      <c r="B68" s="361">
        <v>852</v>
      </c>
      <c r="C68" s="361">
        <v>85218</v>
      </c>
      <c r="D68" s="361">
        <v>6060</v>
      </c>
      <c r="E68" s="371" t="s">
        <v>361</v>
      </c>
      <c r="F68" s="372">
        <f>SUM(G68:I68)</f>
        <v>2114</v>
      </c>
      <c r="G68" s="372">
        <v>2114</v>
      </c>
      <c r="H68" s="372"/>
      <c r="I68" s="372"/>
      <c r="J68" s="372"/>
      <c r="K68" s="373"/>
      <c r="L68" s="370"/>
      <c r="M68" s="135"/>
      <c r="N68" s="135"/>
      <c r="O68" s="135"/>
      <c r="P68" s="189"/>
    </row>
    <row r="69" spans="1:16" s="190" customFormat="1" ht="42" customHeight="1" thickBot="1">
      <c r="A69" s="463" t="s">
        <v>362</v>
      </c>
      <c r="B69" s="463"/>
      <c r="C69" s="463"/>
      <c r="D69" s="463"/>
      <c r="E69" s="463"/>
      <c r="F69" s="363">
        <f>SUM(F67:F68)</f>
        <v>37126</v>
      </c>
      <c r="G69" s="363">
        <f t="shared" ref="G69:J69" si="13">SUM(G67:G68)</f>
        <v>37126</v>
      </c>
      <c r="H69" s="363">
        <f t="shared" si="13"/>
        <v>0</v>
      </c>
      <c r="I69" s="363">
        <f t="shared" si="13"/>
        <v>0</v>
      </c>
      <c r="J69" s="363">
        <f t="shared" si="13"/>
        <v>0</v>
      </c>
      <c r="K69" s="364"/>
      <c r="L69" s="365"/>
      <c r="M69" s="135"/>
      <c r="N69" s="135"/>
      <c r="O69" s="135"/>
      <c r="P69" s="189"/>
    </row>
    <row r="70" spans="1:16" s="190" customFormat="1" ht="86.25" customHeight="1" thickBot="1">
      <c r="A70" s="170" t="s">
        <v>359</v>
      </c>
      <c r="B70" s="170">
        <v>853</v>
      </c>
      <c r="C70" s="170">
        <v>85311</v>
      </c>
      <c r="D70" s="170">
        <v>6230</v>
      </c>
      <c r="E70" s="339" t="s">
        <v>352</v>
      </c>
      <c r="F70" s="330">
        <f>SUM(G70:I70)</f>
        <v>20000</v>
      </c>
      <c r="G70" s="247">
        <v>20000</v>
      </c>
      <c r="H70" s="330"/>
      <c r="I70" s="330"/>
      <c r="J70" s="330"/>
      <c r="K70" s="340"/>
      <c r="L70" s="343"/>
      <c r="M70" s="135"/>
      <c r="N70" s="135"/>
      <c r="O70" s="135"/>
      <c r="P70" s="189"/>
    </row>
    <row r="71" spans="1:16" s="190" customFormat="1" ht="42" customHeight="1" thickBot="1">
      <c r="A71" s="515" t="s">
        <v>340</v>
      </c>
      <c r="B71" s="515"/>
      <c r="C71" s="515"/>
      <c r="D71" s="515"/>
      <c r="E71" s="515"/>
      <c r="F71" s="261">
        <f>F70</f>
        <v>20000</v>
      </c>
      <c r="G71" s="261">
        <f t="shared" ref="G71:J71" si="14">G70</f>
        <v>20000</v>
      </c>
      <c r="H71" s="261">
        <f t="shared" si="14"/>
        <v>0</v>
      </c>
      <c r="I71" s="261">
        <f t="shared" si="14"/>
        <v>0</v>
      </c>
      <c r="J71" s="261">
        <f t="shared" si="14"/>
        <v>0</v>
      </c>
      <c r="K71" s="341"/>
      <c r="L71" s="343"/>
      <c r="M71" s="135"/>
      <c r="N71" s="135"/>
      <c r="O71" s="135"/>
      <c r="P71" s="189"/>
    </row>
    <row r="72" spans="1:16" s="288" customFormat="1" ht="55.5" customHeight="1" thickBot="1">
      <c r="A72" s="309" t="s">
        <v>376</v>
      </c>
      <c r="B72" s="309">
        <v>854</v>
      </c>
      <c r="C72" s="309">
        <v>85403</v>
      </c>
      <c r="D72" s="309">
        <v>6050</v>
      </c>
      <c r="E72" s="311" t="s">
        <v>335</v>
      </c>
      <c r="F72" s="312">
        <f>SUM(G72:I72)</f>
        <v>910630</v>
      </c>
      <c r="G72" s="312">
        <v>910630</v>
      </c>
      <c r="H72" s="312"/>
      <c r="I72" s="310"/>
      <c r="J72" s="310"/>
      <c r="K72" s="342"/>
      <c r="L72" s="343"/>
      <c r="M72" s="108"/>
      <c r="N72" s="108"/>
      <c r="O72" s="108"/>
      <c r="P72" s="172"/>
    </row>
    <row r="73" spans="1:16" s="190" customFormat="1" ht="42" customHeight="1" thickBot="1">
      <c r="A73" s="509" t="s">
        <v>326</v>
      </c>
      <c r="B73" s="510"/>
      <c r="C73" s="510"/>
      <c r="D73" s="510"/>
      <c r="E73" s="511"/>
      <c r="F73" s="261">
        <f>SUM(F72)</f>
        <v>910630</v>
      </c>
      <c r="G73" s="261">
        <f t="shared" ref="G73:J73" si="15">SUM(G72)</f>
        <v>910630</v>
      </c>
      <c r="H73" s="261">
        <f t="shared" si="15"/>
        <v>0</v>
      </c>
      <c r="I73" s="261">
        <f t="shared" si="15"/>
        <v>0</v>
      </c>
      <c r="J73" s="261">
        <f t="shared" si="15"/>
        <v>0</v>
      </c>
      <c r="K73" s="341"/>
      <c r="L73" s="344"/>
      <c r="M73" s="135"/>
      <c r="N73" s="135"/>
      <c r="O73" s="135"/>
      <c r="P73" s="189"/>
    </row>
    <row r="74" spans="1:16" s="190" customFormat="1" ht="42" customHeight="1" thickBot="1">
      <c r="A74" s="170" t="s">
        <v>377</v>
      </c>
      <c r="B74" s="170">
        <v>854</v>
      </c>
      <c r="C74" s="170">
        <v>85407</v>
      </c>
      <c r="D74" s="170">
        <v>6050</v>
      </c>
      <c r="E74" s="191" t="s">
        <v>328</v>
      </c>
      <c r="F74" s="247">
        <f>G74+44678</f>
        <v>70000</v>
      </c>
      <c r="G74" s="247">
        <v>25322</v>
      </c>
      <c r="H74" s="247"/>
      <c r="I74" s="247"/>
      <c r="J74" s="248" t="s">
        <v>315</v>
      </c>
      <c r="K74" s="174"/>
      <c r="L74" s="267"/>
      <c r="M74" s="135"/>
      <c r="N74" s="135"/>
      <c r="O74" s="135"/>
      <c r="P74" s="189"/>
    </row>
    <row r="75" spans="1:16" s="190" customFormat="1" ht="37.5" customHeight="1" thickBot="1">
      <c r="A75" s="501" t="s">
        <v>301</v>
      </c>
      <c r="B75" s="502"/>
      <c r="C75" s="502"/>
      <c r="D75" s="502"/>
      <c r="E75" s="503"/>
      <c r="F75" s="261">
        <f>SUM(F74)</f>
        <v>70000</v>
      </c>
      <c r="G75" s="261">
        <f>SUM(G74)</f>
        <v>25322</v>
      </c>
      <c r="H75" s="261">
        <f>SUM(H74)</f>
        <v>0</v>
      </c>
      <c r="I75" s="261">
        <f>SUM(I74)</f>
        <v>0</v>
      </c>
      <c r="J75" s="261">
        <v>44678</v>
      </c>
      <c r="K75" s="209"/>
      <c r="L75" s="268"/>
      <c r="M75" s="135"/>
      <c r="N75" s="135"/>
      <c r="O75" s="135"/>
      <c r="P75" s="189"/>
    </row>
    <row r="76" spans="1:16" s="122" customFormat="1" ht="35.1" customHeight="1" thickBot="1">
      <c r="A76" s="170" t="s">
        <v>383</v>
      </c>
      <c r="B76" s="170">
        <v>855</v>
      </c>
      <c r="C76" s="170">
        <v>85510</v>
      </c>
      <c r="D76" s="170">
        <v>6050</v>
      </c>
      <c r="E76" s="191" t="s">
        <v>294</v>
      </c>
      <c r="F76" s="247">
        <f>SUM(G76:I76)</f>
        <v>20000</v>
      </c>
      <c r="G76" s="247">
        <v>20000</v>
      </c>
      <c r="H76" s="247"/>
      <c r="I76" s="247"/>
      <c r="J76" s="247"/>
      <c r="K76" s="174"/>
      <c r="L76" s="266"/>
      <c r="M76" s="121"/>
      <c r="N76" s="121"/>
      <c r="O76" s="121"/>
    </row>
    <row r="77" spans="1:16" s="189" customFormat="1" ht="35.1" customHeight="1" thickBot="1">
      <c r="A77" s="501" t="s">
        <v>295</v>
      </c>
      <c r="B77" s="502"/>
      <c r="C77" s="502"/>
      <c r="D77" s="502"/>
      <c r="E77" s="503"/>
      <c r="F77" s="256">
        <f>SUM(F76:F76)</f>
        <v>20000</v>
      </c>
      <c r="G77" s="256">
        <f>SUM(G76:G76)</f>
        <v>20000</v>
      </c>
      <c r="H77" s="256">
        <f>SUM(H76:H76)</f>
        <v>0</v>
      </c>
      <c r="I77" s="256">
        <f>SUM(I76:I76)</f>
        <v>0</v>
      </c>
      <c r="J77" s="256">
        <f>SUM(J76:J76)</f>
        <v>0</v>
      </c>
      <c r="K77" s="176"/>
      <c r="L77" s="180"/>
      <c r="M77" s="135"/>
      <c r="N77" s="135"/>
      <c r="O77" s="135"/>
    </row>
    <row r="78" spans="1:16" s="190" customFormat="1" ht="36" customHeight="1" thickBot="1">
      <c r="A78" s="490" t="s">
        <v>296</v>
      </c>
      <c r="B78" s="491"/>
      <c r="C78" s="491"/>
      <c r="D78" s="491"/>
      <c r="E78" s="492"/>
      <c r="F78" s="262">
        <f>F52+F54+F56+F58+F61+F66+F69+F71+F73+F75+F77</f>
        <v>54569718.029999994</v>
      </c>
      <c r="G78" s="262">
        <f t="shared" ref="G78:J78" si="16">G52+G54+G56+G58+G61+G66+G69+G71+G73+G75+G77</f>
        <v>5953378.8300000001</v>
      </c>
      <c r="H78" s="262">
        <f t="shared" si="16"/>
        <v>14558000</v>
      </c>
      <c r="I78" s="262">
        <f t="shared" si="16"/>
        <v>0</v>
      </c>
      <c r="J78" s="262">
        <f t="shared" si="16"/>
        <v>34058339.200000003</v>
      </c>
      <c r="K78" s="192"/>
      <c r="L78" s="193"/>
      <c r="M78" s="289"/>
      <c r="N78" s="135"/>
      <c r="O78" s="135"/>
      <c r="P78" s="189"/>
    </row>
    <row r="79" spans="1:16" s="189" customFormat="1" ht="27" customHeight="1">
      <c r="A79" s="194" t="s">
        <v>330</v>
      </c>
      <c r="B79" s="195"/>
      <c r="C79" s="195"/>
      <c r="D79" s="195"/>
      <c r="E79" s="110"/>
      <c r="F79" s="196"/>
      <c r="G79" s="196"/>
      <c r="H79" s="196"/>
      <c r="I79" s="197"/>
      <c r="J79" s="197"/>
      <c r="K79" s="39"/>
      <c r="L79" s="108"/>
      <c r="M79" s="135"/>
      <c r="N79" s="135"/>
      <c r="O79" s="135"/>
    </row>
    <row r="80" spans="1:16" s="132" customFormat="1" ht="20.25" customHeight="1">
      <c r="A80" s="194" t="s">
        <v>297</v>
      </c>
      <c r="B80" s="195"/>
      <c r="C80" s="195"/>
      <c r="D80" s="195"/>
      <c r="E80" s="110"/>
      <c r="F80" s="197"/>
      <c r="G80" s="197"/>
      <c r="H80" s="196"/>
      <c r="I80" s="196"/>
      <c r="J80" s="196"/>
      <c r="K80" s="198"/>
      <c r="L80" s="108"/>
      <c r="M80" s="131"/>
      <c r="N80" s="131"/>
      <c r="O80" s="131"/>
    </row>
    <row r="81" spans="1:15" s="189" customFormat="1" ht="21" customHeight="1">
      <c r="A81" s="194" t="s">
        <v>298</v>
      </c>
      <c r="B81" s="195"/>
      <c r="C81" s="195"/>
      <c r="D81" s="195"/>
      <c r="E81" s="110"/>
      <c r="F81" s="196"/>
      <c r="G81" s="197"/>
      <c r="H81" s="196"/>
      <c r="I81" s="319"/>
      <c r="J81" s="319"/>
      <c r="K81" s="198"/>
      <c r="L81" s="108"/>
      <c r="M81" s="135"/>
      <c r="N81" s="135"/>
      <c r="O81" s="135"/>
    </row>
    <row r="82" spans="1:15" s="201" customFormat="1" ht="21" customHeight="1">
      <c r="A82" s="194" t="s">
        <v>299</v>
      </c>
      <c r="B82" s="195"/>
      <c r="C82" s="195"/>
      <c r="D82" s="195"/>
      <c r="E82" s="195"/>
      <c r="F82" s="197"/>
      <c r="G82" s="197"/>
      <c r="H82" s="197"/>
      <c r="I82" s="196"/>
      <c r="J82" s="196"/>
      <c r="K82" s="39"/>
      <c r="L82" s="199"/>
      <c r="M82" s="200"/>
      <c r="N82" s="200"/>
      <c r="O82" s="200"/>
    </row>
    <row r="83" spans="1:15" s="203" customFormat="1" ht="19.5" customHeight="1">
      <c r="A83" s="110" t="s">
        <v>300</v>
      </c>
      <c r="B83" s="195"/>
      <c r="C83" s="195"/>
      <c r="D83" s="195"/>
      <c r="E83" s="197"/>
      <c r="F83" s="196"/>
      <c r="G83" s="197"/>
      <c r="H83" s="197"/>
      <c r="I83" s="197"/>
      <c r="J83" s="197"/>
      <c r="K83" s="198"/>
      <c r="L83" s="199"/>
      <c r="M83" s="202"/>
      <c r="N83" s="202"/>
      <c r="O83" s="202"/>
    </row>
    <row r="84" spans="1:15" s="189" customFormat="1" ht="30" customHeight="1">
      <c r="A84" s="105"/>
      <c r="B84" s="105"/>
      <c r="C84" s="105"/>
      <c r="D84" s="105"/>
      <c r="E84" s="106"/>
      <c r="F84" s="106"/>
      <c r="G84" s="106"/>
      <c r="H84" s="204"/>
      <c r="I84" s="106"/>
      <c r="J84" s="204"/>
      <c r="K84" s="107"/>
      <c r="L84" s="108"/>
      <c r="M84" s="289"/>
      <c r="N84" s="135"/>
      <c r="O84" s="135"/>
    </row>
    <row r="85" spans="1:15" s="122" customFormat="1" ht="27" customHeight="1">
      <c r="A85" s="105"/>
      <c r="B85" s="105"/>
      <c r="C85" s="105"/>
      <c r="D85" s="105"/>
      <c r="E85" s="106"/>
      <c r="F85" s="106"/>
      <c r="G85" s="106"/>
      <c r="H85" s="106"/>
      <c r="I85" s="106"/>
      <c r="J85" s="106"/>
      <c r="K85" s="107"/>
      <c r="L85" s="108"/>
      <c r="M85" s="121"/>
      <c r="N85" s="121"/>
      <c r="O85" s="121"/>
    </row>
    <row r="87" spans="1:15" s="206" customFormat="1" ht="12.75" customHeight="1">
      <c r="A87" s="105"/>
      <c r="B87" s="105"/>
      <c r="C87" s="105"/>
      <c r="D87" s="105"/>
      <c r="E87" s="106"/>
      <c r="F87" s="106"/>
      <c r="G87" s="106"/>
      <c r="H87" s="106"/>
      <c r="I87" s="106"/>
      <c r="J87" s="106"/>
      <c r="K87" s="107"/>
      <c r="L87" s="108"/>
      <c r="M87" s="205"/>
      <c r="N87" s="205"/>
      <c r="O87" s="205"/>
    </row>
    <row r="88" spans="1:15" s="206" customFormat="1" ht="12.75" customHeight="1">
      <c r="A88" s="105"/>
      <c r="B88" s="105"/>
      <c r="C88" s="105"/>
      <c r="D88" s="105"/>
      <c r="E88" s="106"/>
      <c r="F88" s="106"/>
      <c r="G88" s="106"/>
      <c r="H88" s="106"/>
      <c r="I88" s="106"/>
      <c r="J88" s="106"/>
      <c r="K88" s="107"/>
      <c r="L88" s="108"/>
      <c r="M88" s="205"/>
      <c r="N88" s="205"/>
      <c r="O88" s="205"/>
    </row>
    <row r="89" spans="1:15" s="206" customFormat="1" ht="12.75" customHeight="1">
      <c r="A89" s="105"/>
      <c r="B89" s="105"/>
      <c r="C89" s="105"/>
      <c r="D89" s="105"/>
      <c r="E89" s="106"/>
      <c r="F89" s="106"/>
      <c r="G89" s="106"/>
      <c r="H89" s="106"/>
      <c r="I89" s="106"/>
      <c r="J89" s="106"/>
      <c r="K89" s="107"/>
      <c r="L89" s="108"/>
      <c r="M89" s="205"/>
      <c r="N89" s="205"/>
      <c r="O89" s="205"/>
    </row>
  </sheetData>
  <sheetProtection algorithmName="SHA-512" hashValue="dyoowi5vsSv2rQMtfucbvs69HLfxqZFpPaDVbvvDaU6YNrDONjN3yLZ9cVm/Im7TG7nuF6CAkPa6DIzIxfK4xw==" saltValue="Fnyiz1BcFO4XWEyM4tYpOQ==" spinCount="100000" sheet="1" objects="1" scenarios="1"/>
  <mergeCells count="47">
    <mergeCell ref="A56:E56"/>
    <mergeCell ref="A2:K2"/>
    <mergeCell ref="A4:A5"/>
    <mergeCell ref="B4:B5"/>
    <mergeCell ref="C4:C5"/>
    <mergeCell ref="D4:D5"/>
    <mergeCell ref="E4:E5"/>
    <mergeCell ref="F4:F5"/>
    <mergeCell ref="G4:J4"/>
    <mergeCell ref="K4:K5"/>
    <mergeCell ref="L4:L5"/>
    <mergeCell ref="A7:E7"/>
    <mergeCell ref="A12:E12"/>
    <mergeCell ref="A13:A14"/>
    <mergeCell ref="L13:L14"/>
    <mergeCell ref="A78:E78"/>
    <mergeCell ref="A44:A45"/>
    <mergeCell ref="K44:K45"/>
    <mergeCell ref="A46:A47"/>
    <mergeCell ref="A48:A49"/>
    <mergeCell ref="A50:E50"/>
    <mergeCell ref="A52:E52"/>
    <mergeCell ref="A75:E75"/>
    <mergeCell ref="A58:E58"/>
    <mergeCell ref="A61:E61"/>
    <mergeCell ref="A62:A63"/>
    <mergeCell ref="A66:E66"/>
    <mergeCell ref="A77:E77"/>
    <mergeCell ref="A73:E73"/>
    <mergeCell ref="A54:E54"/>
    <mergeCell ref="A71:E71"/>
    <mergeCell ref="A69:E69"/>
    <mergeCell ref="L15:L16"/>
    <mergeCell ref="L48:L49"/>
    <mergeCell ref="A26:A27"/>
    <mergeCell ref="A38:E38"/>
    <mergeCell ref="A40:A41"/>
    <mergeCell ref="L44:L45"/>
    <mergeCell ref="A15:A16"/>
    <mergeCell ref="A42:E42"/>
    <mergeCell ref="A22:E22"/>
    <mergeCell ref="A23:A24"/>
    <mergeCell ref="A28:E28"/>
    <mergeCell ref="A31:E31"/>
    <mergeCell ref="A32:A33"/>
    <mergeCell ref="A36:E36"/>
    <mergeCell ref="L26:L27"/>
  </mergeCells>
  <phoneticPr fontId="56" type="noConversion"/>
  <pageMargins left="0.11811023622047245" right="0.11811023622047245" top="1.2598425196850394" bottom="0.59055118110236227" header="0.51181102362204722" footer="0.31496062992125984"/>
  <pageSetup paperSize="9" scale="85" fitToHeight="0" orientation="landscape" verticalDpi="0" r:id="rId1"/>
  <headerFooter differentOddEven="1" differentFirst="1" alignWithMargins="0">
    <oddFooter>&amp;C&amp;P</oddFooter>
    <evenFooter>&amp;C&amp;P</evenFooter>
    <firstHeader>&amp;R&amp;10Tabela Nr 2a
do uchwały Nr ...............
Rady Powiatu  Otwockiego
z dnia .......................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3:H36"/>
  <sheetViews>
    <sheetView showGridLines="0" topLeftCell="A10" workbookViewId="0">
      <selection activeCell="G25" sqref="G25"/>
    </sheetView>
  </sheetViews>
  <sheetFormatPr defaultColWidth="9.33203125" defaultRowHeight="12.75"/>
  <cols>
    <col min="1" max="1" width="2.5" style="2" customWidth="1"/>
    <col min="2" max="2" width="5.83203125" style="2" customWidth="1"/>
    <col min="3" max="3" width="67.1640625" style="2" customWidth="1"/>
    <col min="4" max="4" width="15.33203125" style="2" customWidth="1"/>
    <col min="5" max="5" width="20.33203125" style="2" customWidth="1"/>
    <col min="6" max="6" width="9.33203125" style="2"/>
    <col min="7" max="7" width="11.83203125" style="2" bestFit="1" customWidth="1"/>
    <col min="8" max="8" width="12.5" style="2" bestFit="1" customWidth="1"/>
    <col min="9" max="16384" width="9.33203125" style="2"/>
  </cols>
  <sheetData>
    <row r="3" spans="2:5" s="1" customFormat="1" ht="15" customHeight="1">
      <c r="B3" s="534" t="s">
        <v>47</v>
      </c>
      <c r="C3" s="534"/>
      <c r="D3" s="534"/>
      <c r="E3" s="534"/>
    </row>
    <row r="4" spans="2:5">
      <c r="E4" s="3"/>
    </row>
    <row r="5" spans="2:5" ht="54" customHeight="1">
      <c r="B5" s="4" t="s">
        <v>2</v>
      </c>
      <c r="C5" s="4" t="s">
        <v>8</v>
      </c>
      <c r="D5" s="5" t="s">
        <v>9</v>
      </c>
      <c r="E5" s="5" t="s">
        <v>10</v>
      </c>
    </row>
    <row r="6" spans="2:5" s="22" customFormat="1" ht="16.5" customHeight="1">
      <c r="B6" s="23">
        <v>1</v>
      </c>
      <c r="C6" s="23">
        <v>2</v>
      </c>
      <c r="D6" s="23">
        <v>3</v>
      </c>
      <c r="E6" s="24">
        <v>4</v>
      </c>
    </row>
    <row r="7" spans="2:5" s="8" customFormat="1" ht="24.75" customHeight="1">
      <c r="B7" s="6" t="s">
        <v>3</v>
      </c>
      <c r="C7" s="7" t="s">
        <v>11</v>
      </c>
      <c r="D7" s="6"/>
      <c r="E7" s="89">
        <f>SUM(E8:E9)</f>
        <v>202356268.13</v>
      </c>
    </row>
    <row r="8" spans="2:5" s="11" customFormat="1" ht="24.75" customHeight="1">
      <c r="B8" s="9"/>
      <c r="C8" s="10" t="s">
        <v>12</v>
      </c>
      <c r="D8" s="9"/>
      <c r="E8" s="88">
        <v>179790252.13</v>
      </c>
    </row>
    <row r="9" spans="2:5" s="11" customFormat="1" ht="24.75" customHeight="1">
      <c r="B9" s="9"/>
      <c r="C9" s="10" t="s">
        <v>13</v>
      </c>
      <c r="D9" s="9"/>
      <c r="E9" s="88">
        <v>22566016</v>
      </c>
    </row>
    <row r="10" spans="2:5" s="8" customFormat="1" ht="24.75" customHeight="1">
      <c r="B10" s="6" t="s">
        <v>4</v>
      </c>
      <c r="C10" s="7" t="s">
        <v>14</v>
      </c>
      <c r="D10" s="6"/>
      <c r="E10" s="90">
        <f>SUM(E11,E12)</f>
        <v>238297455.99000001</v>
      </c>
    </row>
    <row r="11" spans="2:5" s="11" customFormat="1" ht="24.75" customHeight="1">
      <c r="B11" s="9"/>
      <c r="C11" s="10" t="s">
        <v>28</v>
      </c>
      <c r="D11" s="9"/>
      <c r="E11" s="91">
        <v>183727737.96000001</v>
      </c>
    </row>
    <row r="12" spans="2:5" s="11" customFormat="1" ht="24.75" customHeight="1">
      <c r="B12" s="9"/>
      <c r="C12" s="10" t="s">
        <v>15</v>
      </c>
      <c r="D12" s="9"/>
      <c r="E12" s="91">
        <v>54569718.030000001</v>
      </c>
    </row>
    <row r="13" spans="2:5" s="8" customFormat="1" ht="24.75" customHeight="1">
      <c r="B13" s="6" t="s">
        <v>5</v>
      </c>
      <c r="C13" s="7" t="s">
        <v>16</v>
      </c>
      <c r="D13" s="12"/>
      <c r="E13" s="89">
        <f>E7-E10</f>
        <v>-35941187.860000014</v>
      </c>
    </row>
    <row r="14" spans="2:5" ht="24.75" customHeight="1">
      <c r="B14" s="535" t="s">
        <v>17</v>
      </c>
      <c r="C14" s="536"/>
      <c r="D14" s="13"/>
      <c r="E14" s="211">
        <f>E15+E23+E24+E25+E27</f>
        <v>40283187.859999999</v>
      </c>
    </row>
    <row r="15" spans="2:5" ht="81.75" customHeight="1">
      <c r="B15" s="15" t="s">
        <v>3</v>
      </c>
      <c r="C15" s="32" t="s">
        <v>38</v>
      </c>
      <c r="D15" s="6" t="s">
        <v>37</v>
      </c>
      <c r="E15" s="217">
        <f>E17+E20</f>
        <v>16266174.49</v>
      </c>
    </row>
    <row r="16" spans="2:5" ht="18.75" customHeight="1">
      <c r="B16" s="29"/>
      <c r="C16" s="537" t="s">
        <v>33</v>
      </c>
      <c r="D16" s="537"/>
      <c r="E16" s="537"/>
    </row>
    <row r="17" spans="2:8" s="11" customFormat="1" ht="24.95" customHeight="1">
      <c r="B17" s="30"/>
      <c r="C17" s="218" t="s">
        <v>42</v>
      </c>
      <c r="D17" s="31"/>
      <c r="E17" s="216">
        <f>SUM(E18:E19)</f>
        <v>7198476.5800000001</v>
      </c>
    </row>
    <row r="18" spans="2:8" ht="24.95" customHeight="1">
      <c r="B18" s="34"/>
      <c r="C18" s="36" t="s">
        <v>44</v>
      </c>
      <c r="D18" s="35"/>
      <c r="E18" s="210">
        <f>3078800+2412513+900001+166961.02</f>
        <v>6558275.0199999996</v>
      </c>
      <c r="G18" s="28"/>
    </row>
    <row r="19" spans="2:8" ht="24.95" customHeight="1">
      <c r="B19" s="15"/>
      <c r="C19" s="36" t="s">
        <v>303</v>
      </c>
      <c r="D19" s="35"/>
      <c r="E19" s="210">
        <v>640201.56000000006</v>
      </c>
      <c r="G19" s="28"/>
    </row>
    <row r="20" spans="2:8" s="11" customFormat="1" ht="24.95" customHeight="1">
      <c r="B20" s="30"/>
      <c r="C20" s="219" t="s">
        <v>43</v>
      </c>
      <c r="D20" s="30"/>
      <c r="E20" s="212">
        <f>E21+E22</f>
        <v>9067697.9100000001</v>
      </c>
      <c r="H20" s="38"/>
    </row>
    <row r="21" spans="2:8" ht="24.95" customHeight="1">
      <c r="B21" s="34"/>
      <c r="C21" s="37" t="s">
        <v>45</v>
      </c>
      <c r="D21" s="34"/>
      <c r="E21" s="213">
        <f>6813523-0.95</f>
        <v>6813522.0499999998</v>
      </c>
    </row>
    <row r="22" spans="2:8" ht="24.95" customHeight="1">
      <c r="B22" s="34"/>
      <c r="C22" s="37" t="s">
        <v>46</v>
      </c>
      <c r="D22" s="34"/>
      <c r="E22" s="213">
        <f>2254176-0.14</f>
        <v>2254175.86</v>
      </c>
      <c r="H22" s="28"/>
    </row>
    <row r="23" spans="2:8" ht="60.75" customHeight="1">
      <c r="B23" s="15" t="s">
        <v>4</v>
      </c>
      <c r="C23" s="26" t="s">
        <v>39</v>
      </c>
      <c r="D23" s="6" t="s">
        <v>36</v>
      </c>
      <c r="E23" s="90">
        <f>17882+8835+94000+22048-0.5</f>
        <v>142764.5</v>
      </c>
      <c r="G23" s="28"/>
    </row>
    <row r="24" spans="2:8" ht="31.5" customHeight="1">
      <c r="B24" s="15" t="s">
        <v>5</v>
      </c>
      <c r="C24" s="27" t="s">
        <v>40</v>
      </c>
      <c r="D24" s="33" t="s">
        <v>41</v>
      </c>
      <c r="E24" s="90">
        <v>0</v>
      </c>
    </row>
    <row r="25" spans="2:8" ht="31.5" customHeight="1">
      <c r="B25" s="15" t="s">
        <v>6</v>
      </c>
      <c r="C25" s="18" t="s">
        <v>25</v>
      </c>
      <c r="D25" s="6" t="s">
        <v>19</v>
      </c>
      <c r="E25" s="90">
        <f>435715+888747+24000+5000+1000+50000+642500+4860+4029900+3250-270+281854-2231006.96+50000+173679.83+60000+20+555000</f>
        <v>4974248.87</v>
      </c>
    </row>
    <row r="26" spans="2:8" ht="32.25" customHeight="1">
      <c r="B26" s="15" t="s">
        <v>7</v>
      </c>
      <c r="C26" s="25" t="s">
        <v>29</v>
      </c>
      <c r="D26" s="6" t="s">
        <v>30</v>
      </c>
      <c r="E26" s="214">
        <v>0</v>
      </c>
    </row>
    <row r="27" spans="2:8" ht="24.75" customHeight="1">
      <c r="B27" s="15" t="s">
        <v>35</v>
      </c>
      <c r="C27" s="16" t="s">
        <v>23</v>
      </c>
      <c r="D27" s="6" t="s">
        <v>18</v>
      </c>
      <c r="E27" s="90">
        <v>18900000</v>
      </c>
    </row>
    <row r="28" spans="2:8" ht="27" customHeight="1">
      <c r="B28" s="15" t="s">
        <v>34</v>
      </c>
      <c r="C28" s="18" t="s">
        <v>24</v>
      </c>
      <c r="D28" s="6" t="s">
        <v>18</v>
      </c>
      <c r="E28" s="215">
        <v>0</v>
      </c>
    </row>
    <row r="29" spans="2:8" ht="24.75" customHeight="1">
      <c r="B29" s="535" t="s">
        <v>20</v>
      </c>
      <c r="C29" s="536"/>
      <c r="D29" s="19"/>
      <c r="E29" s="14">
        <f>SUM(E30:E32)</f>
        <v>4342000</v>
      </c>
    </row>
    <row r="30" spans="2:8" ht="24.75" customHeight="1">
      <c r="B30" s="15" t="s">
        <v>3</v>
      </c>
      <c r="C30" s="18" t="s">
        <v>32</v>
      </c>
      <c r="D30" s="6" t="s">
        <v>31</v>
      </c>
      <c r="E30" s="17">
        <v>0</v>
      </c>
    </row>
    <row r="31" spans="2:8" ht="24.75" customHeight="1">
      <c r="B31" s="15" t="s">
        <v>4</v>
      </c>
      <c r="C31" s="18" t="s">
        <v>26</v>
      </c>
      <c r="D31" s="6" t="s">
        <v>21</v>
      </c>
      <c r="E31" s="17">
        <v>4342000</v>
      </c>
    </row>
    <row r="32" spans="2:8" ht="24.75" customHeight="1">
      <c r="B32" s="15" t="s">
        <v>5</v>
      </c>
      <c r="C32" s="18" t="s">
        <v>27</v>
      </c>
      <c r="D32" s="6" t="s">
        <v>21</v>
      </c>
      <c r="E32" s="17">
        <v>0</v>
      </c>
    </row>
    <row r="33" spans="2:5" ht="21.75" customHeight="1">
      <c r="B33" s="20"/>
      <c r="D33" s="20"/>
      <c r="E33" s="21"/>
    </row>
    <row r="34" spans="2:5" ht="24.75" customHeight="1"/>
    <row r="35" spans="2:5" ht="24.75" customHeight="1"/>
    <row r="36" spans="2:5" ht="24.75" customHeight="1"/>
  </sheetData>
  <sheetProtection algorithmName="SHA-512" hashValue="afBA8Cuy0WoflpyEnUZs9Tu3/a732IJjmRA0w51Iykc2H1MUj+meeXm3oczFhzusV2un+sg8+kLJlWwPrSIDdA==" saltValue="m9Jor5AmH5gJ/Oc+JtfLCQ==" spinCount="100000" sheet="1" formatColumns="0" formatRows="0"/>
  <mergeCells count="4">
    <mergeCell ref="B3:E3"/>
    <mergeCell ref="B14:C14"/>
    <mergeCell ref="B29:C29"/>
    <mergeCell ref="C16:E16"/>
  </mergeCells>
  <printOptions horizontalCentered="1"/>
  <pageMargins left="0.47244094488188981" right="0.23622047244094491" top="1.6535433070866143" bottom="0.59055118110236227" header="0.86614173228346458" footer="0.51181102362204722"/>
  <pageSetup paperSize="9" scale="86" orientation="portrait" verticalDpi="300" r:id="rId1"/>
  <headerFooter differentOddEven="1" differentFirst="1" alignWithMargins="0">
    <firstHeader>&amp;R&amp;10Tabela Nr 3 
do uchwały Nr ...............
Rady Powiatu  Otwockiego
z dnia .......................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4C66-60C8-46CC-ABD3-ADE6FF702D9C}">
  <sheetPr>
    <tabColor rgb="FF92D050"/>
  </sheetPr>
  <dimension ref="A2:F162"/>
  <sheetViews>
    <sheetView zoomScaleNormal="100" workbookViewId="0">
      <pane ySplit="4" topLeftCell="A146" activePane="bottomLeft" state="frozen"/>
      <selection pane="bottomLeft" activeCell="I168" sqref="I167:I168"/>
    </sheetView>
  </sheetViews>
  <sheetFormatPr defaultColWidth="9.33203125" defaultRowHeight="12"/>
  <cols>
    <col min="1" max="1" width="6.33203125" style="55" customWidth="1"/>
    <col min="2" max="2" width="9.5" style="55" customWidth="1"/>
    <col min="3" max="3" width="10.1640625" style="56" customWidth="1"/>
    <col min="4" max="4" width="63.6640625" style="57" customWidth="1"/>
    <col min="5" max="6" width="17.83203125" style="58" customWidth="1"/>
    <col min="7" max="8" width="9.33203125" style="59"/>
    <col min="9" max="9" width="15" style="59" bestFit="1" customWidth="1"/>
    <col min="10" max="16384" width="9.33203125" style="59"/>
  </cols>
  <sheetData>
    <row r="2" spans="1:6" ht="34.5" customHeight="1">
      <c r="A2" s="538" t="s">
        <v>216</v>
      </c>
      <c r="B2" s="538"/>
      <c r="C2" s="538"/>
      <c r="D2" s="538"/>
      <c r="E2" s="538"/>
      <c r="F2" s="538"/>
    </row>
    <row r="3" spans="1:6">
      <c r="A3" s="104"/>
      <c r="B3" s="104"/>
      <c r="C3" s="104"/>
      <c r="D3" s="104"/>
      <c r="E3" s="104"/>
      <c r="F3" s="104"/>
    </row>
    <row r="4" spans="1:6" s="56" customFormat="1" ht="15.95" customHeight="1">
      <c r="A4" s="98" t="s">
        <v>0</v>
      </c>
      <c r="B4" s="98" t="s">
        <v>1</v>
      </c>
      <c r="C4" s="99" t="s">
        <v>72</v>
      </c>
      <c r="D4" s="100" t="s">
        <v>73</v>
      </c>
      <c r="E4" s="101" t="s">
        <v>22</v>
      </c>
      <c r="F4" s="101" t="s">
        <v>74</v>
      </c>
    </row>
    <row r="5" spans="1:6" s="94" customFormat="1" ht="15.95" customHeight="1">
      <c r="A5" s="423" t="s">
        <v>75</v>
      </c>
      <c r="B5" s="423" t="s">
        <v>157</v>
      </c>
      <c r="C5" s="423" t="s">
        <v>157</v>
      </c>
      <c r="D5" s="424" t="s">
        <v>76</v>
      </c>
      <c r="E5" s="425">
        <v>16000</v>
      </c>
      <c r="F5" s="425">
        <v>16000</v>
      </c>
    </row>
    <row r="6" spans="1:6" s="94" customFormat="1" ht="15.95" customHeight="1">
      <c r="A6" s="426" t="s">
        <v>157</v>
      </c>
      <c r="B6" s="426" t="s">
        <v>77</v>
      </c>
      <c r="C6" s="426" t="s">
        <v>157</v>
      </c>
      <c r="D6" s="427" t="s">
        <v>78</v>
      </c>
      <c r="E6" s="428">
        <v>16000</v>
      </c>
      <c r="F6" s="428">
        <v>16000</v>
      </c>
    </row>
    <row r="7" spans="1:6" s="94" customFormat="1" ht="45" customHeight="1">
      <c r="A7" s="95" t="s">
        <v>157</v>
      </c>
      <c r="B7" s="95" t="s">
        <v>157</v>
      </c>
      <c r="C7" s="95" t="s">
        <v>158</v>
      </c>
      <c r="D7" s="96" t="s">
        <v>159</v>
      </c>
      <c r="E7" s="97">
        <v>16000</v>
      </c>
      <c r="F7" s="97">
        <v>0</v>
      </c>
    </row>
    <row r="8" spans="1:6" s="94" customFormat="1" ht="15.95" customHeight="1">
      <c r="A8" s="95" t="s">
        <v>157</v>
      </c>
      <c r="B8" s="95" t="s">
        <v>157</v>
      </c>
      <c r="C8" s="95" t="s">
        <v>160</v>
      </c>
      <c r="D8" s="96" t="s">
        <v>79</v>
      </c>
      <c r="E8" s="97">
        <v>0</v>
      </c>
      <c r="F8" s="97">
        <v>16000</v>
      </c>
    </row>
    <row r="9" spans="1:6" s="94" customFormat="1" ht="15.95" customHeight="1">
      <c r="A9" s="423" t="s">
        <v>161</v>
      </c>
      <c r="B9" s="423" t="s">
        <v>157</v>
      </c>
      <c r="C9" s="423" t="s">
        <v>157</v>
      </c>
      <c r="D9" s="424" t="s">
        <v>80</v>
      </c>
      <c r="E9" s="425">
        <v>348400</v>
      </c>
      <c r="F9" s="425">
        <v>348400</v>
      </c>
    </row>
    <row r="10" spans="1:6" s="94" customFormat="1" ht="15.95" customHeight="1">
      <c r="A10" s="426" t="s">
        <v>157</v>
      </c>
      <c r="B10" s="426" t="s">
        <v>162</v>
      </c>
      <c r="C10" s="426" t="s">
        <v>157</v>
      </c>
      <c r="D10" s="427" t="s">
        <v>81</v>
      </c>
      <c r="E10" s="428">
        <v>348400</v>
      </c>
      <c r="F10" s="428">
        <v>348400</v>
      </c>
    </row>
    <row r="11" spans="1:6" s="94" customFormat="1" ht="45" customHeight="1">
      <c r="A11" s="95" t="s">
        <v>157</v>
      </c>
      <c r="B11" s="95" t="s">
        <v>157</v>
      </c>
      <c r="C11" s="95" t="s">
        <v>158</v>
      </c>
      <c r="D11" s="96" t="s">
        <v>159</v>
      </c>
      <c r="E11" s="97">
        <v>348400</v>
      </c>
      <c r="F11" s="97">
        <v>0</v>
      </c>
    </row>
    <row r="12" spans="1:6" s="94" customFormat="1" ht="15.95" customHeight="1">
      <c r="A12" s="95" t="s">
        <v>157</v>
      </c>
      <c r="B12" s="95" t="s">
        <v>157</v>
      </c>
      <c r="C12" s="95" t="s">
        <v>163</v>
      </c>
      <c r="D12" s="96" t="s">
        <v>82</v>
      </c>
      <c r="E12" s="97">
        <v>0</v>
      </c>
      <c r="F12" s="97">
        <v>58099</v>
      </c>
    </row>
    <row r="13" spans="1:6" s="94" customFormat="1" ht="15.95" customHeight="1">
      <c r="A13" s="95" t="s">
        <v>157</v>
      </c>
      <c r="B13" s="95" t="s">
        <v>157</v>
      </c>
      <c r="C13" s="95" t="s">
        <v>164</v>
      </c>
      <c r="D13" s="96" t="s">
        <v>83</v>
      </c>
      <c r="E13" s="97">
        <v>0</v>
      </c>
      <c r="F13" s="97">
        <v>9987</v>
      </c>
    </row>
    <row r="14" spans="1:6" s="94" customFormat="1" ht="15.95" customHeight="1">
      <c r="A14" s="95" t="s">
        <v>157</v>
      </c>
      <c r="B14" s="95" t="s">
        <v>157</v>
      </c>
      <c r="C14" s="95" t="s">
        <v>165</v>
      </c>
      <c r="D14" s="96" t="s">
        <v>84</v>
      </c>
      <c r="E14" s="97">
        <v>0</v>
      </c>
      <c r="F14" s="97">
        <v>1424</v>
      </c>
    </row>
    <row r="15" spans="1:6" s="94" customFormat="1" ht="15.95" customHeight="1">
      <c r="A15" s="95" t="s">
        <v>157</v>
      </c>
      <c r="B15" s="95" t="s">
        <v>157</v>
      </c>
      <c r="C15" s="95" t="s">
        <v>166</v>
      </c>
      <c r="D15" s="96" t="s">
        <v>85</v>
      </c>
      <c r="E15" s="97">
        <v>0</v>
      </c>
      <c r="F15" s="97">
        <v>2000</v>
      </c>
    </row>
    <row r="16" spans="1:6" s="94" customFormat="1" ht="15.95" customHeight="1">
      <c r="A16" s="95" t="s">
        <v>157</v>
      </c>
      <c r="B16" s="95" t="s">
        <v>157</v>
      </c>
      <c r="C16" s="95" t="s">
        <v>167</v>
      </c>
      <c r="D16" s="96" t="s">
        <v>86</v>
      </c>
      <c r="E16" s="97">
        <v>0</v>
      </c>
      <c r="F16" s="97">
        <v>435</v>
      </c>
    </row>
    <row r="17" spans="1:6" s="94" customFormat="1" ht="15.95" customHeight="1">
      <c r="A17" s="95" t="s">
        <v>157</v>
      </c>
      <c r="B17" s="95" t="s">
        <v>157</v>
      </c>
      <c r="C17" s="95" t="s">
        <v>168</v>
      </c>
      <c r="D17" s="96" t="s">
        <v>87</v>
      </c>
      <c r="E17" s="97">
        <v>0</v>
      </c>
      <c r="F17" s="97">
        <v>15472</v>
      </c>
    </row>
    <row r="18" spans="1:6" s="94" customFormat="1" ht="15.95" customHeight="1">
      <c r="A18" s="95" t="s">
        <v>157</v>
      </c>
      <c r="B18" s="95" t="s">
        <v>157</v>
      </c>
      <c r="C18" s="95" t="s">
        <v>169</v>
      </c>
      <c r="D18" s="96" t="s">
        <v>88</v>
      </c>
      <c r="E18" s="97">
        <v>0</v>
      </c>
      <c r="F18" s="97">
        <v>22000</v>
      </c>
    </row>
    <row r="19" spans="1:6" s="94" customFormat="1" ht="15.95" customHeight="1">
      <c r="A19" s="95" t="s">
        <v>157</v>
      </c>
      <c r="B19" s="95" t="s">
        <v>157</v>
      </c>
      <c r="C19" s="95" t="s">
        <v>160</v>
      </c>
      <c r="D19" s="96" t="s">
        <v>79</v>
      </c>
      <c r="E19" s="97">
        <v>0</v>
      </c>
      <c r="F19" s="97">
        <v>74100</v>
      </c>
    </row>
    <row r="20" spans="1:6" s="94" customFormat="1" ht="15.95" customHeight="1">
      <c r="A20" s="95" t="s">
        <v>157</v>
      </c>
      <c r="B20" s="95" t="s">
        <v>157</v>
      </c>
      <c r="C20" s="95" t="s">
        <v>170</v>
      </c>
      <c r="D20" s="96" t="s">
        <v>89</v>
      </c>
      <c r="E20" s="97">
        <v>0</v>
      </c>
      <c r="F20" s="97">
        <v>77400</v>
      </c>
    </row>
    <row r="21" spans="1:6" s="94" customFormat="1" ht="15.95" customHeight="1">
      <c r="A21" s="95" t="s">
        <v>157</v>
      </c>
      <c r="B21" s="95" t="s">
        <v>157</v>
      </c>
      <c r="C21" s="95" t="s">
        <v>171</v>
      </c>
      <c r="D21" s="96" t="s">
        <v>90</v>
      </c>
      <c r="E21" s="97">
        <v>0</v>
      </c>
      <c r="F21" s="97">
        <v>0</v>
      </c>
    </row>
    <row r="22" spans="1:6" s="94" customFormat="1" ht="15.95" customHeight="1">
      <c r="A22" s="95" t="s">
        <v>157</v>
      </c>
      <c r="B22" s="95" t="s">
        <v>157</v>
      </c>
      <c r="C22" s="95" t="s">
        <v>172</v>
      </c>
      <c r="D22" s="96" t="s">
        <v>91</v>
      </c>
      <c r="E22" s="97">
        <v>0</v>
      </c>
      <c r="F22" s="97">
        <v>63000</v>
      </c>
    </row>
    <row r="23" spans="1:6" s="94" customFormat="1" ht="15.95" customHeight="1">
      <c r="A23" s="95" t="s">
        <v>157</v>
      </c>
      <c r="B23" s="95" t="s">
        <v>157</v>
      </c>
      <c r="C23" s="95" t="s">
        <v>173</v>
      </c>
      <c r="D23" s="96" t="s">
        <v>92</v>
      </c>
      <c r="E23" s="97">
        <v>0</v>
      </c>
      <c r="F23" s="97">
        <v>7528</v>
      </c>
    </row>
    <row r="24" spans="1:6" s="94" customFormat="1" ht="15.95" customHeight="1">
      <c r="A24" s="95" t="s">
        <v>157</v>
      </c>
      <c r="B24" s="95" t="s">
        <v>157</v>
      </c>
      <c r="C24" s="95" t="s">
        <v>174</v>
      </c>
      <c r="D24" s="96" t="s">
        <v>93</v>
      </c>
      <c r="E24" s="97">
        <v>0</v>
      </c>
      <c r="F24" s="97">
        <v>3955</v>
      </c>
    </row>
    <row r="25" spans="1:6" s="94" customFormat="1" ht="15.95" customHeight="1">
      <c r="A25" s="95" t="s">
        <v>157</v>
      </c>
      <c r="B25" s="95" t="s">
        <v>157</v>
      </c>
      <c r="C25" s="95" t="s">
        <v>175</v>
      </c>
      <c r="D25" s="96" t="s">
        <v>94</v>
      </c>
      <c r="E25" s="97">
        <v>0</v>
      </c>
      <c r="F25" s="97">
        <v>3000</v>
      </c>
    </row>
    <row r="26" spans="1:6" s="94" customFormat="1" ht="15.95" customHeight="1">
      <c r="A26" s="95" t="s">
        <v>157</v>
      </c>
      <c r="B26" s="95" t="s">
        <v>157</v>
      </c>
      <c r="C26" s="95" t="s">
        <v>176</v>
      </c>
      <c r="D26" s="96" t="s">
        <v>95</v>
      </c>
      <c r="E26" s="97">
        <v>0</v>
      </c>
      <c r="F26" s="97">
        <v>10000</v>
      </c>
    </row>
    <row r="27" spans="1:6" s="94" customFormat="1" ht="15.95" customHeight="1">
      <c r="A27" s="423" t="s">
        <v>177</v>
      </c>
      <c r="B27" s="423" t="s">
        <v>157</v>
      </c>
      <c r="C27" s="423" t="s">
        <v>157</v>
      </c>
      <c r="D27" s="424" t="s">
        <v>96</v>
      </c>
      <c r="E27" s="425">
        <v>1702588</v>
      </c>
      <c r="F27" s="425">
        <v>1702588</v>
      </c>
    </row>
    <row r="28" spans="1:6" s="94" customFormat="1" ht="15.95" customHeight="1">
      <c r="A28" s="426" t="s">
        <v>157</v>
      </c>
      <c r="B28" s="426" t="s">
        <v>97</v>
      </c>
      <c r="C28" s="426" t="s">
        <v>157</v>
      </c>
      <c r="D28" s="427" t="s">
        <v>98</v>
      </c>
      <c r="E28" s="428">
        <v>363000</v>
      </c>
      <c r="F28" s="428">
        <v>363000</v>
      </c>
    </row>
    <row r="29" spans="1:6" s="94" customFormat="1" ht="45" customHeight="1">
      <c r="A29" s="95" t="s">
        <v>157</v>
      </c>
      <c r="B29" s="95" t="s">
        <v>157</v>
      </c>
      <c r="C29" s="95" t="s">
        <v>158</v>
      </c>
      <c r="D29" s="96" t="s">
        <v>159</v>
      </c>
      <c r="E29" s="97">
        <v>363000</v>
      </c>
      <c r="F29" s="97">
        <v>0</v>
      </c>
    </row>
    <row r="30" spans="1:6" s="94" customFormat="1" ht="15.95" customHeight="1">
      <c r="A30" s="95" t="s">
        <v>157</v>
      </c>
      <c r="B30" s="95" t="s">
        <v>157</v>
      </c>
      <c r="C30" s="95" t="s">
        <v>163</v>
      </c>
      <c r="D30" s="96" t="s">
        <v>82</v>
      </c>
      <c r="E30" s="97">
        <v>0</v>
      </c>
      <c r="F30" s="97">
        <v>188226</v>
      </c>
    </row>
    <row r="31" spans="1:6" s="94" customFormat="1" ht="15.95" customHeight="1">
      <c r="A31" s="95" t="s">
        <v>157</v>
      </c>
      <c r="B31" s="95" t="s">
        <v>157</v>
      </c>
      <c r="C31" s="95" t="s">
        <v>164</v>
      </c>
      <c r="D31" s="96" t="s">
        <v>83</v>
      </c>
      <c r="E31" s="97">
        <v>0</v>
      </c>
      <c r="F31" s="97">
        <v>32357</v>
      </c>
    </row>
    <row r="32" spans="1:6" s="94" customFormat="1" ht="15.95" customHeight="1">
      <c r="A32" s="95" t="s">
        <v>157</v>
      </c>
      <c r="B32" s="95" t="s">
        <v>157</v>
      </c>
      <c r="C32" s="95" t="s">
        <v>165</v>
      </c>
      <c r="D32" s="96" t="s">
        <v>84</v>
      </c>
      <c r="E32" s="97">
        <v>0</v>
      </c>
      <c r="F32" s="97">
        <v>4612</v>
      </c>
    </row>
    <row r="33" spans="1:6" s="94" customFormat="1" ht="15.95" customHeight="1">
      <c r="A33" s="95" t="s">
        <v>157</v>
      </c>
      <c r="B33" s="95" t="s">
        <v>157</v>
      </c>
      <c r="C33" s="95" t="s">
        <v>160</v>
      </c>
      <c r="D33" s="96" t="s">
        <v>79</v>
      </c>
      <c r="E33" s="97">
        <v>0</v>
      </c>
      <c r="F33" s="97">
        <v>137805</v>
      </c>
    </row>
    <row r="34" spans="1:6" s="94" customFormat="1" ht="15.95" customHeight="1">
      <c r="A34" s="426" t="s">
        <v>157</v>
      </c>
      <c r="B34" s="426" t="s">
        <v>178</v>
      </c>
      <c r="C34" s="426" t="s">
        <v>157</v>
      </c>
      <c r="D34" s="427" t="s">
        <v>99</v>
      </c>
      <c r="E34" s="428">
        <v>1339588</v>
      </c>
      <c r="F34" s="428">
        <v>1339588</v>
      </c>
    </row>
    <row r="35" spans="1:6" s="94" customFormat="1" ht="45" customHeight="1">
      <c r="A35" s="95" t="s">
        <v>157</v>
      </c>
      <c r="B35" s="95" t="s">
        <v>157</v>
      </c>
      <c r="C35" s="95" t="s">
        <v>158</v>
      </c>
      <c r="D35" s="96" t="s">
        <v>159</v>
      </c>
      <c r="E35" s="97">
        <v>1339588</v>
      </c>
      <c r="F35" s="97">
        <v>0</v>
      </c>
    </row>
    <row r="36" spans="1:6" s="94" customFormat="1" ht="15.95" customHeight="1">
      <c r="A36" s="95" t="s">
        <v>157</v>
      </c>
      <c r="B36" s="95" t="s">
        <v>157</v>
      </c>
      <c r="C36" s="95" t="s">
        <v>179</v>
      </c>
      <c r="D36" s="96" t="s">
        <v>100</v>
      </c>
      <c r="E36" s="97">
        <v>0</v>
      </c>
      <c r="F36" s="97">
        <v>220</v>
      </c>
    </row>
    <row r="37" spans="1:6" s="94" customFormat="1" ht="15.95" customHeight="1">
      <c r="A37" s="95" t="s">
        <v>157</v>
      </c>
      <c r="B37" s="95" t="s">
        <v>157</v>
      </c>
      <c r="C37" s="95" t="s">
        <v>163</v>
      </c>
      <c r="D37" s="96" t="s">
        <v>82</v>
      </c>
      <c r="E37" s="97">
        <v>0</v>
      </c>
      <c r="F37" s="97">
        <v>239817</v>
      </c>
    </row>
    <row r="38" spans="1:6" s="94" customFormat="1" ht="15.95" customHeight="1">
      <c r="A38" s="95" t="s">
        <v>157</v>
      </c>
      <c r="B38" s="95" t="s">
        <v>157</v>
      </c>
      <c r="C38" s="95" t="s">
        <v>180</v>
      </c>
      <c r="D38" s="96" t="s">
        <v>101</v>
      </c>
      <c r="E38" s="97">
        <v>0</v>
      </c>
      <c r="F38" s="97">
        <v>639194</v>
      </c>
    </row>
    <row r="39" spans="1:6" s="94" customFormat="1" ht="15.95" customHeight="1">
      <c r="A39" s="95" t="s">
        <v>157</v>
      </c>
      <c r="B39" s="95" t="s">
        <v>157</v>
      </c>
      <c r="C39" s="95" t="s">
        <v>181</v>
      </c>
      <c r="D39" s="96" t="s">
        <v>102</v>
      </c>
      <c r="E39" s="97">
        <v>0</v>
      </c>
      <c r="F39" s="97">
        <v>58177</v>
      </c>
    </row>
    <row r="40" spans="1:6" s="94" customFormat="1" ht="15.95" customHeight="1">
      <c r="A40" s="95" t="s">
        <v>157</v>
      </c>
      <c r="B40" s="95" t="s">
        <v>157</v>
      </c>
      <c r="C40" s="95" t="s">
        <v>164</v>
      </c>
      <c r="D40" s="96" t="s">
        <v>83</v>
      </c>
      <c r="E40" s="97">
        <v>0</v>
      </c>
      <c r="F40" s="97">
        <v>159438</v>
      </c>
    </row>
    <row r="41" spans="1:6" s="94" customFormat="1" ht="15.95" customHeight="1">
      <c r="A41" s="95" t="s">
        <v>157</v>
      </c>
      <c r="B41" s="95" t="s">
        <v>157</v>
      </c>
      <c r="C41" s="95" t="s">
        <v>165</v>
      </c>
      <c r="D41" s="96" t="s">
        <v>84</v>
      </c>
      <c r="E41" s="97">
        <v>0</v>
      </c>
      <c r="F41" s="97">
        <v>11878</v>
      </c>
    </row>
    <row r="42" spans="1:6" s="94" customFormat="1" ht="15.95" customHeight="1">
      <c r="A42" s="95" t="s">
        <v>157</v>
      </c>
      <c r="B42" s="95" t="s">
        <v>157</v>
      </c>
      <c r="C42" s="95" t="s">
        <v>166</v>
      </c>
      <c r="D42" s="96" t="s">
        <v>85</v>
      </c>
      <c r="E42" s="97">
        <v>0</v>
      </c>
      <c r="F42" s="97">
        <v>1225</v>
      </c>
    </row>
    <row r="43" spans="1:6" s="94" customFormat="1" ht="15.95" customHeight="1">
      <c r="A43" s="95" t="s">
        <v>157</v>
      </c>
      <c r="B43" s="95" t="s">
        <v>157</v>
      </c>
      <c r="C43" s="95" t="s">
        <v>167</v>
      </c>
      <c r="D43" s="96" t="s">
        <v>86</v>
      </c>
      <c r="E43" s="97">
        <v>0</v>
      </c>
      <c r="F43" s="97">
        <v>60316</v>
      </c>
    </row>
    <row r="44" spans="1:6" s="94" customFormat="1" ht="15.95" customHeight="1">
      <c r="A44" s="95" t="s">
        <v>157</v>
      </c>
      <c r="B44" s="95" t="s">
        <v>157</v>
      </c>
      <c r="C44" s="95" t="s">
        <v>168</v>
      </c>
      <c r="D44" s="96" t="s">
        <v>87</v>
      </c>
      <c r="E44" s="97">
        <v>0</v>
      </c>
      <c r="F44" s="97">
        <v>44030</v>
      </c>
    </row>
    <row r="45" spans="1:6" s="94" customFormat="1" ht="15.95" customHeight="1">
      <c r="A45" s="95" t="s">
        <v>157</v>
      </c>
      <c r="B45" s="95" t="s">
        <v>157</v>
      </c>
      <c r="C45" s="95" t="s">
        <v>169</v>
      </c>
      <c r="D45" s="96" t="s">
        <v>88</v>
      </c>
      <c r="E45" s="97">
        <v>0</v>
      </c>
      <c r="F45" s="97">
        <v>8050</v>
      </c>
    </row>
    <row r="46" spans="1:6" s="94" customFormat="1" ht="15.95" customHeight="1">
      <c r="A46" s="95" t="s">
        <v>157</v>
      </c>
      <c r="B46" s="95" t="s">
        <v>157</v>
      </c>
      <c r="C46" s="95" t="s">
        <v>182</v>
      </c>
      <c r="D46" s="96" t="s">
        <v>103</v>
      </c>
      <c r="E46" s="97">
        <v>0</v>
      </c>
      <c r="F46" s="97">
        <v>1964</v>
      </c>
    </row>
    <row r="47" spans="1:6" s="94" customFormat="1" ht="15.95" customHeight="1">
      <c r="A47" s="95" t="s">
        <v>157</v>
      </c>
      <c r="B47" s="95" t="s">
        <v>157</v>
      </c>
      <c r="C47" s="95" t="s">
        <v>160</v>
      </c>
      <c r="D47" s="96" t="s">
        <v>79</v>
      </c>
      <c r="E47" s="97">
        <v>0</v>
      </c>
      <c r="F47" s="97">
        <v>78228</v>
      </c>
    </row>
    <row r="48" spans="1:6" s="94" customFormat="1" ht="15.95" customHeight="1">
      <c r="A48" s="95" t="s">
        <v>157</v>
      </c>
      <c r="B48" s="95" t="s">
        <v>157</v>
      </c>
      <c r="C48" s="95" t="s">
        <v>183</v>
      </c>
      <c r="D48" s="96" t="s">
        <v>184</v>
      </c>
      <c r="E48" s="97">
        <v>0</v>
      </c>
      <c r="F48" s="97">
        <v>4251</v>
      </c>
    </row>
    <row r="49" spans="1:6" s="94" customFormat="1" ht="15.95" customHeight="1">
      <c r="A49" s="95" t="s">
        <v>157</v>
      </c>
      <c r="B49" s="95" t="s">
        <v>157</v>
      </c>
      <c r="C49" s="95" t="s">
        <v>185</v>
      </c>
      <c r="D49" s="96" t="s">
        <v>104</v>
      </c>
      <c r="E49" s="97">
        <v>0</v>
      </c>
      <c r="F49" s="97">
        <v>512</v>
      </c>
    </row>
    <row r="50" spans="1:6" s="94" customFormat="1" ht="15.95" customHeight="1">
      <c r="A50" s="95" t="s">
        <v>157</v>
      </c>
      <c r="B50" s="95" t="s">
        <v>157</v>
      </c>
      <c r="C50" s="95" t="s">
        <v>171</v>
      </c>
      <c r="D50" s="96" t="s">
        <v>90</v>
      </c>
      <c r="E50" s="97">
        <v>0</v>
      </c>
      <c r="F50" s="97">
        <v>4796</v>
      </c>
    </row>
    <row r="51" spans="1:6" s="94" customFormat="1">
      <c r="A51" s="95" t="s">
        <v>157</v>
      </c>
      <c r="B51" s="95" t="s">
        <v>157</v>
      </c>
      <c r="C51" s="95" t="s">
        <v>186</v>
      </c>
      <c r="D51" s="96" t="s">
        <v>105</v>
      </c>
      <c r="E51" s="97">
        <v>0</v>
      </c>
      <c r="F51" s="97">
        <v>18709</v>
      </c>
    </row>
    <row r="52" spans="1:6" s="94" customFormat="1" ht="15.95" customHeight="1">
      <c r="A52" s="95" t="s">
        <v>157</v>
      </c>
      <c r="B52" s="95" t="s">
        <v>157</v>
      </c>
      <c r="C52" s="95" t="s">
        <v>172</v>
      </c>
      <c r="D52" s="96" t="s">
        <v>91</v>
      </c>
      <c r="E52" s="97">
        <v>0</v>
      </c>
      <c r="F52" s="97">
        <v>1300</v>
      </c>
    </row>
    <row r="53" spans="1:6" s="94" customFormat="1" ht="15.95" customHeight="1">
      <c r="A53" s="95" t="s">
        <v>157</v>
      </c>
      <c r="B53" s="95" t="s">
        <v>157</v>
      </c>
      <c r="C53" s="95" t="s">
        <v>187</v>
      </c>
      <c r="D53" s="96" t="s">
        <v>106</v>
      </c>
      <c r="E53" s="97">
        <v>0</v>
      </c>
      <c r="F53" s="97">
        <v>1171</v>
      </c>
    </row>
    <row r="54" spans="1:6" s="94" customFormat="1" ht="15.95" customHeight="1">
      <c r="A54" s="95" t="s">
        <v>157</v>
      </c>
      <c r="B54" s="95" t="s">
        <v>157</v>
      </c>
      <c r="C54" s="95" t="s">
        <v>176</v>
      </c>
      <c r="D54" s="96" t="s">
        <v>95</v>
      </c>
      <c r="E54" s="97">
        <v>0</v>
      </c>
      <c r="F54" s="97">
        <v>1085</v>
      </c>
    </row>
    <row r="55" spans="1:6" s="94" customFormat="1" ht="32.25" customHeight="1">
      <c r="A55" s="95" t="s">
        <v>157</v>
      </c>
      <c r="B55" s="95" t="s">
        <v>157</v>
      </c>
      <c r="C55" s="95" t="s">
        <v>188</v>
      </c>
      <c r="D55" s="96" t="s">
        <v>107</v>
      </c>
      <c r="E55" s="97">
        <v>0</v>
      </c>
      <c r="F55" s="97">
        <v>1171</v>
      </c>
    </row>
    <row r="56" spans="1:6" s="94" customFormat="1" ht="15.95" customHeight="1">
      <c r="A56" s="95" t="s">
        <v>157</v>
      </c>
      <c r="B56" s="95" t="s">
        <v>157</v>
      </c>
      <c r="C56" s="95" t="s">
        <v>189</v>
      </c>
      <c r="D56" s="96" t="s">
        <v>108</v>
      </c>
      <c r="E56" s="97">
        <v>0</v>
      </c>
      <c r="F56" s="97">
        <v>4056</v>
      </c>
    </row>
    <row r="57" spans="1:6" s="94" customFormat="1" ht="15.95" customHeight="1">
      <c r="A57" s="423" t="s">
        <v>190</v>
      </c>
      <c r="B57" s="423" t="s">
        <v>157</v>
      </c>
      <c r="C57" s="423" t="s">
        <v>157</v>
      </c>
      <c r="D57" s="424" t="s">
        <v>109</v>
      </c>
      <c r="E57" s="425">
        <v>37626</v>
      </c>
      <c r="F57" s="425">
        <v>37626</v>
      </c>
    </row>
    <row r="58" spans="1:6" s="94" customFormat="1" ht="15.95" customHeight="1">
      <c r="A58" s="426" t="s">
        <v>157</v>
      </c>
      <c r="B58" s="426" t="s">
        <v>191</v>
      </c>
      <c r="C58" s="426" t="s">
        <v>157</v>
      </c>
      <c r="D58" s="427" t="s">
        <v>110</v>
      </c>
      <c r="E58" s="428">
        <v>37626</v>
      </c>
      <c r="F58" s="428">
        <v>37626</v>
      </c>
    </row>
    <row r="59" spans="1:6" s="94" customFormat="1" ht="45" customHeight="1">
      <c r="A59" s="95" t="s">
        <v>157</v>
      </c>
      <c r="B59" s="95" t="s">
        <v>157</v>
      </c>
      <c r="C59" s="95" t="s">
        <v>158</v>
      </c>
      <c r="D59" s="96" t="s">
        <v>159</v>
      </c>
      <c r="E59" s="97">
        <v>37626</v>
      </c>
      <c r="F59" s="97">
        <v>0</v>
      </c>
    </row>
    <row r="60" spans="1:6" s="94" customFormat="1" ht="15.95" customHeight="1">
      <c r="A60" s="95" t="s">
        <v>157</v>
      </c>
      <c r="B60" s="95" t="s">
        <v>157</v>
      </c>
      <c r="C60" s="95" t="s">
        <v>163</v>
      </c>
      <c r="D60" s="96" t="s">
        <v>82</v>
      </c>
      <c r="E60" s="97">
        <v>0</v>
      </c>
      <c r="F60" s="97">
        <v>31452</v>
      </c>
    </row>
    <row r="61" spans="1:6" s="94" customFormat="1" ht="15.95" customHeight="1">
      <c r="A61" s="95" t="s">
        <v>157</v>
      </c>
      <c r="B61" s="95" t="s">
        <v>157</v>
      </c>
      <c r="C61" s="95" t="s">
        <v>164</v>
      </c>
      <c r="D61" s="96" t="s">
        <v>83</v>
      </c>
      <c r="E61" s="97">
        <v>0</v>
      </c>
      <c r="F61" s="97">
        <v>5406</v>
      </c>
    </row>
    <row r="62" spans="1:6" s="94" customFormat="1" ht="15.95" customHeight="1">
      <c r="A62" s="95" t="s">
        <v>157</v>
      </c>
      <c r="B62" s="95" t="s">
        <v>157</v>
      </c>
      <c r="C62" s="95" t="s">
        <v>165</v>
      </c>
      <c r="D62" s="96" t="s">
        <v>84</v>
      </c>
      <c r="E62" s="97">
        <v>0</v>
      </c>
      <c r="F62" s="97">
        <v>768</v>
      </c>
    </row>
    <row r="63" spans="1:6" s="94" customFormat="1" ht="15.95" customHeight="1">
      <c r="A63" s="423" t="s">
        <v>111</v>
      </c>
      <c r="B63" s="423" t="s">
        <v>157</v>
      </c>
      <c r="C63" s="423" t="s">
        <v>157</v>
      </c>
      <c r="D63" s="424" t="s">
        <v>112</v>
      </c>
      <c r="E63" s="425">
        <v>30930</v>
      </c>
      <c r="F63" s="425">
        <v>30930</v>
      </c>
    </row>
    <row r="64" spans="1:6" s="94" customFormat="1" ht="15.95" customHeight="1">
      <c r="A64" s="426" t="s">
        <v>157</v>
      </c>
      <c r="B64" s="426" t="s">
        <v>113</v>
      </c>
      <c r="C64" s="426" t="s">
        <v>157</v>
      </c>
      <c r="D64" s="427" t="s">
        <v>192</v>
      </c>
      <c r="E64" s="428">
        <v>30930</v>
      </c>
      <c r="F64" s="428">
        <v>30930</v>
      </c>
    </row>
    <row r="65" spans="1:6" s="94" customFormat="1" ht="45" customHeight="1">
      <c r="A65" s="95" t="s">
        <v>157</v>
      </c>
      <c r="B65" s="95" t="s">
        <v>157</v>
      </c>
      <c r="C65" s="95" t="s">
        <v>158</v>
      </c>
      <c r="D65" s="96" t="s">
        <v>159</v>
      </c>
      <c r="E65" s="97">
        <v>30930</v>
      </c>
      <c r="F65" s="97">
        <v>0</v>
      </c>
    </row>
    <row r="66" spans="1:6" s="94" customFormat="1" ht="15.95" customHeight="1">
      <c r="A66" s="95" t="s">
        <v>157</v>
      </c>
      <c r="B66" s="95" t="s">
        <v>157</v>
      </c>
      <c r="C66" s="95" t="s">
        <v>164</v>
      </c>
      <c r="D66" s="96" t="s">
        <v>83</v>
      </c>
      <c r="E66" s="97">
        <v>0</v>
      </c>
      <c r="F66" s="97">
        <v>2181</v>
      </c>
    </row>
    <row r="67" spans="1:6" s="94" customFormat="1" ht="15.95" customHeight="1">
      <c r="A67" s="95" t="s">
        <v>157</v>
      </c>
      <c r="B67" s="95" t="s">
        <v>157</v>
      </c>
      <c r="C67" s="95" t="s">
        <v>165</v>
      </c>
      <c r="D67" s="96" t="s">
        <v>84</v>
      </c>
      <c r="E67" s="97">
        <v>0</v>
      </c>
      <c r="F67" s="97">
        <v>308</v>
      </c>
    </row>
    <row r="68" spans="1:6" s="94" customFormat="1" ht="15.95" customHeight="1">
      <c r="A68" s="95" t="s">
        <v>157</v>
      </c>
      <c r="B68" s="95" t="s">
        <v>157</v>
      </c>
      <c r="C68" s="95" t="s">
        <v>166</v>
      </c>
      <c r="D68" s="96" t="s">
        <v>85</v>
      </c>
      <c r="E68" s="97">
        <v>0</v>
      </c>
      <c r="F68" s="97">
        <v>26741</v>
      </c>
    </row>
    <row r="69" spans="1:6" s="94" customFormat="1" ht="15.95" customHeight="1">
      <c r="A69" s="95" t="s">
        <v>157</v>
      </c>
      <c r="B69" s="95" t="s">
        <v>157</v>
      </c>
      <c r="C69" s="95" t="s">
        <v>167</v>
      </c>
      <c r="D69" s="96" t="s">
        <v>86</v>
      </c>
      <c r="E69" s="97">
        <v>0</v>
      </c>
      <c r="F69" s="97">
        <v>1500</v>
      </c>
    </row>
    <row r="70" spans="1:6" s="94" customFormat="1" ht="15.95" customHeight="1">
      <c r="A70" s="95" t="s">
        <v>157</v>
      </c>
      <c r="B70" s="95" t="s">
        <v>157</v>
      </c>
      <c r="C70" s="95" t="s">
        <v>160</v>
      </c>
      <c r="D70" s="96" t="s">
        <v>79</v>
      </c>
      <c r="E70" s="97">
        <v>0</v>
      </c>
      <c r="F70" s="97">
        <v>200</v>
      </c>
    </row>
    <row r="71" spans="1:6" s="94" customFormat="1" ht="15.95" customHeight="1">
      <c r="A71" s="423" t="s">
        <v>193</v>
      </c>
      <c r="B71" s="423" t="s">
        <v>157</v>
      </c>
      <c r="C71" s="423" t="s">
        <v>157</v>
      </c>
      <c r="D71" s="424" t="s">
        <v>114</v>
      </c>
      <c r="E71" s="425">
        <v>10009768</v>
      </c>
      <c r="F71" s="425">
        <v>10009768</v>
      </c>
    </row>
    <row r="72" spans="1:6" s="94" customFormat="1" ht="15.95" customHeight="1">
      <c r="A72" s="426" t="s">
        <v>157</v>
      </c>
      <c r="B72" s="426" t="s">
        <v>194</v>
      </c>
      <c r="C72" s="426" t="s">
        <v>157</v>
      </c>
      <c r="D72" s="427" t="s">
        <v>115</v>
      </c>
      <c r="E72" s="428">
        <v>10009768</v>
      </c>
      <c r="F72" s="428">
        <v>10009768</v>
      </c>
    </row>
    <row r="73" spans="1:6" s="94" customFormat="1" ht="45" customHeight="1">
      <c r="A73" s="95" t="s">
        <v>157</v>
      </c>
      <c r="B73" s="95" t="s">
        <v>157</v>
      </c>
      <c r="C73" s="95" t="s">
        <v>158</v>
      </c>
      <c r="D73" s="96" t="s">
        <v>159</v>
      </c>
      <c r="E73" s="97">
        <v>10009768</v>
      </c>
      <c r="F73" s="97">
        <v>0</v>
      </c>
    </row>
    <row r="74" spans="1:6" s="94" customFormat="1" ht="32.25" customHeight="1">
      <c r="A74" s="95" t="s">
        <v>157</v>
      </c>
      <c r="B74" s="95" t="s">
        <v>157</v>
      </c>
      <c r="C74" s="95" t="s">
        <v>195</v>
      </c>
      <c r="D74" s="96" t="s">
        <v>116</v>
      </c>
      <c r="E74" s="97">
        <v>0</v>
      </c>
      <c r="F74" s="97">
        <v>278359</v>
      </c>
    </row>
    <row r="75" spans="1:6" s="94" customFormat="1" ht="15.95" customHeight="1">
      <c r="A75" s="95" t="s">
        <v>157</v>
      </c>
      <c r="B75" s="95" t="s">
        <v>157</v>
      </c>
      <c r="C75" s="95" t="s">
        <v>163</v>
      </c>
      <c r="D75" s="96" t="s">
        <v>82</v>
      </c>
      <c r="E75" s="97">
        <v>0</v>
      </c>
      <c r="F75" s="97">
        <v>77119</v>
      </c>
    </row>
    <row r="76" spans="1:6" s="94" customFormat="1" ht="15.95" customHeight="1">
      <c r="A76" s="95" t="s">
        <v>157</v>
      </c>
      <c r="B76" s="95" t="s">
        <v>157</v>
      </c>
      <c r="C76" s="95" t="s">
        <v>180</v>
      </c>
      <c r="D76" s="96" t="s">
        <v>101</v>
      </c>
      <c r="E76" s="97">
        <v>0</v>
      </c>
      <c r="F76" s="97">
        <v>164744</v>
      </c>
    </row>
    <row r="77" spans="1:6" s="94" customFormat="1" ht="15.95" customHeight="1">
      <c r="A77" s="95" t="s">
        <v>157</v>
      </c>
      <c r="B77" s="95" t="s">
        <v>157</v>
      </c>
      <c r="C77" s="95" t="s">
        <v>181</v>
      </c>
      <c r="D77" s="96" t="s">
        <v>102</v>
      </c>
      <c r="E77" s="97">
        <v>0</v>
      </c>
      <c r="F77" s="97">
        <v>18821</v>
      </c>
    </row>
    <row r="78" spans="1:6" s="94" customFormat="1" ht="15.95" customHeight="1">
      <c r="A78" s="95" t="s">
        <v>157</v>
      </c>
      <c r="B78" s="95" t="s">
        <v>157</v>
      </c>
      <c r="C78" s="95" t="s">
        <v>196</v>
      </c>
      <c r="D78" s="96" t="s">
        <v>117</v>
      </c>
      <c r="E78" s="97">
        <v>0</v>
      </c>
      <c r="F78" s="97">
        <v>6958531.8399999999</v>
      </c>
    </row>
    <row r="79" spans="1:6" s="94" customFormat="1" ht="24">
      <c r="A79" s="95" t="s">
        <v>157</v>
      </c>
      <c r="B79" s="95" t="s">
        <v>157</v>
      </c>
      <c r="C79" s="95" t="s">
        <v>197</v>
      </c>
      <c r="D79" s="96" t="s">
        <v>118</v>
      </c>
      <c r="E79" s="97">
        <v>0</v>
      </c>
      <c r="F79" s="97">
        <v>288602</v>
      </c>
    </row>
    <row r="80" spans="1:6" s="94" customFormat="1" ht="24">
      <c r="A80" s="95" t="s">
        <v>157</v>
      </c>
      <c r="B80" s="95" t="s">
        <v>157</v>
      </c>
      <c r="C80" s="95" t="s">
        <v>198</v>
      </c>
      <c r="D80" s="96" t="s">
        <v>119</v>
      </c>
      <c r="E80" s="97">
        <v>0</v>
      </c>
      <c r="F80" s="97">
        <v>550248</v>
      </c>
    </row>
    <row r="81" spans="1:6" s="94" customFormat="1" ht="15.95" customHeight="1">
      <c r="A81" s="95" t="s">
        <v>157</v>
      </c>
      <c r="B81" s="95" t="s">
        <v>157</v>
      </c>
      <c r="C81" s="95" t="s">
        <v>164</v>
      </c>
      <c r="D81" s="96" t="s">
        <v>83</v>
      </c>
      <c r="E81" s="97">
        <v>0</v>
      </c>
      <c r="F81" s="97">
        <v>47069</v>
      </c>
    </row>
    <row r="82" spans="1:6" s="94" customFormat="1" ht="15.95" customHeight="1">
      <c r="A82" s="95" t="s">
        <v>157</v>
      </c>
      <c r="B82" s="95" t="s">
        <v>157</v>
      </c>
      <c r="C82" s="95" t="s">
        <v>165</v>
      </c>
      <c r="D82" s="96" t="s">
        <v>84</v>
      </c>
      <c r="E82" s="97">
        <v>0</v>
      </c>
      <c r="F82" s="97">
        <v>6390</v>
      </c>
    </row>
    <row r="83" spans="1:6" s="94" customFormat="1" ht="15.95" customHeight="1">
      <c r="A83" s="95" t="s">
        <v>157</v>
      </c>
      <c r="B83" s="95" t="s">
        <v>157</v>
      </c>
      <c r="C83" s="95" t="s">
        <v>166</v>
      </c>
      <c r="D83" s="96" t="s">
        <v>85</v>
      </c>
      <c r="E83" s="97">
        <v>0</v>
      </c>
      <c r="F83" s="97">
        <v>1500</v>
      </c>
    </row>
    <row r="84" spans="1:6" s="94" customFormat="1" ht="24">
      <c r="A84" s="95" t="s">
        <v>157</v>
      </c>
      <c r="B84" s="95" t="s">
        <v>157</v>
      </c>
      <c r="C84" s="95" t="s">
        <v>199</v>
      </c>
      <c r="D84" s="96" t="s">
        <v>200</v>
      </c>
      <c r="E84" s="97">
        <v>0</v>
      </c>
      <c r="F84" s="97">
        <v>1226534.1599999999</v>
      </c>
    </row>
    <row r="85" spans="1:6" s="94" customFormat="1" ht="15.95" customHeight="1">
      <c r="A85" s="95" t="s">
        <v>157</v>
      </c>
      <c r="B85" s="95" t="s">
        <v>157</v>
      </c>
      <c r="C85" s="95" t="s">
        <v>167</v>
      </c>
      <c r="D85" s="96" t="s">
        <v>86</v>
      </c>
      <c r="E85" s="97">
        <v>0</v>
      </c>
      <c r="F85" s="97">
        <v>111668</v>
      </c>
    </row>
    <row r="86" spans="1:6" s="94" customFormat="1" ht="15.95" customHeight="1">
      <c r="A86" s="95" t="s">
        <v>157</v>
      </c>
      <c r="B86" s="95" t="s">
        <v>157</v>
      </c>
      <c r="C86" s="95" t="s">
        <v>201</v>
      </c>
      <c r="D86" s="96" t="s">
        <v>120</v>
      </c>
      <c r="E86" s="97">
        <v>0</v>
      </c>
      <c r="F86" s="97">
        <v>6000</v>
      </c>
    </row>
    <row r="87" spans="1:6" s="94" customFormat="1" ht="15.95" customHeight="1">
      <c r="A87" s="95" t="s">
        <v>157</v>
      </c>
      <c r="B87" s="95" t="s">
        <v>157</v>
      </c>
      <c r="C87" s="95" t="s">
        <v>202</v>
      </c>
      <c r="D87" s="96" t="s">
        <v>121</v>
      </c>
      <c r="E87" s="97">
        <v>0</v>
      </c>
      <c r="F87" s="97">
        <v>1000</v>
      </c>
    </row>
    <row r="88" spans="1:6" s="94" customFormat="1" ht="15.95" customHeight="1">
      <c r="A88" s="95" t="s">
        <v>157</v>
      </c>
      <c r="B88" s="95" t="s">
        <v>157</v>
      </c>
      <c r="C88" s="95" t="s">
        <v>203</v>
      </c>
      <c r="D88" s="96" t="s">
        <v>122</v>
      </c>
      <c r="E88" s="97">
        <v>0</v>
      </c>
      <c r="F88" s="97">
        <v>3651</v>
      </c>
    </row>
    <row r="89" spans="1:6" s="94" customFormat="1" ht="15.95" customHeight="1">
      <c r="A89" s="95" t="s">
        <v>157</v>
      </c>
      <c r="B89" s="95" t="s">
        <v>157</v>
      </c>
      <c r="C89" s="95" t="s">
        <v>168</v>
      </c>
      <c r="D89" s="96" t="s">
        <v>87</v>
      </c>
      <c r="E89" s="97">
        <v>0</v>
      </c>
      <c r="F89" s="97">
        <v>129270</v>
      </c>
    </row>
    <row r="90" spans="1:6" s="94" customFormat="1" ht="15.95" customHeight="1">
      <c r="A90" s="95" t="s">
        <v>157</v>
      </c>
      <c r="B90" s="95" t="s">
        <v>157</v>
      </c>
      <c r="C90" s="95" t="s">
        <v>169</v>
      </c>
      <c r="D90" s="96" t="s">
        <v>88</v>
      </c>
      <c r="E90" s="97">
        <v>0</v>
      </c>
      <c r="F90" s="97">
        <v>21083</v>
      </c>
    </row>
    <row r="91" spans="1:6" s="94" customFormat="1" ht="15.95" customHeight="1">
      <c r="A91" s="95" t="s">
        <v>157</v>
      </c>
      <c r="B91" s="95" t="s">
        <v>157</v>
      </c>
      <c r="C91" s="95" t="s">
        <v>182</v>
      </c>
      <c r="D91" s="96" t="s">
        <v>103</v>
      </c>
      <c r="E91" s="97">
        <v>0</v>
      </c>
      <c r="F91" s="97">
        <v>27935</v>
      </c>
    </row>
    <row r="92" spans="1:6" s="94" customFormat="1" ht="15.95" customHeight="1">
      <c r="A92" s="95" t="s">
        <v>157</v>
      </c>
      <c r="B92" s="95" t="s">
        <v>157</v>
      </c>
      <c r="C92" s="95" t="s">
        <v>160</v>
      </c>
      <c r="D92" s="96" t="s">
        <v>79</v>
      </c>
      <c r="E92" s="97">
        <v>0</v>
      </c>
      <c r="F92" s="97">
        <v>65000</v>
      </c>
    </row>
    <row r="93" spans="1:6" s="94" customFormat="1" ht="15.95" customHeight="1">
      <c r="A93" s="95" t="s">
        <v>157</v>
      </c>
      <c r="B93" s="95" t="s">
        <v>157</v>
      </c>
      <c r="C93" s="95" t="s">
        <v>183</v>
      </c>
      <c r="D93" s="96" t="s">
        <v>184</v>
      </c>
      <c r="E93" s="97">
        <v>0</v>
      </c>
      <c r="F93" s="97">
        <v>5544</v>
      </c>
    </row>
    <row r="94" spans="1:6" s="94" customFormat="1" ht="15.95" customHeight="1">
      <c r="A94" s="95" t="s">
        <v>157</v>
      </c>
      <c r="B94" s="95" t="s">
        <v>157</v>
      </c>
      <c r="C94" s="95" t="s">
        <v>185</v>
      </c>
      <c r="D94" s="96" t="s">
        <v>104</v>
      </c>
      <c r="E94" s="97">
        <v>0</v>
      </c>
      <c r="F94" s="97">
        <v>5000</v>
      </c>
    </row>
    <row r="95" spans="1:6" s="94" customFormat="1" ht="15.95" customHeight="1">
      <c r="A95" s="95" t="s">
        <v>157</v>
      </c>
      <c r="B95" s="95" t="s">
        <v>157</v>
      </c>
      <c r="C95" s="95" t="s">
        <v>171</v>
      </c>
      <c r="D95" s="96" t="s">
        <v>90</v>
      </c>
      <c r="E95" s="97">
        <v>0</v>
      </c>
      <c r="F95" s="97">
        <v>2953</v>
      </c>
    </row>
    <row r="96" spans="1:6" s="94" customFormat="1">
      <c r="A96" s="95" t="s">
        <v>157</v>
      </c>
      <c r="B96" s="95" t="s">
        <v>157</v>
      </c>
      <c r="C96" s="95" t="s">
        <v>186</v>
      </c>
      <c r="D96" s="96" t="s">
        <v>105</v>
      </c>
      <c r="E96" s="97">
        <v>0</v>
      </c>
      <c r="F96" s="97">
        <v>6652</v>
      </c>
    </row>
    <row r="97" spans="1:6" s="94" customFormat="1" ht="15.95" customHeight="1">
      <c r="A97" s="95" t="s">
        <v>157</v>
      </c>
      <c r="B97" s="95" t="s">
        <v>157</v>
      </c>
      <c r="C97" s="95" t="s">
        <v>172</v>
      </c>
      <c r="D97" s="96" t="s">
        <v>91</v>
      </c>
      <c r="E97" s="97">
        <v>0</v>
      </c>
      <c r="F97" s="97">
        <v>689</v>
      </c>
    </row>
    <row r="98" spans="1:6" s="94" customFormat="1" ht="15.95" customHeight="1">
      <c r="A98" s="95" t="s">
        <v>157</v>
      </c>
      <c r="B98" s="95" t="s">
        <v>157</v>
      </c>
      <c r="C98" s="95" t="s">
        <v>204</v>
      </c>
      <c r="D98" s="96" t="s">
        <v>123</v>
      </c>
      <c r="E98" s="97">
        <v>0</v>
      </c>
      <c r="F98" s="97">
        <v>4097</v>
      </c>
    </row>
    <row r="99" spans="1:6" s="94" customFormat="1" ht="15.95" customHeight="1">
      <c r="A99" s="95" t="s">
        <v>157</v>
      </c>
      <c r="B99" s="95" t="s">
        <v>157</v>
      </c>
      <c r="C99" s="95" t="s">
        <v>187</v>
      </c>
      <c r="D99" s="96" t="s">
        <v>106</v>
      </c>
      <c r="E99" s="97">
        <v>0</v>
      </c>
      <c r="F99" s="97">
        <v>0</v>
      </c>
    </row>
    <row r="100" spans="1:6" s="94" customFormat="1" ht="31.5" customHeight="1">
      <c r="A100" s="95" t="s">
        <v>157</v>
      </c>
      <c r="B100" s="95" t="s">
        <v>157</v>
      </c>
      <c r="C100" s="95" t="s">
        <v>188</v>
      </c>
      <c r="D100" s="96" t="s">
        <v>107</v>
      </c>
      <c r="E100" s="97">
        <v>0</v>
      </c>
      <c r="F100" s="97">
        <v>1000</v>
      </c>
    </row>
    <row r="101" spans="1:6" s="94" customFormat="1" ht="15.95" customHeight="1">
      <c r="A101" s="95" t="s">
        <v>157</v>
      </c>
      <c r="B101" s="95" t="s">
        <v>157</v>
      </c>
      <c r="C101" s="95" t="s">
        <v>189</v>
      </c>
      <c r="D101" s="96" t="s">
        <v>108</v>
      </c>
      <c r="E101" s="97">
        <v>0</v>
      </c>
      <c r="F101" s="97">
        <v>308</v>
      </c>
    </row>
    <row r="102" spans="1:6" s="94" customFormat="1" ht="15.95" customHeight="1">
      <c r="A102" s="423" t="s">
        <v>124</v>
      </c>
      <c r="B102" s="423" t="s">
        <v>157</v>
      </c>
      <c r="C102" s="423" t="s">
        <v>157</v>
      </c>
      <c r="D102" s="424" t="s">
        <v>125</v>
      </c>
      <c r="E102" s="425">
        <v>330000</v>
      </c>
      <c r="F102" s="425">
        <v>330000</v>
      </c>
    </row>
    <row r="103" spans="1:6" s="94" customFormat="1" ht="15.95" customHeight="1">
      <c r="A103" s="426" t="s">
        <v>157</v>
      </c>
      <c r="B103" s="426" t="s">
        <v>126</v>
      </c>
      <c r="C103" s="426" t="s">
        <v>157</v>
      </c>
      <c r="D103" s="427" t="s">
        <v>127</v>
      </c>
      <c r="E103" s="428">
        <v>330000</v>
      </c>
      <c r="F103" s="428">
        <v>330000</v>
      </c>
    </row>
    <row r="104" spans="1:6" s="94" customFormat="1" ht="45" customHeight="1">
      <c r="A104" s="95" t="s">
        <v>157</v>
      </c>
      <c r="B104" s="95" t="s">
        <v>157</v>
      </c>
      <c r="C104" s="95" t="s">
        <v>158</v>
      </c>
      <c r="D104" s="96" t="s">
        <v>159</v>
      </c>
      <c r="E104" s="97">
        <v>330000</v>
      </c>
      <c r="F104" s="97">
        <v>0</v>
      </c>
    </row>
    <row r="105" spans="1:6" s="94" customFormat="1" ht="59.25" customHeight="1">
      <c r="A105" s="95" t="s">
        <v>157</v>
      </c>
      <c r="B105" s="95" t="s">
        <v>157</v>
      </c>
      <c r="C105" s="95" t="s">
        <v>205</v>
      </c>
      <c r="D105" s="96" t="s">
        <v>206</v>
      </c>
      <c r="E105" s="97">
        <v>0</v>
      </c>
      <c r="F105" s="97">
        <v>190080</v>
      </c>
    </row>
    <row r="106" spans="1:6" s="94" customFormat="1" ht="15.95" customHeight="1">
      <c r="A106" s="95" t="s">
        <v>157</v>
      </c>
      <c r="B106" s="95" t="s">
        <v>157</v>
      </c>
      <c r="C106" s="95" t="s">
        <v>163</v>
      </c>
      <c r="D106" s="96" t="s">
        <v>82</v>
      </c>
      <c r="E106" s="97">
        <v>0</v>
      </c>
      <c r="F106" s="97">
        <v>5400</v>
      </c>
    </row>
    <row r="107" spans="1:6" s="94" customFormat="1" ht="15.95" customHeight="1">
      <c r="A107" s="95" t="s">
        <v>157</v>
      </c>
      <c r="B107" s="95" t="s">
        <v>157</v>
      </c>
      <c r="C107" s="95" t="s">
        <v>164</v>
      </c>
      <c r="D107" s="96" t="s">
        <v>83</v>
      </c>
      <c r="E107" s="97">
        <v>0</v>
      </c>
      <c r="F107" s="97">
        <v>924</v>
      </c>
    </row>
    <row r="108" spans="1:6" s="94" customFormat="1" ht="15.95" customHeight="1">
      <c r="A108" s="95" t="s">
        <v>157</v>
      </c>
      <c r="B108" s="95" t="s">
        <v>157</v>
      </c>
      <c r="C108" s="95" t="s">
        <v>165</v>
      </c>
      <c r="D108" s="96" t="s">
        <v>84</v>
      </c>
      <c r="E108" s="97">
        <v>0</v>
      </c>
      <c r="F108" s="97">
        <v>132</v>
      </c>
    </row>
    <row r="109" spans="1:6" s="94" customFormat="1" ht="15.95" customHeight="1">
      <c r="A109" s="95" t="s">
        <v>157</v>
      </c>
      <c r="B109" s="95" t="s">
        <v>157</v>
      </c>
      <c r="C109" s="95" t="s">
        <v>167</v>
      </c>
      <c r="D109" s="96" t="s">
        <v>86</v>
      </c>
      <c r="E109" s="97">
        <v>0</v>
      </c>
      <c r="F109" s="97">
        <v>12344</v>
      </c>
    </row>
    <row r="110" spans="1:6" s="94" customFormat="1" ht="15.95" customHeight="1">
      <c r="A110" s="95" t="s">
        <v>157</v>
      </c>
      <c r="B110" s="95" t="s">
        <v>157</v>
      </c>
      <c r="C110" s="95" t="s">
        <v>160</v>
      </c>
      <c r="D110" s="96" t="s">
        <v>79</v>
      </c>
      <c r="E110" s="97">
        <v>0</v>
      </c>
      <c r="F110" s="97">
        <v>121120</v>
      </c>
    </row>
    <row r="111" spans="1:6" s="94" customFormat="1" ht="15.95" customHeight="1">
      <c r="A111" s="423" t="s">
        <v>344</v>
      </c>
      <c r="B111" s="423" t="s">
        <v>157</v>
      </c>
      <c r="C111" s="423" t="s">
        <v>157</v>
      </c>
      <c r="D111" s="424" t="s">
        <v>345</v>
      </c>
      <c r="E111" s="425">
        <v>82366.16</v>
      </c>
      <c r="F111" s="425">
        <v>82366.16</v>
      </c>
    </row>
    <row r="112" spans="1:6" s="94" customFormat="1" ht="45" customHeight="1">
      <c r="A112" s="426" t="s">
        <v>157</v>
      </c>
      <c r="B112" s="426" t="s">
        <v>346</v>
      </c>
      <c r="C112" s="426" t="s">
        <v>157</v>
      </c>
      <c r="D112" s="427" t="s">
        <v>347</v>
      </c>
      <c r="E112" s="428">
        <v>82366.16</v>
      </c>
      <c r="F112" s="428">
        <v>82366.16</v>
      </c>
    </row>
    <row r="113" spans="1:6" s="94" customFormat="1" ht="45" customHeight="1">
      <c r="A113" s="95" t="s">
        <v>157</v>
      </c>
      <c r="B113" s="95" t="s">
        <v>157</v>
      </c>
      <c r="C113" s="95" t="s">
        <v>158</v>
      </c>
      <c r="D113" s="96" t="s">
        <v>159</v>
      </c>
      <c r="E113" s="97">
        <v>82366.16</v>
      </c>
      <c r="F113" s="97">
        <v>0</v>
      </c>
    </row>
    <row r="114" spans="1:6" s="94" customFormat="1" ht="50.25" customHeight="1">
      <c r="A114" s="95" t="s">
        <v>157</v>
      </c>
      <c r="B114" s="95" t="s">
        <v>157</v>
      </c>
      <c r="C114" s="95" t="s">
        <v>348</v>
      </c>
      <c r="D114" s="96" t="s">
        <v>349</v>
      </c>
      <c r="E114" s="97">
        <v>0</v>
      </c>
      <c r="F114" s="97">
        <v>27679.96</v>
      </c>
    </row>
    <row r="115" spans="1:6" s="94" customFormat="1" ht="15.95" customHeight="1">
      <c r="A115" s="95" t="s">
        <v>157</v>
      </c>
      <c r="B115" s="95" t="s">
        <v>157</v>
      </c>
      <c r="C115" s="95" t="s">
        <v>350</v>
      </c>
      <c r="D115" s="96" t="s">
        <v>351</v>
      </c>
      <c r="E115" s="97">
        <v>0</v>
      </c>
      <c r="F115" s="97">
        <v>54686.2</v>
      </c>
    </row>
    <row r="116" spans="1:6" s="94" customFormat="1" ht="15.95" customHeight="1">
      <c r="A116" s="423" t="s">
        <v>207</v>
      </c>
      <c r="B116" s="423" t="s">
        <v>157</v>
      </c>
      <c r="C116" s="423" t="s">
        <v>157</v>
      </c>
      <c r="D116" s="424" t="s">
        <v>128</v>
      </c>
      <c r="E116" s="425">
        <v>0</v>
      </c>
      <c r="F116" s="425">
        <v>0</v>
      </c>
    </row>
    <row r="117" spans="1:6" s="94" customFormat="1" ht="33.75" customHeight="1">
      <c r="A117" s="426" t="s">
        <v>157</v>
      </c>
      <c r="B117" s="426" t="s">
        <v>208</v>
      </c>
      <c r="C117" s="426" t="s">
        <v>157</v>
      </c>
      <c r="D117" s="427" t="s">
        <v>209</v>
      </c>
      <c r="E117" s="428">
        <v>0</v>
      </c>
      <c r="F117" s="428">
        <v>0</v>
      </c>
    </row>
    <row r="118" spans="1:6" s="94" customFormat="1" ht="45" customHeight="1">
      <c r="A118" s="95" t="s">
        <v>157</v>
      </c>
      <c r="B118" s="95" t="s">
        <v>157</v>
      </c>
      <c r="C118" s="95" t="s">
        <v>158</v>
      </c>
      <c r="D118" s="96" t="s">
        <v>159</v>
      </c>
      <c r="E118" s="97">
        <v>0</v>
      </c>
      <c r="F118" s="97">
        <v>0</v>
      </c>
    </row>
    <row r="119" spans="1:6" s="94" customFormat="1" ht="15.95" customHeight="1">
      <c r="A119" s="95" t="s">
        <v>157</v>
      </c>
      <c r="B119" s="95" t="s">
        <v>157</v>
      </c>
      <c r="C119" s="95" t="s">
        <v>210</v>
      </c>
      <c r="D119" s="96" t="s">
        <v>129</v>
      </c>
      <c r="E119" s="97">
        <v>0</v>
      </c>
      <c r="F119" s="97">
        <v>0</v>
      </c>
    </row>
    <row r="120" spans="1:6" s="94" customFormat="1" ht="15.95" customHeight="1">
      <c r="A120" s="423" t="s">
        <v>130</v>
      </c>
      <c r="B120" s="423" t="s">
        <v>157</v>
      </c>
      <c r="C120" s="423" t="s">
        <v>157</v>
      </c>
      <c r="D120" s="424" t="s">
        <v>131</v>
      </c>
      <c r="E120" s="425">
        <v>1292660.44</v>
      </c>
      <c r="F120" s="425">
        <v>1292660.44</v>
      </c>
    </row>
    <row r="121" spans="1:6" s="94" customFormat="1" ht="15.95" customHeight="1">
      <c r="A121" s="426" t="s">
        <v>157</v>
      </c>
      <c r="B121" s="426" t="s">
        <v>211</v>
      </c>
      <c r="C121" s="426" t="s">
        <v>157</v>
      </c>
      <c r="D121" s="427" t="s">
        <v>132</v>
      </c>
      <c r="E121" s="428">
        <v>1088293.44</v>
      </c>
      <c r="F121" s="428">
        <v>1088293.44</v>
      </c>
    </row>
    <row r="122" spans="1:6" s="94" customFormat="1" ht="45" customHeight="1">
      <c r="A122" s="95" t="s">
        <v>157</v>
      </c>
      <c r="B122" s="95" t="s">
        <v>157</v>
      </c>
      <c r="C122" s="95" t="s">
        <v>158</v>
      </c>
      <c r="D122" s="96" t="s">
        <v>159</v>
      </c>
      <c r="E122" s="97">
        <v>1088293.44</v>
      </c>
      <c r="F122" s="97">
        <v>0</v>
      </c>
    </row>
    <row r="123" spans="1:6" s="94" customFormat="1" ht="15.95" customHeight="1">
      <c r="A123" s="95" t="s">
        <v>157</v>
      </c>
      <c r="B123" s="95" t="s">
        <v>157</v>
      </c>
      <c r="C123" s="95" t="s">
        <v>179</v>
      </c>
      <c r="D123" s="96" t="s">
        <v>100</v>
      </c>
      <c r="E123" s="97">
        <v>0</v>
      </c>
      <c r="F123" s="97">
        <v>300</v>
      </c>
    </row>
    <row r="124" spans="1:6" s="94" customFormat="1" ht="15.95" customHeight="1">
      <c r="A124" s="95" t="s">
        <v>157</v>
      </c>
      <c r="B124" s="95" t="s">
        <v>157</v>
      </c>
      <c r="C124" s="95" t="s">
        <v>163</v>
      </c>
      <c r="D124" s="96" t="s">
        <v>82</v>
      </c>
      <c r="E124" s="97">
        <v>0</v>
      </c>
      <c r="F124" s="97">
        <v>631091</v>
      </c>
    </row>
    <row r="125" spans="1:6" s="94" customFormat="1" ht="15.95" customHeight="1">
      <c r="A125" s="95" t="s">
        <v>157</v>
      </c>
      <c r="B125" s="95" t="s">
        <v>157</v>
      </c>
      <c r="C125" s="95" t="s">
        <v>181</v>
      </c>
      <c r="D125" s="96" t="s">
        <v>102</v>
      </c>
      <c r="E125" s="97">
        <v>0</v>
      </c>
      <c r="F125" s="97">
        <v>41501</v>
      </c>
    </row>
    <row r="126" spans="1:6" s="94" customFormat="1" ht="15.95" customHeight="1">
      <c r="A126" s="95" t="s">
        <v>157</v>
      </c>
      <c r="B126" s="95" t="s">
        <v>157</v>
      </c>
      <c r="C126" s="95" t="s">
        <v>164</v>
      </c>
      <c r="D126" s="96" t="s">
        <v>83</v>
      </c>
      <c r="E126" s="97">
        <v>0</v>
      </c>
      <c r="F126" s="97">
        <v>114802</v>
      </c>
    </row>
    <row r="127" spans="1:6" s="94" customFormat="1" ht="15.95" customHeight="1">
      <c r="A127" s="95" t="s">
        <v>157</v>
      </c>
      <c r="B127" s="95" t="s">
        <v>157</v>
      </c>
      <c r="C127" s="95" t="s">
        <v>165</v>
      </c>
      <c r="D127" s="96" t="s">
        <v>84</v>
      </c>
      <c r="E127" s="97">
        <v>0</v>
      </c>
      <c r="F127" s="97">
        <v>15551</v>
      </c>
    </row>
    <row r="128" spans="1:6" s="94" customFormat="1" ht="15.95" customHeight="1">
      <c r="A128" s="95" t="s">
        <v>157</v>
      </c>
      <c r="B128" s="95" t="s">
        <v>157</v>
      </c>
      <c r="C128" s="95" t="s">
        <v>167</v>
      </c>
      <c r="D128" s="96" t="s">
        <v>86</v>
      </c>
      <c r="E128" s="97">
        <v>0</v>
      </c>
      <c r="F128" s="97">
        <v>62402</v>
      </c>
    </row>
    <row r="129" spans="1:6" s="94" customFormat="1" ht="15.95" customHeight="1">
      <c r="A129" s="95" t="s">
        <v>157</v>
      </c>
      <c r="B129" s="95" t="s">
        <v>157</v>
      </c>
      <c r="C129" s="95" t="s">
        <v>201</v>
      </c>
      <c r="D129" s="96" t="s">
        <v>120</v>
      </c>
      <c r="E129" s="97">
        <v>0</v>
      </c>
      <c r="F129" s="97">
        <v>21132</v>
      </c>
    </row>
    <row r="130" spans="1:6" s="94" customFormat="1" ht="15.95" customHeight="1">
      <c r="A130" s="95" t="s">
        <v>157</v>
      </c>
      <c r="B130" s="95" t="s">
        <v>157</v>
      </c>
      <c r="C130" s="95" t="s">
        <v>168</v>
      </c>
      <c r="D130" s="96" t="s">
        <v>87</v>
      </c>
      <c r="E130" s="97">
        <v>0</v>
      </c>
      <c r="F130" s="97">
        <v>9500</v>
      </c>
    </row>
    <row r="131" spans="1:6" s="94" customFormat="1" ht="15.95" customHeight="1">
      <c r="A131" s="95" t="s">
        <v>157</v>
      </c>
      <c r="B131" s="95" t="s">
        <v>157</v>
      </c>
      <c r="C131" s="95" t="s">
        <v>169</v>
      </c>
      <c r="D131" s="96" t="s">
        <v>88</v>
      </c>
      <c r="E131" s="97">
        <v>0</v>
      </c>
      <c r="F131" s="97">
        <v>20000</v>
      </c>
    </row>
    <row r="132" spans="1:6" s="94" customFormat="1" ht="15.95" customHeight="1">
      <c r="A132" s="95" t="s">
        <v>157</v>
      </c>
      <c r="B132" s="95" t="s">
        <v>157</v>
      </c>
      <c r="C132" s="95" t="s">
        <v>182</v>
      </c>
      <c r="D132" s="96" t="s">
        <v>103</v>
      </c>
      <c r="E132" s="97">
        <v>0</v>
      </c>
      <c r="F132" s="97">
        <v>450</v>
      </c>
    </row>
    <row r="133" spans="1:6" s="94" customFormat="1" ht="15.95" customHeight="1">
      <c r="A133" s="95" t="s">
        <v>157</v>
      </c>
      <c r="B133" s="95" t="s">
        <v>157</v>
      </c>
      <c r="C133" s="95" t="s">
        <v>160</v>
      </c>
      <c r="D133" s="96" t="s">
        <v>79</v>
      </c>
      <c r="E133" s="97">
        <v>0</v>
      </c>
      <c r="F133" s="97">
        <v>128425.44</v>
      </c>
    </row>
    <row r="134" spans="1:6" s="94" customFormat="1" ht="15.95" customHeight="1">
      <c r="A134" s="95" t="s">
        <v>157</v>
      </c>
      <c r="B134" s="95" t="s">
        <v>157</v>
      </c>
      <c r="C134" s="95" t="s">
        <v>183</v>
      </c>
      <c r="D134" s="96" t="s">
        <v>184</v>
      </c>
      <c r="E134" s="97">
        <v>0</v>
      </c>
      <c r="F134" s="97">
        <v>1975</v>
      </c>
    </row>
    <row r="135" spans="1:6" s="94" customFormat="1" ht="15.95" customHeight="1">
      <c r="A135" s="95" t="s">
        <v>157</v>
      </c>
      <c r="B135" s="95" t="s">
        <v>157</v>
      </c>
      <c r="C135" s="95" t="s">
        <v>185</v>
      </c>
      <c r="D135" s="96" t="s">
        <v>104</v>
      </c>
      <c r="E135" s="97">
        <v>0</v>
      </c>
      <c r="F135" s="97">
        <v>2442</v>
      </c>
    </row>
    <row r="136" spans="1:6" s="94" customFormat="1" ht="15.95" customHeight="1">
      <c r="A136" s="95" t="s">
        <v>157</v>
      </c>
      <c r="B136" s="95" t="s">
        <v>157</v>
      </c>
      <c r="C136" s="95" t="s">
        <v>171</v>
      </c>
      <c r="D136" s="96" t="s">
        <v>90</v>
      </c>
      <c r="E136" s="97">
        <v>0</v>
      </c>
      <c r="F136" s="97">
        <v>1072</v>
      </c>
    </row>
    <row r="137" spans="1:6" s="94" customFormat="1">
      <c r="A137" s="95" t="s">
        <v>157</v>
      </c>
      <c r="B137" s="95" t="s">
        <v>157</v>
      </c>
      <c r="C137" s="95" t="s">
        <v>186</v>
      </c>
      <c r="D137" s="96" t="s">
        <v>105</v>
      </c>
      <c r="E137" s="97">
        <v>0</v>
      </c>
      <c r="F137" s="97">
        <v>15943</v>
      </c>
    </row>
    <row r="138" spans="1:6" s="94" customFormat="1" ht="15.95" customHeight="1">
      <c r="A138" s="95" t="s">
        <v>157</v>
      </c>
      <c r="B138" s="95" t="s">
        <v>157</v>
      </c>
      <c r="C138" s="95" t="s">
        <v>172</v>
      </c>
      <c r="D138" s="96" t="s">
        <v>91</v>
      </c>
      <c r="E138" s="97">
        <v>0</v>
      </c>
      <c r="F138" s="97">
        <v>3632</v>
      </c>
    </row>
    <row r="139" spans="1:6" s="94" customFormat="1" ht="15.95" customHeight="1">
      <c r="A139" s="95" t="s">
        <v>157</v>
      </c>
      <c r="B139" s="95" t="s">
        <v>157</v>
      </c>
      <c r="C139" s="95" t="s">
        <v>173</v>
      </c>
      <c r="D139" s="96" t="s">
        <v>92</v>
      </c>
      <c r="E139" s="97">
        <v>0</v>
      </c>
      <c r="F139" s="97">
        <v>3057</v>
      </c>
    </row>
    <row r="140" spans="1:6" s="94" customFormat="1" ht="29.25" customHeight="1">
      <c r="A140" s="95" t="s">
        <v>157</v>
      </c>
      <c r="B140" s="95" t="s">
        <v>157</v>
      </c>
      <c r="C140" s="95" t="s">
        <v>188</v>
      </c>
      <c r="D140" s="96" t="s">
        <v>107</v>
      </c>
      <c r="E140" s="97">
        <v>0</v>
      </c>
      <c r="F140" s="97">
        <v>12350</v>
      </c>
    </row>
    <row r="141" spans="1:6" s="94" customFormat="1" ht="15.95" customHeight="1">
      <c r="A141" s="95" t="s">
        <v>157</v>
      </c>
      <c r="B141" s="95" t="s">
        <v>157</v>
      </c>
      <c r="C141" s="95" t="s">
        <v>189</v>
      </c>
      <c r="D141" s="96" t="s">
        <v>108</v>
      </c>
      <c r="E141" s="97">
        <v>0</v>
      </c>
      <c r="F141" s="97">
        <v>2668</v>
      </c>
    </row>
    <row r="142" spans="1:6" s="94" customFormat="1" ht="15.95" customHeight="1">
      <c r="A142" s="426" t="s">
        <v>157</v>
      </c>
      <c r="B142" s="426" t="s">
        <v>133</v>
      </c>
      <c r="C142" s="426" t="s">
        <v>157</v>
      </c>
      <c r="D142" s="427" t="s">
        <v>134</v>
      </c>
      <c r="E142" s="428">
        <v>204367</v>
      </c>
      <c r="F142" s="428">
        <v>204367</v>
      </c>
    </row>
    <row r="143" spans="1:6" s="94" customFormat="1" ht="45" customHeight="1">
      <c r="A143" s="95" t="s">
        <v>157</v>
      </c>
      <c r="B143" s="95" t="s">
        <v>157</v>
      </c>
      <c r="C143" s="95" t="s">
        <v>158</v>
      </c>
      <c r="D143" s="96" t="s">
        <v>159</v>
      </c>
      <c r="E143" s="97">
        <v>204367</v>
      </c>
      <c r="F143" s="97">
        <v>0</v>
      </c>
    </row>
    <row r="144" spans="1:6" s="94" customFormat="1" ht="15.95" customHeight="1">
      <c r="A144" s="95" t="s">
        <v>157</v>
      </c>
      <c r="B144" s="95" t="s">
        <v>157</v>
      </c>
      <c r="C144" s="95" t="s">
        <v>212</v>
      </c>
      <c r="D144" s="96" t="s">
        <v>135</v>
      </c>
      <c r="E144" s="97">
        <v>0</v>
      </c>
      <c r="F144" s="97">
        <v>204367</v>
      </c>
    </row>
    <row r="145" spans="1:6" s="94" customFormat="1" ht="15.95" customHeight="1">
      <c r="A145" s="423" t="s">
        <v>213</v>
      </c>
      <c r="B145" s="423" t="s">
        <v>157</v>
      </c>
      <c r="C145" s="423" t="s">
        <v>157</v>
      </c>
      <c r="D145" s="424" t="s">
        <v>136</v>
      </c>
      <c r="E145" s="425">
        <v>438170</v>
      </c>
      <c r="F145" s="425">
        <v>438170</v>
      </c>
    </row>
    <row r="146" spans="1:6" s="94" customFormat="1" ht="15.95" customHeight="1">
      <c r="A146" s="426" t="s">
        <v>157</v>
      </c>
      <c r="B146" s="426" t="s">
        <v>214</v>
      </c>
      <c r="C146" s="426" t="s">
        <v>157</v>
      </c>
      <c r="D146" s="427" t="s">
        <v>137</v>
      </c>
      <c r="E146" s="428">
        <v>318050</v>
      </c>
      <c r="F146" s="428">
        <v>318050</v>
      </c>
    </row>
    <row r="147" spans="1:6" s="94" customFormat="1" ht="45" customHeight="1">
      <c r="A147" s="95" t="s">
        <v>157</v>
      </c>
      <c r="B147" s="95" t="s">
        <v>157</v>
      </c>
      <c r="C147" s="95" t="s">
        <v>158</v>
      </c>
      <c r="D147" s="96" t="s">
        <v>159</v>
      </c>
      <c r="E147" s="97">
        <v>318050</v>
      </c>
      <c r="F147" s="97">
        <v>0</v>
      </c>
    </row>
    <row r="148" spans="1:6" s="94" customFormat="1" ht="15.95" customHeight="1">
      <c r="A148" s="95" t="s">
        <v>157</v>
      </c>
      <c r="B148" s="95" t="s">
        <v>157</v>
      </c>
      <c r="C148" s="95" t="s">
        <v>179</v>
      </c>
      <c r="D148" s="96" t="s">
        <v>100</v>
      </c>
      <c r="E148" s="97">
        <v>0</v>
      </c>
      <c r="F148" s="97">
        <v>300</v>
      </c>
    </row>
    <row r="149" spans="1:6" s="94" customFormat="1" ht="15.95" customHeight="1">
      <c r="A149" s="95" t="s">
        <v>157</v>
      </c>
      <c r="B149" s="95" t="s">
        <v>157</v>
      </c>
      <c r="C149" s="95" t="s">
        <v>163</v>
      </c>
      <c r="D149" s="96" t="s">
        <v>82</v>
      </c>
      <c r="E149" s="97">
        <v>0</v>
      </c>
      <c r="F149" s="97">
        <v>127815</v>
      </c>
    </row>
    <row r="150" spans="1:6" s="94" customFormat="1" ht="15.95" customHeight="1">
      <c r="A150" s="95" t="s">
        <v>157</v>
      </c>
      <c r="B150" s="95" t="s">
        <v>157</v>
      </c>
      <c r="C150" s="95" t="s">
        <v>181</v>
      </c>
      <c r="D150" s="96" t="s">
        <v>102</v>
      </c>
      <c r="E150" s="97">
        <v>0</v>
      </c>
      <c r="F150" s="97">
        <v>10348</v>
      </c>
    </row>
    <row r="151" spans="1:6" s="94" customFormat="1" ht="15.95" customHeight="1">
      <c r="A151" s="95" t="s">
        <v>157</v>
      </c>
      <c r="B151" s="95" t="s">
        <v>157</v>
      </c>
      <c r="C151" s="95" t="s">
        <v>164</v>
      </c>
      <c r="D151" s="96" t="s">
        <v>83</v>
      </c>
      <c r="E151" s="97">
        <v>0</v>
      </c>
      <c r="F151" s="97">
        <v>31483</v>
      </c>
    </row>
    <row r="152" spans="1:6" s="94" customFormat="1" ht="15.95" customHeight="1">
      <c r="A152" s="95" t="s">
        <v>157</v>
      </c>
      <c r="B152" s="95" t="s">
        <v>157</v>
      </c>
      <c r="C152" s="95" t="s">
        <v>165</v>
      </c>
      <c r="D152" s="96" t="s">
        <v>84</v>
      </c>
      <c r="E152" s="97">
        <v>0</v>
      </c>
      <c r="F152" s="97">
        <v>1809</v>
      </c>
    </row>
    <row r="153" spans="1:6" s="94" customFormat="1" ht="15.95" customHeight="1">
      <c r="A153" s="95" t="s">
        <v>157</v>
      </c>
      <c r="B153" s="95" t="s">
        <v>157</v>
      </c>
      <c r="C153" s="95" t="s">
        <v>166</v>
      </c>
      <c r="D153" s="96" t="s">
        <v>85</v>
      </c>
      <c r="E153" s="97">
        <v>0</v>
      </c>
      <c r="F153" s="97">
        <v>54174</v>
      </c>
    </row>
    <row r="154" spans="1:6" s="94" customFormat="1" ht="15.95" customHeight="1">
      <c r="A154" s="95" t="s">
        <v>157</v>
      </c>
      <c r="B154" s="95" t="s">
        <v>157</v>
      </c>
      <c r="C154" s="95" t="s">
        <v>167</v>
      </c>
      <c r="D154" s="96" t="s">
        <v>86</v>
      </c>
      <c r="E154" s="97">
        <v>0</v>
      </c>
      <c r="F154" s="97">
        <v>499</v>
      </c>
    </row>
    <row r="155" spans="1:6" s="94" customFormat="1" ht="15.95" customHeight="1">
      <c r="A155" s="95" t="s">
        <v>157</v>
      </c>
      <c r="B155" s="95" t="s">
        <v>157</v>
      </c>
      <c r="C155" s="95" t="s">
        <v>182</v>
      </c>
      <c r="D155" s="96" t="s">
        <v>103</v>
      </c>
      <c r="E155" s="97">
        <v>0</v>
      </c>
      <c r="F155" s="97">
        <v>110</v>
      </c>
    </row>
    <row r="156" spans="1:6" s="94" customFormat="1" ht="15.95" customHeight="1">
      <c r="A156" s="95" t="s">
        <v>157</v>
      </c>
      <c r="B156" s="95" t="s">
        <v>157</v>
      </c>
      <c r="C156" s="95" t="s">
        <v>160</v>
      </c>
      <c r="D156" s="96" t="s">
        <v>79</v>
      </c>
      <c r="E156" s="97">
        <v>0</v>
      </c>
      <c r="F156" s="97">
        <v>88041</v>
      </c>
    </row>
    <row r="157" spans="1:6" s="94" customFormat="1">
      <c r="A157" s="95" t="s">
        <v>157</v>
      </c>
      <c r="B157" s="95" t="s">
        <v>157</v>
      </c>
      <c r="C157" s="95" t="s">
        <v>186</v>
      </c>
      <c r="D157" s="96" t="s">
        <v>105</v>
      </c>
      <c r="E157" s="97">
        <v>0</v>
      </c>
      <c r="F157" s="97">
        <v>3326</v>
      </c>
    </row>
    <row r="158" spans="1:6" s="94" customFormat="1" ht="15.95" customHeight="1">
      <c r="A158" s="95" t="s">
        <v>157</v>
      </c>
      <c r="B158" s="95" t="s">
        <v>157</v>
      </c>
      <c r="C158" s="95" t="s">
        <v>189</v>
      </c>
      <c r="D158" s="96" t="s">
        <v>108</v>
      </c>
      <c r="E158" s="97">
        <v>0</v>
      </c>
      <c r="F158" s="97">
        <v>145</v>
      </c>
    </row>
    <row r="159" spans="1:6" s="94" customFormat="1" ht="15.95" customHeight="1">
      <c r="A159" s="426" t="s">
        <v>157</v>
      </c>
      <c r="B159" s="426" t="s">
        <v>325</v>
      </c>
      <c r="C159" s="426" t="s">
        <v>157</v>
      </c>
      <c r="D159" s="427" t="s">
        <v>219</v>
      </c>
      <c r="E159" s="428">
        <v>120120</v>
      </c>
      <c r="F159" s="428">
        <v>120120</v>
      </c>
    </row>
    <row r="160" spans="1:6" s="94" customFormat="1" ht="45" customHeight="1">
      <c r="A160" s="95" t="s">
        <v>157</v>
      </c>
      <c r="B160" s="95" t="s">
        <v>157</v>
      </c>
      <c r="C160" s="95" t="s">
        <v>158</v>
      </c>
      <c r="D160" s="96" t="s">
        <v>159</v>
      </c>
      <c r="E160" s="97">
        <v>120120</v>
      </c>
      <c r="F160" s="97">
        <v>0</v>
      </c>
    </row>
    <row r="161" spans="1:6" s="94" customFormat="1" ht="15.95" customHeight="1">
      <c r="A161" s="95" t="s">
        <v>157</v>
      </c>
      <c r="B161" s="95" t="s">
        <v>157</v>
      </c>
      <c r="C161" s="95" t="s">
        <v>212</v>
      </c>
      <c r="D161" s="96" t="s">
        <v>135</v>
      </c>
      <c r="E161" s="97">
        <v>0</v>
      </c>
      <c r="F161" s="97">
        <v>120120</v>
      </c>
    </row>
    <row r="162" spans="1:6" s="94" customFormat="1" ht="18.75" customHeight="1">
      <c r="A162" s="539" t="s">
        <v>215</v>
      </c>
      <c r="B162" s="539"/>
      <c r="C162" s="539"/>
      <c r="D162" s="539"/>
      <c r="E162" s="324">
        <v>14288508.6</v>
      </c>
      <c r="F162" s="324">
        <v>14288508.6</v>
      </c>
    </row>
  </sheetData>
  <sheetProtection algorithmName="SHA-512" hashValue="RpGC2HtS/mlGJoTg/fNvWlZTqeFJGKc8cO1Tp8MuCkZ22NwWjjNlzAItJvLGswcaOuVOmATRpzBvTNImvBID/Q==" saltValue="QiFb7PicSoHj3SknAbCjDA==" spinCount="100000" sheet="1" formatColumns="0" formatRows="0"/>
  <autoFilter ref="B1:B162" xr:uid="{08F94C66-60C8-46CC-ABD3-ADE6FF702D9C}"/>
  <mergeCells count="2">
    <mergeCell ref="A2:F2"/>
    <mergeCell ref="A162:D162"/>
  </mergeCells>
  <pageMargins left="0.86614173228346458" right="0.23622047244094491" top="1.299212598425197" bottom="0.70866141732283472" header="0.51181102362204722" footer="0.39370078740157483"/>
  <pageSetup paperSize="9" scale="85" fitToWidth="0" fitToHeight="4" orientation="portrait" verticalDpi="300" r:id="rId1"/>
  <headerFooter differentOddEven="1" differentFirst="1" alignWithMargins="0">
    <oddFooter>&amp;C&amp;P</oddFooter>
    <evenFooter>&amp;C&amp;P</evenFooter>
    <firstHeader>&amp;R&amp;10Tabela Nr 5
do uchwały Nr ................
Rady Powiatu  Otwockiego
z dnia .............................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5F85-B49E-4727-88F2-A9CA3925C17D}">
  <sheetPr>
    <tabColor rgb="FF92D050"/>
  </sheetPr>
  <dimension ref="B3:G22"/>
  <sheetViews>
    <sheetView workbookViewId="0">
      <selection activeCell="G12" sqref="G12"/>
    </sheetView>
  </sheetViews>
  <sheetFormatPr defaultColWidth="9.33203125" defaultRowHeight="12"/>
  <cols>
    <col min="1" max="1" width="3.6640625" style="429" customWidth="1"/>
    <col min="2" max="2" width="7.83203125" style="454" customWidth="1"/>
    <col min="3" max="3" width="9.83203125" style="454" customWidth="1"/>
    <col min="4" max="4" width="10.83203125" style="454" customWidth="1"/>
    <col min="5" max="5" width="50.6640625" style="429" customWidth="1"/>
    <col min="6" max="7" width="18.6640625" style="429" customWidth="1"/>
    <col min="8" max="16384" width="9.33203125" style="429"/>
  </cols>
  <sheetData>
    <row r="3" spans="2:7" ht="35.25" customHeight="1">
      <c r="B3" s="540" t="s">
        <v>378</v>
      </c>
      <c r="C3" s="540"/>
      <c r="D3" s="540"/>
      <c r="E3" s="540"/>
      <c r="F3" s="540"/>
      <c r="G3" s="540"/>
    </row>
    <row r="5" spans="2:7" s="431" customFormat="1" ht="24" customHeight="1">
      <c r="B5" s="430" t="s">
        <v>0</v>
      </c>
      <c r="C5" s="430" t="s">
        <v>1</v>
      </c>
      <c r="D5" s="430" t="s">
        <v>72</v>
      </c>
      <c r="E5" s="430" t="s">
        <v>73</v>
      </c>
      <c r="F5" s="430" t="s">
        <v>22</v>
      </c>
      <c r="G5" s="430" t="s">
        <v>74</v>
      </c>
    </row>
    <row r="6" spans="2:7" s="435" customFormat="1" ht="19.5" customHeight="1">
      <c r="B6" s="432">
        <v>750</v>
      </c>
      <c r="C6" s="432"/>
      <c r="D6" s="432"/>
      <c r="E6" s="433" t="s">
        <v>109</v>
      </c>
      <c r="F6" s="434">
        <f>SUM(F7)</f>
        <v>18283</v>
      </c>
      <c r="G6" s="434">
        <f>SUM(G7)</f>
        <v>18283</v>
      </c>
    </row>
    <row r="7" spans="2:7" s="431" customFormat="1" ht="19.5" customHeight="1">
      <c r="B7" s="436"/>
      <c r="C7" s="436">
        <v>75011</v>
      </c>
      <c r="D7" s="436"/>
      <c r="E7" s="437" t="s">
        <v>110</v>
      </c>
      <c r="F7" s="438">
        <f>SUM(F8)</f>
        <v>18283</v>
      </c>
      <c r="G7" s="438">
        <f>SUM(G9:G11)</f>
        <v>18283</v>
      </c>
    </row>
    <row r="8" spans="2:7" s="431" customFormat="1" ht="55.5" customHeight="1">
      <c r="B8" s="439"/>
      <c r="C8" s="439"/>
      <c r="D8" s="439">
        <v>2120</v>
      </c>
      <c r="E8" s="440" t="s">
        <v>379</v>
      </c>
      <c r="F8" s="441">
        <f>18000+283</f>
        <v>18283</v>
      </c>
      <c r="G8" s="441"/>
    </row>
    <row r="9" spans="2:7" s="431" customFormat="1" ht="19.5" customHeight="1">
      <c r="B9" s="439"/>
      <c r="C9" s="439"/>
      <c r="D9" s="439">
        <v>4010</v>
      </c>
      <c r="E9" s="440" t="s">
        <v>82</v>
      </c>
      <c r="F9" s="441"/>
      <c r="G9" s="441">
        <v>15281</v>
      </c>
    </row>
    <row r="10" spans="2:7" s="431" customFormat="1" ht="19.5" customHeight="1">
      <c r="B10" s="439"/>
      <c r="C10" s="439"/>
      <c r="D10" s="439">
        <v>4110</v>
      </c>
      <c r="E10" s="440" t="s">
        <v>83</v>
      </c>
      <c r="F10" s="441"/>
      <c r="G10" s="441">
        <v>2627</v>
      </c>
    </row>
    <row r="11" spans="2:7" s="431" customFormat="1" ht="39.75" customHeight="1">
      <c r="B11" s="439"/>
      <c r="C11" s="439"/>
      <c r="D11" s="439">
        <v>4120</v>
      </c>
      <c r="E11" s="440" t="s">
        <v>84</v>
      </c>
      <c r="F11" s="441"/>
      <c r="G11" s="441">
        <v>375</v>
      </c>
    </row>
    <row r="12" spans="2:7" s="431" customFormat="1" ht="27.75" customHeight="1">
      <c r="B12" s="432">
        <v>752</v>
      </c>
      <c r="C12" s="432"/>
      <c r="D12" s="432"/>
      <c r="E12" s="433" t="s">
        <v>112</v>
      </c>
      <c r="F12" s="434">
        <f>SUM(F13)</f>
        <v>54480</v>
      </c>
      <c r="G12" s="434">
        <f>SUM(G13)</f>
        <v>54480</v>
      </c>
    </row>
    <row r="13" spans="2:7" s="445" customFormat="1" ht="19.5" customHeight="1">
      <c r="B13" s="442"/>
      <c r="C13" s="442">
        <v>75224</v>
      </c>
      <c r="D13" s="442"/>
      <c r="E13" s="443" t="s">
        <v>380</v>
      </c>
      <c r="F13" s="444">
        <f>F14</f>
        <v>54480</v>
      </c>
      <c r="G13" s="444">
        <f>G15</f>
        <v>54480</v>
      </c>
    </row>
    <row r="14" spans="2:7" s="445" customFormat="1" ht="55.5" customHeight="1">
      <c r="B14" s="446"/>
      <c r="C14" s="446"/>
      <c r="D14" s="446">
        <v>2120</v>
      </c>
      <c r="E14" s="447" t="s">
        <v>379</v>
      </c>
      <c r="F14" s="441">
        <v>54480</v>
      </c>
      <c r="G14" s="441"/>
    </row>
    <row r="15" spans="2:7" s="431" customFormat="1" ht="19.5" customHeight="1">
      <c r="B15" s="439"/>
      <c r="C15" s="448"/>
      <c r="D15" s="446">
        <v>4170</v>
      </c>
      <c r="E15" s="449" t="s">
        <v>85</v>
      </c>
      <c r="F15" s="441"/>
      <c r="G15" s="441">
        <v>54480</v>
      </c>
    </row>
    <row r="16" spans="2:7" s="435" customFormat="1" ht="19.5" customHeight="1">
      <c r="B16" s="432">
        <v>801</v>
      </c>
      <c r="C16" s="432"/>
      <c r="D16" s="432"/>
      <c r="E16" s="450" t="s">
        <v>381</v>
      </c>
      <c r="F16" s="434">
        <f>F17</f>
        <v>379962</v>
      </c>
      <c r="G16" s="434">
        <f>G17</f>
        <v>379962</v>
      </c>
    </row>
    <row r="17" spans="2:7" s="431" customFormat="1" ht="19.5" customHeight="1">
      <c r="B17" s="436"/>
      <c r="C17" s="436">
        <v>80195</v>
      </c>
      <c r="D17" s="436"/>
      <c r="E17" s="451" t="s">
        <v>219</v>
      </c>
      <c r="F17" s="438">
        <f>SUM(F18)</f>
        <v>379962</v>
      </c>
      <c r="G17" s="438">
        <f>SUM(G19:G21)</f>
        <v>379962</v>
      </c>
    </row>
    <row r="18" spans="2:7" s="431" customFormat="1" ht="59.25" customHeight="1">
      <c r="B18" s="439"/>
      <c r="C18" s="439"/>
      <c r="D18" s="439">
        <v>2120</v>
      </c>
      <c r="E18" s="440" t="s">
        <v>379</v>
      </c>
      <c r="F18" s="441">
        <v>379962</v>
      </c>
      <c r="G18" s="441"/>
    </row>
    <row r="19" spans="2:7" s="431" customFormat="1" ht="18" customHeight="1">
      <c r="B19" s="439"/>
      <c r="C19" s="439"/>
      <c r="D19" s="439">
        <v>4110</v>
      </c>
      <c r="E19" s="440" t="s">
        <v>83</v>
      </c>
      <c r="F19" s="441"/>
      <c r="G19" s="441">
        <v>8000</v>
      </c>
    </row>
    <row r="20" spans="2:7" s="431" customFormat="1" ht="27.75" customHeight="1">
      <c r="B20" s="439"/>
      <c r="C20" s="439"/>
      <c r="D20" s="439">
        <v>4120</v>
      </c>
      <c r="E20" s="440" t="s">
        <v>84</v>
      </c>
      <c r="F20" s="441"/>
      <c r="G20" s="441">
        <v>1000</v>
      </c>
    </row>
    <row r="21" spans="2:7" s="431" customFormat="1" ht="19.5" customHeight="1">
      <c r="B21" s="439"/>
      <c r="C21" s="439"/>
      <c r="D21" s="439">
        <v>4170</v>
      </c>
      <c r="E21" s="452" t="s">
        <v>85</v>
      </c>
      <c r="F21" s="441"/>
      <c r="G21" s="441">
        <v>370962</v>
      </c>
    </row>
    <row r="22" spans="2:7" s="431" customFormat="1" ht="21.75" customHeight="1">
      <c r="B22" s="541" t="s">
        <v>138</v>
      </c>
      <c r="C22" s="542"/>
      <c r="D22" s="542"/>
      <c r="E22" s="543"/>
      <c r="F22" s="453">
        <f>F6+F12+F16</f>
        <v>452725</v>
      </c>
      <c r="G22" s="453">
        <f>G6+G12+G16</f>
        <v>452725</v>
      </c>
    </row>
  </sheetData>
  <sheetProtection algorithmName="SHA-512" hashValue="R2T9b6WaJLuIooC6/FkmX73UYOCULEcWagE/l80PX4h4c0kElueSw2UQJbvraqd8cqAPXaAZeHGOqoNErV7N4Q==" saltValue="DDV3Ps4xuZFhpncu71RyMA==" spinCount="100000" sheet="1" formatColumns="0" formatRows="0"/>
  <mergeCells count="2">
    <mergeCell ref="B3:G3"/>
    <mergeCell ref="B22:E22"/>
  </mergeCells>
  <pageMargins left="0.6692913385826772" right="0.55118110236220474" top="1.6535433070866143" bottom="0.74803149606299213" header="0.70866141732283472" footer="0.31496062992125984"/>
  <pageSetup paperSize="9" scale="90" orientation="portrait" verticalDpi="300" r:id="rId1"/>
  <headerFooter alignWithMargins="0">
    <oddHeader>&amp;R&amp;10Tabela Nr 6
do uchwały Nr ..............
Rady Powiatu  Otwockiego
z dnia ..................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31ECB-7067-443E-8C70-62CC2C4E1DCE}">
  <sheetPr>
    <tabColor rgb="FF92D050"/>
  </sheetPr>
  <dimension ref="B1:G41"/>
  <sheetViews>
    <sheetView zoomScaleNormal="100" workbookViewId="0">
      <pane ySplit="4" topLeftCell="A14" activePane="bottomLeft" state="frozen"/>
      <selection activeCell="M10" sqref="M10"/>
      <selection pane="bottomLeft" activeCell="E17" sqref="E17"/>
    </sheetView>
  </sheetViews>
  <sheetFormatPr defaultColWidth="9.33203125" defaultRowHeight="12"/>
  <cols>
    <col min="1" max="1" width="3.6640625" style="63" customWidth="1"/>
    <col min="2" max="2" width="6.33203125" style="60" customWidth="1"/>
    <col min="3" max="4" width="10" style="60" customWidth="1"/>
    <col min="5" max="5" width="63.5" style="61" customWidth="1"/>
    <col min="6" max="7" width="16.6640625" style="62" customWidth="1"/>
    <col min="8" max="16384" width="9.33203125" style="63"/>
  </cols>
  <sheetData>
    <row r="1" spans="2:7" ht="16.5" customHeight="1"/>
    <row r="2" spans="2:7" ht="29.25" customHeight="1">
      <c r="B2" s="544" t="s">
        <v>156</v>
      </c>
      <c r="C2" s="544"/>
      <c r="D2" s="544"/>
      <c r="E2" s="544"/>
      <c r="F2" s="544"/>
      <c r="G2" s="544"/>
    </row>
    <row r="3" spans="2:7" ht="15.75" customHeight="1">
      <c r="B3" s="64"/>
      <c r="C3" s="64"/>
      <c r="D3" s="64"/>
      <c r="E3" s="64"/>
      <c r="F3" s="64"/>
      <c r="G3" s="64"/>
    </row>
    <row r="4" spans="2:7" s="68" customFormat="1" ht="42" customHeight="1">
      <c r="B4" s="65" t="s">
        <v>0</v>
      </c>
      <c r="C4" s="65" t="s">
        <v>1</v>
      </c>
      <c r="D4" s="65" t="s">
        <v>72</v>
      </c>
      <c r="E4" s="66" t="s">
        <v>73</v>
      </c>
      <c r="F4" s="67" t="s">
        <v>22</v>
      </c>
      <c r="G4" s="67" t="s">
        <v>74</v>
      </c>
    </row>
    <row r="5" spans="2:7" s="68" customFormat="1" ht="20.100000000000001" customHeight="1">
      <c r="B5" s="69">
        <v>600</v>
      </c>
      <c r="C5" s="69"/>
      <c r="D5" s="69"/>
      <c r="E5" s="70" t="s">
        <v>139</v>
      </c>
      <c r="F5" s="71">
        <f>SUM(F6,F8,)</f>
        <v>8852400</v>
      </c>
      <c r="G5" s="71">
        <f>SUM(G6,G8,)</f>
        <v>2780000</v>
      </c>
    </row>
    <row r="6" spans="2:7" s="75" customFormat="1" ht="20.100000000000001" customHeight="1">
      <c r="B6" s="72"/>
      <c r="C6" s="72">
        <v>60004</v>
      </c>
      <c r="D6" s="72"/>
      <c r="E6" s="73" t="s">
        <v>140</v>
      </c>
      <c r="F6" s="74">
        <f>SUM(F7:F7)</f>
        <v>0</v>
      </c>
      <c r="G6" s="74">
        <f>SUM(G7:G7)</f>
        <v>280000</v>
      </c>
    </row>
    <row r="7" spans="2:7" s="80" customFormat="1" ht="46.5" customHeight="1">
      <c r="B7" s="76"/>
      <c r="C7" s="76"/>
      <c r="D7" s="76">
        <v>2310</v>
      </c>
      <c r="E7" s="77" t="s">
        <v>141</v>
      </c>
      <c r="F7" s="78"/>
      <c r="G7" s="79">
        <v>280000</v>
      </c>
    </row>
    <row r="8" spans="2:7" s="75" customFormat="1" ht="20.100000000000001" customHeight="1">
      <c r="B8" s="72"/>
      <c r="C8" s="72">
        <v>60014</v>
      </c>
      <c r="D8" s="72"/>
      <c r="E8" s="73" t="s">
        <v>142</v>
      </c>
      <c r="F8" s="74">
        <f>SUM(F9:F12)</f>
        <v>8852400</v>
      </c>
      <c r="G8" s="74">
        <f>SUM(G10:G11)</f>
        <v>2500000</v>
      </c>
    </row>
    <row r="9" spans="2:7" s="102" customFormat="1" ht="49.5" customHeight="1">
      <c r="B9" s="321"/>
      <c r="C9" s="321"/>
      <c r="D9" s="284">
        <v>2710</v>
      </c>
      <c r="E9" s="285" t="s">
        <v>155</v>
      </c>
      <c r="F9" s="286">
        <v>182400</v>
      </c>
      <c r="G9" s="103"/>
    </row>
    <row r="10" spans="2:7" s="92" customFormat="1" ht="47.25" customHeight="1">
      <c r="B10" s="323"/>
      <c r="C10" s="323"/>
      <c r="D10" s="323">
        <v>6300</v>
      </c>
      <c r="E10" s="272" t="s">
        <v>143</v>
      </c>
      <c r="F10" s="273">
        <f>250000+6500000+700000+200000+820000-200000+200000</f>
        <v>8470000</v>
      </c>
      <c r="G10" s="273"/>
    </row>
    <row r="11" spans="2:7" s="75" customFormat="1" ht="47.25" customHeight="1">
      <c r="B11" s="81"/>
      <c r="C11" s="81"/>
      <c r="D11" s="81">
        <v>6300</v>
      </c>
      <c r="E11" s="77" t="s">
        <v>57</v>
      </c>
      <c r="F11" s="78"/>
      <c r="G11" s="79">
        <v>2500000</v>
      </c>
    </row>
    <row r="12" spans="2:7" s="102" customFormat="1" ht="56.25" customHeight="1">
      <c r="B12" s="321"/>
      <c r="C12" s="284"/>
      <c r="D12" s="284">
        <v>6630</v>
      </c>
      <c r="E12" s="407" t="s">
        <v>343</v>
      </c>
      <c r="F12" s="286">
        <v>200000</v>
      </c>
      <c r="G12" s="103"/>
    </row>
    <row r="13" spans="2:7" s="75" customFormat="1" ht="20.100000000000001" customHeight="1">
      <c r="B13" s="82">
        <v>750</v>
      </c>
      <c r="C13" s="82"/>
      <c r="D13" s="82"/>
      <c r="E13" s="83" t="s">
        <v>109</v>
      </c>
      <c r="F13" s="84">
        <f>F14</f>
        <v>59000</v>
      </c>
      <c r="G13" s="84">
        <f>G16</f>
        <v>12000</v>
      </c>
    </row>
    <row r="14" spans="2:7" s="75" customFormat="1" ht="20.100000000000001" customHeight="1">
      <c r="B14" s="72"/>
      <c r="C14" s="72">
        <v>75020</v>
      </c>
      <c r="D14" s="72"/>
      <c r="E14" s="73" t="s">
        <v>217</v>
      </c>
      <c r="F14" s="87">
        <f>F15</f>
        <v>59000</v>
      </c>
      <c r="G14" s="87">
        <f>G15</f>
        <v>0</v>
      </c>
    </row>
    <row r="15" spans="2:7" s="75" customFormat="1" ht="43.5" customHeight="1">
      <c r="B15" s="81"/>
      <c r="C15" s="322"/>
      <c r="D15" s="322">
        <v>2710</v>
      </c>
      <c r="E15" s="408" t="s">
        <v>155</v>
      </c>
      <c r="F15" s="273">
        <f>30000+29000</f>
        <v>59000</v>
      </c>
      <c r="G15" s="79"/>
    </row>
    <row r="16" spans="2:7" s="75" customFormat="1" ht="20.100000000000001" customHeight="1">
      <c r="B16" s="72"/>
      <c r="C16" s="72">
        <v>75095</v>
      </c>
      <c r="D16" s="72"/>
      <c r="E16" s="73" t="s">
        <v>144</v>
      </c>
      <c r="F16" s="74">
        <f>SUM(F17)</f>
        <v>0</v>
      </c>
      <c r="G16" s="74">
        <f>SUM(G17)</f>
        <v>12000</v>
      </c>
    </row>
    <row r="17" spans="2:7" s="75" customFormat="1" ht="51" customHeight="1">
      <c r="B17" s="322"/>
      <c r="C17" s="322"/>
      <c r="D17" s="322">
        <v>2330</v>
      </c>
      <c r="E17" s="408" t="s">
        <v>151</v>
      </c>
      <c r="F17" s="350"/>
      <c r="G17" s="273">
        <v>12000</v>
      </c>
    </row>
    <row r="18" spans="2:7" s="75" customFormat="1" ht="51" customHeight="1">
      <c r="B18" s="321"/>
      <c r="C18" s="321"/>
      <c r="D18" s="322">
        <v>2710</v>
      </c>
      <c r="E18" s="408" t="s">
        <v>58</v>
      </c>
      <c r="F18" s="409"/>
      <c r="G18" s="103">
        <v>0</v>
      </c>
    </row>
    <row r="19" spans="2:7" s="274" customFormat="1" ht="20.100000000000001" customHeight="1">
      <c r="B19" s="275">
        <v>851</v>
      </c>
      <c r="C19" s="275"/>
      <c r="D19" s="275"/>
      <c r="E19" s="276" t="s">
        <v>128</v>
      </c>
      <c r="F19" s="277">
        <f>F20</f>
        <v>57878</v>
      </c>
      <c r="G19" s="277"/>
    </row>
    <row r="20" spans="2:7" s="274" customFormat="1" ht="20.100000000000001" customHeight="1">
      <c r="B20" s="281"/>
      <c r="C20" s="281">
        <v>85195</v>
      </c>
      <c r="D20" s="281"/>
      <c r="E20" s="282" t="s">
        <v>219</v>
      </c>
      <c r="F20" s="283">
        <f>F21</f>
        <v>57878</v>
      </c>
      <c r="G20" s="283"/>
    </row>
    <row r="21" spans="2:7" s="75" customFormat="1" ht="48" customHeight="1">
      <c r="B21" s="284"/>
      <c r="C21" s="284"/>
      <c r="D21" s="284">
        <v>2710</v>
      </c>
      <c r="E21" s="285" t="s">
        <v>155</v>
      </c>
      <c r="F21" s="286">
        <v>57878</v>
      </c>
      <c r="G21" s="286"/>
    </row>
    <row r="22" spans="2:7" s="68" customFormat="1" ht="20.100000000000001" customHeight="1">
      <c r="B22" s="69">
        <v>853</v>
      </c>
      <c r="C22" s="69"/>
      <c r="D22" s="69"/>
      <c r="E22" s="70" t="s">
        <v>136</v>
      </c>
      <c r="F22" s="71">
        <f>SUM(F23)</f>
        <v>18464</v>
      </c>
      <c r="G22" s="71">
        <f>SUM(G23)</f>
        <v>5978</v>
      </c>
    </row>
    <row r="23" spans="2:7" s="75" customFormat="1" ht="20.100000000000001" customHeight="1">
      <c r="B23" s="72"/>
      <c r="C23" s="72">
        <v>85311</v>
      </c>
      <c r="D23" s="72"/>
      <c r="E23" s="73" t="s">
        <v>145</v>
      </c>
      <c r="F23" s="74">
        <f>SUM(F24)</f>
        <v>18464</v>
      </c>
      <c r="G23" s="74">
        <f>SUM(G24:G25)</f>
        <v>5978</v>
      </c>
    </row>
    <row r="24" spans="2:7" s="80" customFormat="1" ht="47.25" customHeight="1">
      <c r="B24" s="76"/>
      <c r="C24" s="76"/>
      <c r="D24" s="76">
        <v>2320</v>
      </c>
      <c r="E24" s="77" t="s">
        <v>146</v>
      </c>
      <c r="F24" s="79">
        <v>18464</v>
      </c>
      <c r="G24" s="79"/>
    </row>
    <row r="25" spans="2:7" s="80" customFormat="1" ht="48" customHeight="1">
      <c r="B25" s="76"/>
      <c r="C25" s="76"/>
      <c r="D25" s="76">
        <v>2320</v>
      </c>
      <c r="E25" s="77" t="s">
        <v>147</v>
      </c>
      <c r="F25" s="79"/>
      <c r="G25" s="79">
        <f>3100+2878</f>
        <v>5978</v>
      </c>
    </row>
    <row r="26" spans="2:7" s="274" customFormat="1" ht="23.25" customHeight="1">
      <c r="B26" s="275">
        <v>854</v>
      </c>
      <c r="C26" s="275"/>
      <c r="D26" s="275"/>
      <c r="E26" s="276" t="s">
        <v>323</v>
      </c>
      <c r="F26" s="277">
        <f>F27</f>
        <v>44678</v>
      </c>
      <c r="G26" s="277"/>
    </row>
    <row r="27" spans="2:7" s="80" customFormat="1" ht="23.25" customHeight="1">
      <c r="B27" s="278"/>
      <c r="C27" s="278">
        <v>85407</v>
      </c>
      <c r="D27" s="278"/>
      <c r="E27" s="279" t="s">
        <v>322</v>
      </c>
      <c r="F27" s="280">
        <f>F28</f>
        <v>44678</v>
      </c>
      <c r="G27" s="280"/>
    </row>
    <row r="28" spans="2:7" s="80" customFormat="1" ht="48" customHeight="1">
      <c r="B28" s="320"/>
      <c r="C28" s="320"/>
      <c r="D28" s="320">
        <v>6300</v>
      </c>
      <c r="E28" s="77" t="s">
        <v>143</v>
      </c>
      <c r="F28" s="286">
        <v>44678</v>
      </c>
      <c r="G28" s="286"/>
    </row>
    <row r="29" spans="2:7" s="68" customFormat="1" ht="20.100000000000001" customHeight="1">
      <c r="B29" s="69">
        <v>855</v>
      </c>
      <c r="C29" s="69"/>
      <c r="D29" s="69"/>
      <c r="E29" s="70" t="s">
        <v>148</v>
      </c>
      <c r="F29" s="71">
        <f>F30+F33+F35</f>
        <v>927406</v>
      </c>
      <c r="G29" s="71">
        <f>G30+G33+G35</f>
        <v>854962</v>
      </c>
    </row>
    <row r="30" spans="2:7" s="75" customFormat="1" ht="20.100000000000001" customHeight="1">
      <c r="B30" s="72"/>
      <c r="C30" s="72">
        <v>85508</v>
      </c>
      <c r="D30" s="72"/>
      <c r="E30" s="73" t="s">
        <v>149</v>
      </c>
      <c r="F30" s="74">
        <f>SUM(F31)</f>
        <v>339601</v>
      </c>
      <c r="G30" s="74">
        <f>SUM(G31:G32)</f>
        <v>524962</v>
      </c>
    </row>
    <row r="31" spans="2:7" s="80" customFormat="1" ht="50.25" customHeight="1">
      <c r="B31" s="76"/>
      <c r="C31" s="76"/>
      <c r="D31" s="76">
        <v>2320</v>
      </c>
      <c r="E31" s="77" t="s">
        <v>146</v>
      </c>
      <c r="F31" s="79">
        <v>339601</v>
      </c>
      <c r="G31" s="79"/>
    </row>
    <row r="32" spans="2:7" s="92" customFormat="1" ht="47.25" customHeight="1">
      <c r="B32" s="323"/>
      <c r="C32" s="323"/>
      <c r="D32" s="76">
        <v>2320</v>
      </c>
      <c r="E32" s="77" t="s">
        <v>147</v>
      </c>
      <c r="F32" s="79"/>
      <c r="G32" s="79">
        <v>524962</v>
      </c>
    </row>
    <row r="33" spans="2:7" s="80" customFormat="1" ht="20.100000000000001" customHeight="1">
      <c r="B33" s="85"/>
      <c r="C33" s="85">
        <v>85509</v>
      </c>
      <c r="D33" s="72"/>
      <c r="E33" s="73" t="s">
        <v>150</v>
      </c>
      <c r="F33" s="74"/>
      <c r="G33" s="74">
        <f>G34</f>
        <v>306000</v>
      </c>
    </row>
    <row r="34" spans="2:7" s="80" customFormat="1" ht="47.25" customHeight="1">
      <c r="B34" s="76"/>
      <c r="C34" s="76"/>
      <c r="D34" s="76">
        <v>2330</v>
      </c>
      <c r="E34" s="77" t="s">
        <v>151</v>
      </c>
      <c r="F34" s="79"/>
      <c r="G34" s="79">
        <f>125000+181000</f>
        <v>306000</v>
      </c>
    </row>
    <row r="35" spans="2:7" s="75" customFormat="1" ht="20.100000000000001" customHeight="1">
      <c r="B35" s="72"/>
      <c r="C35" s="72">
        <v>85510</v>
      </c>
      <c r="D35" s="72"/>
      <c r="E35" s="73" t="s">
        <v>152</v>
      </c>
      <c r="F35" s="74">
        <f>SUM(F36)</f>
        <v>587805</v>
      </c>
      <c r="G35" s="74">
        <f>SUM(G37:G37)</f>
        <v>24000</v>
      </c>
    </row>
    <row r="36" spans="2:7" s="80" customFormat="1" ht="48" customHeight="1">
      <c r="B36" s="76"/>
      <c r="C36" s="76"/>
      <c r="D36" s="76">
        <v>2320</v>
      </c>
      <c r="E36" s="77" t="s">
        <v>146</v>
      </c>
      <c r="F36" s="79">
        <v>587805</v>
      </c>
      <c r="G36" s="79"/>
    </row>
    <row r="37" spans="2:7" s="80" customFormat="1" ht="48.75" customHeight="1">
      <c r="B37" s="76"/>
      <c r="C37" s="76"/>
      <c r="D37" s="76">
        <v>2320</v>
      </c>
      <c r="E37" s="77" t="s">
        <v>147</v>
      </c>
      <c r="F37" s="78"/>
      <c r="G37" s="79">
        <v>24000</v>
      </c>
    </row>
    <row r="38" spans="2:7" s="68" customFormat="1" ht="20.100000000000001" customHeight="1">
      <c r="B38" s="69">
        <v>921</v>
      </c>
      <c r="C38" s="69"/>
      <c r="D38" s="69"/>
      <c r="E38" s="70" t="s">
        <v>153</v>
      </c>
      <c r="F38" s="71">
        <f>SUM(F39)</f>
        <v>210000</v>
      </c>
      <c r="G38" s="71">
        <f>SUM(G39)</f>
        <v>0</v>
      </c>
    </row>
    <row r="39" spans="2:7" s="75" customFormat="1" ht="20.100000000000001" customHeight="1">
      <c r="B39" s="72"/>
      <c r="C39" s="72">
        <v>92116</v>
      </c>
      <c r="D39" s="72"/>
      <c r="E39" s="73" t="s">
        <v>154</v>
      </c>
      <c r="F39" s="74">
        <f>SUM(F40)</f>
        <v>210000</v>
      </c>
      <c r="G39" s="74"/>
    </row>
    <row r="40" spans="2:7" s="80" customFormat="1" ht="48.75" customHeight="1">
      <c r="B40" s="76"/>
      <c r="C40" s="76"/>
      <c r="D40" s="76">
        <v>2710</v>
      </c>
      <c r="E40" s="77" t="s">
        <v>155</v>
      </c>
      <c r="F40" s="79">
        <v>210000</v>
      </c>
      <c r="G40" s="79"/>
    </row>
    <row r="41" spans="2:7" s="75" customFormat="1" ht="24.75" customHeight="1">
      <c r="B41" s="545" t="s">
        <v>138</v>
      </c>
      <c r="C41" s="546"/>
      <c r="D41" s="546"/>
      <c r="E41" s="547"/>
      <c r="F41" s="86">
        <f>F5+F13+F19+F22+F26+F29+F38</f>
        <v>10169826</v>
      </c>
      <c r="G41" s="86">
        <f>G5+G13+G19+G22+G26+G29+G38</f>
        <v>3652940</v>
      </c>
    </row>
  </sheetData>
  <sheetProtection algorithmName="SHA-512" hashValue="Fgz6X6iLZJwNA05hp0VrjHI+J6+e8mufdV7WKUcjMUhLP2rv0jDMPSxrJu8fxavfpSiCKla95rMiTX50qiyTUA==" saltValue="Pk0XtyJMbaA1mEABej/8hQ==" spinCount="100000" sheet="1" formatColumns="0" formatRows="0"/>
  <autoFilter ref="B1:B41" xr:uid="{01231ECB-7067-443E-8C70-62CC2C4E1DCE}"/>
  <mergeCells count="2">
    <mergeCell ref="B2:G2"/>
    <mergeCell ref="B41:E41"/>
  </mergeCells>
  <pageMargins left="0.6692913385826772" right="0.6692913385826772" top="1.3385826771653544" bottom="0.9055118110236221" header="0.70866141732283472" footer="0.51181102362204722"/>
  <pageSetup paperSize="9" scale="85" orientation="portrait" verticalDpi="300" r:id="rId1"/>
  <headerFooter differentOddEven="1" differentFirst="1" alignWithMargins="0">
    <oddFooter>&amp;C&amp;P</oddFooter>
    <firstHeader>&amp;R&amp;10Tabela Nr 7
do uchwały Nr ...............
Rady Powiatu  Otwockiego
z dnia ...........................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431C0-7759-4DA7-A533-6278F4612316}">
  <sheetPr>
    <tabColor rgb="FF92D050"/>
  </sheetPr>
  <dimension ref="A1:L56"/>
  <sheetViews>
    <sheetView zoomScaleNormal="100" workbookViewId="0">
      <pane ySplit="5" topLeftCell="A31" activePane="bottomLeft" state="frozen"/>
      <selection activeCell="M10" sqref="M10"/>
      <selection pane="bottomLeft" activeCell="D38" sqref="D38"/>
    </sheetView>
  </sheetViews>
  <sheetFormatPr defaultColWidth="9.33203125" defaultRowHeight="12"/>
  <cols>
    <col min="1" max="1" width="6.5" style="39" customWidth="1"/>
    <col min="2" max="2" width="10.83203125" style="39" customWidth="1"/>
    <col min="3" max="3" width="7.33203125" style="39" customWidth="1"/>
    <col min="4" max="4" width="61.33203125" style="40" customWidth="1"/>
    <col min="5" max="6" width="15.6640625" style="40" customWidth="1"/>
    <col min="7" max="7" width="19.33203125" style="40" customWidth="1"/>
    <col min="8" max="8" width="20.5" style="40" customWidth="1"/>
    <col min="9" max="10" width="9.33203125" style="40"/>
    <col min="11" max="11" width="10.33203125" style="40" bestFit="1" customWidth="1"/>
    <col min="12" max="16384" width="9.33203125" style="40"/>
  </cols>
  <sheetData>
    <row r="1" spans="1:12" ht="9" customHeight="1"/>
    <row r="2" spans="1:12" s="42" customFormat="1" ht="33" customHeight="1">
      <c r="A2" s="552" t="s">
        <v>218</v>
      </c>
      <c r="B2" s="552"/>
      <c r="C2" s="552"/>
      <c r="D2" s="552"/>
      <c r="E2" s="552"/>
      <c r="F2" s="552"/>
      <c r="G2" s="552"/>
      <c r="H2" s="41"/>
    </row>
    <row r="3" spans="1:12" ht="10.5" customHeight="1"/>
    <row r="4" spans="1:12" ht="24" customHeight="1">
      <c r="A4" s="549" t="s">
        <v>0</v>
      </c>
      <c r="B4" s="549" t="s">
        <v>1</v>
      </c>
      <c r="C4" s="549" t="s">
        <v>48</v>
      </c>
      <c r="D4" s="549" t="s">
        <v>8</v>
      </c>
      <c r="E4" s="549" t="s">
        <v>50</v>
      </c>
      <c r="F4" s="549"/>
      <c r="G4" s="549"/>
    </row>
    <row r="5" spans="1:12" ht="24" customHeight="1">
      <c r="A5" s="549"/>
      <c r="B5" s="549"/>
      <c r="C5" s="549"/>
      <c r="D5" s="549"/>
      <c r="E5" s="43" t="s">
        <v>51</v>
      </c>
      <c r="F5" s="43" t="s">
        <v>52</v>
      </c>
      <c r="G5" s="43" t="s">
        <v>53</v>
      </c>
    </row>
    <row r="6" spans="1:12" s="45" customFormat="1" ht="12.75" customHeight="1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</row>
    <row r="7" spans="1:12" ht="39" customHeight="1">
      <c r="A7" s="548" t="s">
        <v>54</v>
      </c>
      <c r="B7" s="548"/>
      <c r="C7" s="548"/>
      <c r="D7" s="46" t="s">
        <v>49</v>
      </c>
      <c r="E7" s="47" t="s">
        <v>55</v>
      </c>
      <c r="F7" s="47" t="s">
        <v>55</v>
      </c>
      <c r="G7" s="47" t="s">
        <v>55</v>
      </c>
    </row>
    <row r="8" spans="1:12" s="48" customFormat="1" ht="52.5" customHeight="1">
      <c r="A8" s="326">
        <v>600</v>
      </c>
      <c r="B8" s="326">
        <v>60004</v>
      </c>
      <c r="C8" s="326">
        <v>2310</v>
      </c>
      <c r="D8" s="327" t="s">
        <v>56</v>
      </c>
      <c r="E8" s="412"/>
      <c r="F8" s="412"/>
      <c r="G8" s="413">
        <v>280000</v>
      </c>
    </row>
    <row r="9" spans="1:12" s="48" customFormat="1" ht="57" customHeight="1">
      <c r="A9" s="49">
        <v>600</v>
      </c>
      <c r="B9" s="49">
        <v>60014</v>
      </c>
      <c r="C9" s="49">
        <v>6300</v>
      </c>
      <c r="D9" s="327" t="s">
        <v>57</v>
      </c>
      <c r="E9" s="414"/>
      <c r="F9" s="414"/>
      <c r="G9" s="415">
        <v>2500000</v>
      </c>
    </row>
    <row r="10" spans="1:12" s="48" customFormat="1" ht="57" customHeight="1">
      <c r="A10" s="410">
        <v>750</v>
      </c>
      <c r="B10" s="410">
        <v>75095</v>
      </c>
      <c r="C10" s="410">
        <v>2710</v>
      </c>
      <c r="D10" s="411" t="s">
        <v>58</v>
      </c>
      <c r="E10" s="416"/>
      <c r="F10" s="417"/>
      <c r="G10" s="417">
        <v>0</v>
      </c>
    </row>
    <row r="11" spans="1:12" s="48" customFormat="1" ht="57" customHeight="1">
      <c r="A11" s="410">
        <v>750</v>
      </c>
      <c r="B11" s="410">
        <v>75095</v>
      </c>
      <c r="C11" s="410">
        <v>2330</v>
      </c>
      <c r="D11" s="411" t="s">
        <v>151</v>
      </c>
      <c r="E11" s="416"/>
      <c r="F11" s="417"/>
      <c r="G11" s="417">
        <v>12000</v>
      </c>
    </row>
    <row r="12" spans="1:12" s="48" customFormat="1" ht="51.75" customHeight="1">
      <c r="A12" s="49">
        <v>853</v>
      </c>
      <c r="B12" s="49">
        <v>85311</v>
      </c>
      <c r="C12" s="49">
        <v>2320</v>
      </c>
      <c r="D12" s="93" t="s">
        <v>59</v>
      </c>
      <c r="E12" s="418"/>
      <c r="F12" s="418"/>
      <c r="G12" s="419">
        <v>5978</v>
      </c>
      <c r="H12" s="50"/>
      <c r="I12" s="50"/>
      <c r="J12" s="50"/>
      <c r="K12" s="50"/>
      <c r="L12" s="50"/>
    </row>
    <row r="13" spans="1:12" s="48" customFormat="1" ht="51.75" customHeight="1">
      <c r="A13" s="49">
        <v>855</v>
      </c>
      <c r="B13" s="49">
        <v>85508</v>
      </c>
      <c r="C13" s="49">
        <v>2320</v>
      </c>
      <c r="D13" s="93" t="s">
        <v>59</v>
      </c>
      <c r="E13" s="418"/>
      <c r="F13" s="418"/>
      <c r="G13" s="419">
        <v>524962</v>
      </c>
      <c r="H13" s="50"/>
      <c r="I13" s="50"/>
      <c r="J13" s="50"/>
      <c r="K13" s="50"/>
      <c r="L13" s="50"/>
    </row>
    <row r="14" spans="1:12" s="48" customFormat="1" ht="51.75" customHeight="1">
      <c r="A14" s="49">
        <v>855</v>
      </c>
      <c r="B14" s="49">
        <v>85509</v>
      </c>
      <c r="C14" s="49">
        <v>2330</v>
      </c>
      <c r="D14" s="93" t="s">
        <v>60</v>
      </c>
      <c r="E14" s="418"/>
      <c r="F14" s="418"/>
      <c r="G14" s="419">
        <v>306000</v>
      </c>
      <c r="H14" s="50"/>
      <c r="I14" s="50"/>
      <c r="J14" s="50"/>
      <c r="K14" s="50"/>
      <c r="L14" s="50"/>
    </row>
    <row r="15" spans="1:12" s="48" customFormat="1" ht="51.75" customHeight="1">
      <c r="A15" s="49">
        <v>855</v>
      </c>
      <c r="B15" s="49">
        <v>85510</v>
      </c>
      <c r="C15" s="49">
        <v>2320</v>
      </c>
      <c r="D15" s="93" t="s">
        <v>59</v>
      </c>
      <c r="E15" s="418"/>
      <c r="F15" s="418"/>
      <c r="G15" s="419">
        <v>24000</v>
      </c>
      <c r="H15" s="50"/>
      <c r="I15" s="50"/>
      <c r="J15" s="50"/>
      <c r="K15" s="50"/>
      <c r="L15" s="50"/>
    </row>
    <row r="16" spans="1:12" s="48" customFormat="1" ht="30.75" customHeight="1">
      <c r="A16" s="49">
        <v>921</v>
      </c>
      <c r="B16" s="49">
        <v>92116</v>
      </c>
      <c r="C16" s="49">
        <v>2480</v>
      </c>
      <c r="D16" s="93" t="s">
        <v>61</v>
      </c>
      <c r="E16" s="420">
        <v>734510</v>
      </c>
      <c r="F16" s="418"/>
      <c r="G16" s="421"/>
      <c r="H16" s="50"/>
      <c r="I16" s="50"/>
      <c r="J16" s="50"/>
      <c r="K16" s="50"/>
      <c r="L16" s="50"/>
    </row>
    <row r="17" spans="1:11" s="51" customFormat="1" ht="27" customHeight="1">
      <c r="A17" s="549" t="s">
        <v>62</v>
      </c>
      <c r="B17" s="549"/>
      <c r="C17" s="549"/>
      <c r="D17" s="549"/>
      <c r="E17" s="290">
        <f>SUM(E8:E16)</f>
        <v>734510</v>
      </c>
      <c r="F17" s="290">
        <f>SUM(F8:F16)</f>
        <v>0</v>
      </c>
      <c r="G17" s="290">
        <f>SUM(G8:G16)</f>
        <v>3652940</v>
      </c>
      <c r="I17" s="52"/>
    </row>
    <row r="18" spans="1:11" s="51" customFormat="1" ht="47.25" customHeight="1">
      <c r="A18" s="548" t="s">
        <v>63</v>
      </c>
      <c r="B18" s="548"/>
      <c r="C18" s="548"/>
      <c r="D18" s="46" t="s">
        <v>49</v>
      </c>
      <c r="E18" s="291" t="s">
        <v>55</v>
      </c>
      <c r="F18" s="291" t="s">
        <v>55</v>
      </c>
      <c r="G18" s="291" t="s">
        <v>55</v>
      </c>
      <c r="I18" s="52"/>
      <c r="K18" s="53"/>
    </row>
    <row r="19" spans="1:11" s="48" customFormat="1" ht="59.25" customHeight="1">
      <c r="A19" s="49">
        <v>630</v>
      </c>
      <c r="B19" s="49">
        <v>63003</v>
      </c>
      <c r="C19" s="49">
        <v>2360</v>
      </c>
      <c r="D19" s="93" t="s">
        <v>64</v>
      </c>
      <c r="E19" s="415"/>
      <c r="F19" s="415"/>
      <c r="G19" s="415">
        <v>5000</v>
      </c>
      <c r="I19" s="328"/>
      <c r="K19" s="39"/>
    </row>
    <row r="20" spans="1:11" s="48" customFormat="1" ht="63.75" customHeight="1">
      <c r="A20" s="49">
        <v>755</v>
      </c>
      <c r="B20" s="49">
        <v>75515</v>
      </c>
      <c r="C20" s="49">
        <v>2360</v>
      </c>
      <c r="D20" s="93" t="s">
        <v>64</v>
      </c>
      <c r="E20" s="414"/>
      <c r="F20" s="414"/>
      <c r="G20" s="415">
        <v>190080</v>
      </c>
      <c r="I20" s="328"/>
      <c r="K20" s="39"/>
    </row>
    <row r="21" spans="1:11" s="48" customFormat="1" ht="33" customHeight="1">
      <c r="A21" s="49">
        <v>801</v>
      </c>
      <c r="B21" s="49">
        <v>80102</v>
      </c>
      <c r="C21" s="49">
        <v>2540</v>
      </c>
      <c r="D21" s="93" t="s">
        <v>65</v>
      </c>
      <c r="E21" s="420">
        <v>5286043</v>
      </c>
      <c r="F21" s="414"/>
      <c r="G21" s="414"/>
      <c r="I21" s="328"/>
      <c r="K21" s="39"/>
    </row>
    <row r="22" spans="1:11" s="48" customFormat="1" ht="33" customHeight="1">
      <c r="A22" s="49">
        <v>801</v>
      </c>
      <c r="B22" s="49">
        <v>80102</v>
      </c>
      <c r="C22" s="49">
        <v>2580</v>
      </c>
      <c r="D22" s="93" t="s">
        <v>68</v>
      </c>
      <c r="E22" s="420">
        <v>800340</v>
      </c>
      <c r="F22" s="414"/>
      <c r="G22" s="414"/>
      <c r="I22" s="328"/>
      <c r="K22" s="39"/>
    </row>
    <row r="23" spans="1:11" s="48" customFormat="1" ht="33" customHeight="1">
      <c r="A23" s="49">
        <v>801</v>
      </c>
      <c r="B23" s="49">
        <v>80105</v>
      </c>
      <c r="C23" s="49">
        <v>2540</v>
      </c>
      <c r="D23" s="93" t="s">
        <v>65</v>
      </c>
      <c r="E23" s="420">
        <v>1607937</v>
      </c>
      <c r="F23" s="414"/>
      <c r="G23" s="414"/>
      <c r="I23" s="328"/>
      <c r="K23" s="39"/>
    </row>
    <row r="24" spans="1:11" s="48" customFormat="1" ht="33" customHeight="1">
      <c r="A24" s="49">
        <v>801</v>
      </c>
      <c r="B24" s="49">
        <v>80105</v>
      </c>
      <c r="C24" s="49">
        <v>2580</v>
      </c>
      <c r="D24" s="93" t="s">
        <v>68</v>
      </c>
      <c r="E24" s="420">
        <v>422730</v>
      </c>
      <c r="F24" s="414"/>
      <c r="G24" s="414"/>
      <c r="I24" s="328"/>
      <c r="K24" s="39"/>
    </row>
    <row r="25" spans="1:11" s="48" customFormat="1" ht="33" customHeight="1">
      <c r="A25" s="410">
        <v>801</v>
      </c>
      <c r="B25" s="410">
        <v>80116</v>
      </c>
      <c r="C25" s="410">
        <v>2540</v>
      </c>
      <c r="D25" s="411" t="s">
        <v>65</v>
      </c>
      <c r="E25" s="422">
        <f>2232002+166666-300000</f>
        <v>2098668</v>
      </c>
      <c r="F25" s="414"/>
      <c r="G25" s="414"/>
      <c r="I25" s="328"/>
      <c r="K25" s="39"/>
    </row>
    <row r="26" spans="1:11" s="48" customFormat="1" ht="34.5" customHeight="1">
      <c r="A26" s="410">
        <v>801</v>
      </c>
      <c r="B26" s="410">
        <v>80120</v>
      </c>
      <c r="C26" s="410">
        <v>2540</v>
      </c>
      <c r="D26" s="411" t="s">
        <v>65</v>
      </c>
      <c r="E26" s="422">
        <v>2285139</v>
      </c>
      <c r="F26" s="418"/>
      <c r="G26" s="418"/>
    </row>
    <row r="27" spans="1:11" s="48" customFormat="1" ht="34.5" customHeight="1">
      <c r="A27" s="49">
        <v>801</v>
      </c>
      <c r="B27" s="49">
        <v>80120</v>
      </c>
      <c r="C27" s="49">
        <v>2580</v>
      </c>
      <c r="D27" s="93" t="s">
        <v>68</v>
      </c>
      <c r="E27" s="420">
        <v>5287</v>
      </c>
      <c r="F27" s="418"/>
      <c r="G27" s="418"/>
    </row>
    <row r="28" spans="1:11" s="48" customFormat="1" ht="30" customHeight="1">
      <c r="A28" s="410">
        <v>801</v>
      </c>
      <c r="B28" s="410">
        <v>80152</v>
      </c>
      <c r="C28" s="410">
        <v>2540</v>
      </c>
      <c r="D28" s="411" t="s">
        <v>65</v>
      </c>
      <c r="E28" s="422">
        <v>600274</v>
      </c>
      <c r="F28" s="418"/>
      <c r="G28" s="418"/>
    </row>
    <row r="29" spans="1:11" s="48" customFormat="1" ht="45.75" customHeight="1">
      <c r="A29" s="49">
        <v>801</v>
      </c>
      <c r="B29" s="49">
        <v>80153</v>
      </c>
      <c r="C29" s="49">
        <v>2830</v>
      </c>
      <c r="D29" s="93" t="s">
        <v>349</v>
      </c>
      <c r="E29" s="420">
        <v>33261.33</v>
      </c>
      <c r="F29" s="418"/>
      <c r="G29" s="418"/>
    </row>
    <row r="30" spans="1:11" s="48" customFormat="1" ht="48" customHeight="1">
      <c r="A30" s="49">
        <v>851</v>
      </c>
      <c r="B30" s="49">
        <v>85111</v>
      </c>
      <c r="C30" s="49">
        <v>6230</v>
      </c>
      <c r="D30" s="93" t="s">
        <v>66</v>
      </c>
      <c r="E30" s="420"/>
      <c r="F30" s="418"/>
      <c r="G30" s="420">
        <v>2412513.15</v>
      </c>
    </row>
    <row r="31" spans="1:11" s="48" customFormat="1" ht="36.75" customHeight="1">
      <c r="A31" s="49">
        <v>852</v>
      </c>
      <c r="B31" s="49">
        <v>85202</v>
      </c>
      <c r="C31" s="49">
        <v>2820</v>
      </c>
      <c r="D31" s="93" t="s">
        <v>67</v>
      </c>
      <c r="E31" s="418"/>
      <c r="F31" s="418"/>
      <c r="G31" s="420">
        <v>304332</v>
      </c>
    </row>
    <row r="32" spans="1:11" s="48" customFormat="1" ht="36.75" customHeight="1">
      <c r="A32" s="49">
        <v>852</v>
      </c>
      <c r="B32" s="49">
        <v>85220</v>
      </c>
      <c r="C32" s="49">
        <v>2820</v>
      </c>
      <c r="D32" s="93" t="s">
        <v>67</v>
      </c>
      <c r="E32" s="418"/>
      <c r="F32" s="418"/>
      <c r="G32" s="420">
        <f>280000+4860</f>
        <v>284860</v>
      </c>
    </row>
    <row r="33" spans="1:11" s="48" customFormat="1" ht="34.5" customHeight="1">
      <c r="A33" s="49">
        <v>853</v>
      </c>
      <c r="B33" s="49">
        <v>85311</v>
      </c>
      <c r="C33" s="49">
        <v>2580</v>
      </c>
      <c r="D33" s="93" t="s">
        <v>68</v>
      </c>
      <c r="E33" s="420">
        <v>343785</v>
      </c>
      <c r="F33" s="418"/>
      <c r="G33" s="418"/>
    </row>
    <row r="34" spans="1:11" s="48" customFormat="1" ht="41.25" customHeight="1">
      <c r="A34" s="49">
        <v>853</v>
      </c>
      <c r="B34" s="49">
        <v>85311</v>
      </c>
      <c r="C34" s="49">
        <v>6230</v>
      </c>
      <c r="D34" s="93" t="s">
        <v>66</v>
      </c>
      <c r="E34" s="420"/>
      <c r="F34" s="418"/>
      <c r="G34" s="420">
        <v>20000</v>
      </c>
    </row>
    <row r="35" spans="1:11" s="462" customFormat="1" ht="32.25" customHeight="1">
      <c r="A35" s="410">
        <v>854</v>
      </c>
      <c r="B35" s="410">
        <v>85404</v>
      </c>
      <c r="C35" s="410">
        <v>2540</v>
      </c>
      <c r="D35" s="411" t="s">
        <v>65</v>
      </c>
      <c r="E35" s="422">
        <v>622413</v>
      </c>
      <c r="F35" s="461"/>
      <c r="G35" s="461"/>
    </row>
    <row r="36" spans="1:11" s="48" customFormat="1" ht="30" customHeight="1">
      <c r="A36" s="49">
        <v>854</v>
      </c>
      <c r="B36" s="49">
        <v>85404</v>
      </c>
      <c r="C36" s="49">
        <v>2580</v>
      </c>
      <c r="D36" s="93" t="s">
        <v>68</v>
      </c>
      <c r="E36" s="420">
        <v>13055</v>
      </c>
      <c r="F36" s="418"/>
      <c r="G36" s="418"/>
    </row>
    <row r="37" spans="1:11" s="462" customFormat="1" ht="29.25" customHeight="1">
      <c r="A37" s="410">
        <v>854</v>
      </c>
      <c r="B37" s="410">
        <v>85410</v>
      </c>
      <c r="C37" s="410">
        <v>2540</v>
      </c>
      <c r="D37" s="411" t="s">
        <v>65</v>
      </c>
      <c r="E37" s="422">
        <v>114822</v>
      </c>
      <c r="F37" s="461"/>
      <c r="G37" s="461"/>
    </row>
    <row r="38" spans="1:11" s="48" customFormat="1" ht="60.75" customHeight="1">
      <c r="A38" s="49">
        <v>921</v>
      </c>
      <c r="B38" s="49">
        <v>92105</v>
      </c>
      <c r="C38" s="49">
        <v>2360</v>
      </c>
      <c r="D38" s="93" t="s">
        <v>64</v>
      </c>
      <c r="E38" s="420"/>
      <c r="F38" s="420"/>
      <c r="G38" s="420">
        <v>67600</v>
      </c>
    </row>
    <row r="39" spans="1:11" s="48" customFormat="1" ht="60.75" customHeight="1">
      <c r="A39" s="49">
        <v>921</v>
      </c>
      <c r="B39" s="49">
        <v>92120</v>
      </c>
      <c r="C39" s="49">
        <v>2720</v>
      </c>
      <c r="D39" s="93" t="s">
        <v>69</v>
      </c>
      <c r="E39" s="418"/>
      <c r="F39" s="418"/>
      <c r="G39" s="420">
        <v>15000</v>
      </c>
    </row>
    <row r="40" spans="1:11" s="48" customFormat="1" ht="60.75" customHeight="1">
      <c r="A40" s="49">
        <v>926</v>
      </c>
      <c r="B40" s="49">
        <v>92605</v>
      </c>
      <c r="C40" s="49">
        <v>2360</v>
      </c>
      <c r="D40" s="93" t="s">
        <v>64</v>
      </c>
      <c r="E40" s="418"/>
      <c r="F40" s="418"/>
      <c r="G40" s="420">
        <v>20000</v>
      </c>
      <c r="I40" s="328"/>
      <c r="K40" s="328"/>
    </row>
    <row r="41" spans="1:11" s="48" customFormat="1" ht="22.5" customHeight="1">
      <c r="A41" s="550" t="s">
        <v>70</v>
      </c>
      <c r="B41" s="550"/>
      <c r="C41" s="550"/>
      <c r="D41" s="550"/>
      <c r="E41" s="290">
        <f>SUM(E19:E40)</f>
        <v>14233754.33</v>
      </c>
      <c r="F41" s="290">
        <f t="shared" ref="F41" si="0">SUM(F19:F40)</f>
        <v>0</v>
      </c>
      <c r="G41" s="290">
        <f>SUM(G19:G40)</f>
        <v>3319385.15</v>
      </c>
    </row>
    <row r="42" spans="1:11" s="54" customFormat="1" ht="26.25" customHeight="1">
      <c r="A42" s="551" t="s">
        <v>71</v>
      </c>
      <c r="B42" s="551"/>
      <c r="C42" s="551"/>
      <c r="D42" s="551"/>
      <c r="E42" s="551"/>
      <c r="F42" s="551"/>
      <c r="G42" s="292">
        <f>SUM(E17,G17,E41,G41)</f>
        <v>21940589.479999997</v>
      </c>
    </row>
    <row r="43" spans="1:11" ht="15.75" customHeight="1"/>
    <row r="44" spans="1:11" ht="15.75" customHeight="1">
      <c r="G44" s="325"/>
    </row>
    <row r="45" spans="1:11" ht="15.75" customHeight="1"/>
    <row r="46" spans="1:11" ht="15.75" customHeight="1">
      <c r="A46" s="40"/>
      <c r="B46" s="40"/>
      <c r="C46" s="40"/>
    </row>
    <row r="47" spans="1:11" ht="15.75" customHeight="1">
      <c r="A47" s="40"/>
      <c r="B47" s="40"/>
      <c r="C47" s="40"/>
    </row>
    <row r="48" spans="1:11" ht="15.75" customHeight="1">
      <c r="A48" s="40"/>
      <c r="B48" s="40"/>
      <c r="C48" s="40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</sheetData>
  <sheetProtection algorithmName="SHA-512" hashValue="GzdBgrirkejJ5RDemdQ3WkX1Gc72UrAD2brLsTq2AjFKWZeHgir/EQx2Yezxe6VnIqdMMVzG2EJQrs5XlkGWBQ==" saltValue="Zr0VGMKXPwHW5UeroncZkw==" spinCount="100000" sheet="1" formatColumns="0" formatRows="0"/>
  <mergeCells count="11">
    <mergeCell ref="A2:G2"/>
    <mergeCell ref="A4:A5"/>
    <mergeCell ref="B4:B5"/>
    <mergeCell ref="C4:C5"/>
    <mergeCell ref="D4:D5"/>
    <mergeCell ref="E4:G4"/>
    <mergeCell ref="A7:C7"/>
    <mergeCell ref="A17:D17"/>
    <mergeCell ref="A18:C18"/>
    <mergeCell ref="A41:D41"/>
    <mergeCell ref="A42:F42"/>
  </mergeCells>
  <pageMargins left="0.59055118110236227" right="0.31496062992125984" top="1.4173228346456694" bottom="0.62992125984251968" header="0.51181102362204722" footer="0.47244094488188981"/>
  <pageSetup paperSize="9" scale="85" orientation="portrait" verticalDpi="300" r:id="rId1"/>
  <headerFooter differentOddEven="1" differentFirst="1" alignWithMargins="0">
    <oddFooter>&amp;C&amp;P</oddFooter>
    <evenFooter>&amp;C&amp;P</evenFooter>
    <firstHeader>&amp;R&amp;10Załącznik Nr 1 
do uchwały Nr ...................
Rady  Powiatu  Otwockiego
z dnia ..............................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3908-B34C-4F24-B022-64DD303CCE25}">
  <sheetPr>
    <tabColor rgb="FF92D050"/>
  </sheetPr>
  <dimension ref="B1:I14"/>
  <sheetViews>
    <sheetView workbookViewId="0">
      <selection activeCell="L10" sqref="L10"/>
    </sheetView>
  </sheetViews>
  <sheetFormatPr defaultColWidth="9.33203125" defaultRowHeight="12.75"/>
  <cols>
    <col min="1" max="1" width="2.83203125" style="111" customWidth="1"/>
    <col min="2" max="2" width="50.83203125" style="111" customWidth="1"/>
    <col min="3" max="3" width="9.33203125" style="111" customWidth="1"/>
    <col min="4" max="4" width="11.33203125" style="111" customWidth="1"/>
    <col min="5" max="8" width="13" style="111" customWidth="1"/>
    <col min="9" max="16384" width="9.33203125" style="111"/>
  </cols>
  <sheetData>
    <row r="1" spans="2:9" ht="9" customHeight="1"/>
    <row r="2" spans="2:9" ht="32.25" customHeight="1">
      <c r="B2" s="556" t="s">
        <v>363</v>
      </c>
      <c r="C2" s="556"/>
      <c r="D2" s="556"/>
      <c r="E2" s="556"/>
      <c r="F2" s="556"/>
      <c r="G2" s="556"/>
      <c r="H2" s="556"/>
    </row>
    <row r="3" spans="2:9" ht="13.5" thickBot="1"/>
    <row r="4" spans="2:9" ht="18.75" customHeight="1">
      <c r="B4" s="557" t="s">
        <v>364</v>
      </c>
      <c r="C4" s="559" t="s">
        <v>0</v>
      </c>
      <c r="D4" s="557" t="s">
        <v>1</v>
      </c>
      <c r="E4" s="559" t="s">
        <v>22</v>
      </c>
      <c r="F4" s="561" t="s">
        <v>365</v>
      </c>
      <c r="G4" s="559"/>
      <c r="H4" s="562"/>
    </row>
    <row r="5" spans="2:9" ht="18.75" customHeight="1" thickBot="1">
      <c r="B5" s="558"/>
      <c r="C5" s="560"/>
      <c r="D5" s="558"/>
      <c r="E5" s="560"/>
      <c r="F5" s="397"/>
      <c r="G5" s="398" t="s">
        <v>366</v>
      </c>
      <c r="H5" s="399" t="s">
        <v>367</v>
      </c>
    </row>
    <row r="6" spans="2:9" ht="45.75" customHeight="1" thickBot="1">
      <c r="B6" s="174" t="s">
        <v>368</v>
      </c>
      <c r="C6" s="400">
        <v>801</v>
      </c>
      <c r="D6" s="400">
        <v>80120</v>
      </c>
      <c r="E6" s="401">
        <v>60600</v>
      </c>
      <c r="F6" s="401">
        <f>SUM(G6:H6)</f>
        <v>60600</v>
      </c>
      <c r="G6" s="401">
        <v>60600</v>
      </c>
      <c r="H6" s="401">
        <v>0</v>
      </c>
    </row>
    <row r="7" spans="2:9" ht="45.75" customHeight="1" thickBot="1">
      <c r="B7" s="174" t="s">
        <v>369</v>
      </c>
      <c r="C7" s="400">
        <v>801</v>
      </c>
      <c r="D7" s="400">
        <v>80120</v>
      </c>
      <c r="E7" s="401">
        <v>11000</v>
      </c>
      <c r="F7" s="401">
        <f t="shared" ref="F7:F13" si="0">SUM(G7:H7)</f>
        <v>11000</v>
      </c>
      <c r="G7" s="401">
        <v>11000</v>
      </c>
      <c r="H7" s="401">
        <v>0</v>
      </c>
    </row>
    <row r="8" spans="2:9" ht="45.75" customHeight="1" thickBot="1">
      <c r="B8" s="400" t="s">
        <v>370</v>
      </c>
      <c r="C8" s="400">
        <v>801</v>
      </c>
      <c r="D8" s="400">
        <v>80115</v>
      </c>
      <c r="E8" s="401">
        <f>146000+20000</f>
        <v>166000</v>
      </c>
      <c r="F8" s="401">
        <f t="shared" si="0"/>
        <v>166000</v>
      </c>
      <c r="G8" s="401">
        <f>146000+20000</f>
        <v>166000</v>
      </c>
      <c r="H8" s="401">
        <v>0</v>
      </c>
    </row>
    <row r="9" spans="2:9" ht="45.75" customHeight="1" thickBot="1">
      <c r="B9" s="174" t="s">
        <v>371</v>
      </c>
      <c r="C9" s="400">
        <v>801</v>
      </c>
      <c r="D9" s="400">
        <v>80115</v>
      </c>
      <c r="E9" s="401">
        <v>164747</v>
      </c>
      <c r="F9" s="401">
        <f t="shared" si="0"/>
        <v>164747</v>
      </c>
      <c r="G9" s="401">
        <v>164747</v>
      </c>
      <c r="H9" s="401">
        <v>0</v>
      </c>
    </row>
    <row r="10" spans="2:9" ht="45.75" customHeight="1" thickBot="1">
      <c r="B10" s="174" t="s">
        <v>372</v>
      </c>
      <c r="C10" s="400">
        <v>854</v>
      </c>
      <c r="D10" s="400">
        <v>85403</v>
      </c>
      <c r="E10" s="401">
        <v>205300</v>
      </c>
      <c r="F10" s="401">
        <f t="shared" si="0"/>
        <v>205300</v>
      </c>
      <c r="G10" s="401">
        <v>205300</v>
      </c>
      <c r="H10" s="401">
        <v>0</v>
      </c>
    </row>
    <row r="11" spans="2:9" ht="45.75" customHeight="1" thickBot="1">
      <c r="B11" s="174" t="s">
        <v>373</v>
      </c>
      <c r="C11" s="400">
        <v>854</v>
      </c>
      <c r="D11" s="400">
        <v>85403</v>
      </c>
      <c r="E11" s="401">
        <v>203500</v>
      </c>
      <c r="F11" s="401">
        <f t="shared" si="0"/>
        <v>203500</v>
      </c>
      <c r="G11" s="401">
        <v>203500</v>
      </c>
      <c r="H11" s="401">
        <v>0</v>
      </c>
    </row>
    <row r="12" spans="2:9" s="402" customFormat="1" ht="45.75" customHeight="1" thickBot="1">
      <c r="B12" s="405" t="s">
        <v>374</v>
      </c>
      <c r="C12" s="405">
        <v>854</v>
      </c>
      <c r="D12" s="405">
        <v>85407</v>
      </c>
      <c r="E12" s="406">
        <f>436000+170000+120000</f>
        <v>726000</v>
      </c>
      <c r="F12" s="406">
        <f>SUM(G12:H12)</f>
        <v>726000</v>
      </c>
      <c r="G12" s="406">
        <f>415500+170000+120000</f>
        <v>705500</v>
      </c>
      <c r="H12" s="406">
        <v>20500</v>
      </c>
    </row>
    <row r="13" spans="2:9" ht="45.75" customHeight="1" thickBot="1">
      <c r="B13" s="174" t="s">
        <v>375</v>
      </c>
      <c r="C13" s="400">
        <v>854</v>
      </c>
      <c r="D13" s="400">
        <v>85421</v>
      </c>
      <c r="E13" s="401">
        <v>367500</v>
      </c>
      <c r="F13" s="401">
        <f t="shared" si="0"/>
        <v>367500</v>
      </c>
      <c r="G13" s="401">
        <v>347500</v>
      </c>
      <c r="H13" s="401">
        <v>20000</v>
      </c>
      <c r="I13" s="403"/>
    </row>
    <row r="14" spans="2:9" s="110" customFormat="1" ht="28.5" customHeight="1" thickBot="1">
      <c r="B14" s="553" t="s">
        <v>296</v>
      </c>
      <c r="C14" s="554"/>
      <c r="D14" s="555"/>
      <c r="E14" s="404">
        <f>SUM(E6:E13)</f>
        <v>1904647</v>
      </c>
      <c r="F14" s="404">
        <f>SUM(F6:F13)</f>
        <v>1904647</v>
      </c>
      <c r="G14" s="404">
        <f>SUM(G6:G13)</f>
        <v>1864147</v>
      </c>
      <c r="H14" s="404">
        <f>SUM(H6:H13)</f>
        <v>40500</v>
      </c>
    </row>
  </sheetData>
  <sheetProtection algorithmName="SHA-512" hashValue="NSBC9DOpK2qG9bPN3MST3Ot8q6VEkNHhtbQ0xnhKW3WarD37OWC0gs96nBSGoCU4RGvKhuG1ekFdMOlKtswkvQ==" saltValue="XT/Yr9w0SzpMpM/Yoo0dzA==" spinCount="100000" sheet="1" formatColumns="0" formatRows="0"/>
  <mergeCells count="7">
    <mergeCell ref="B14:D14"/>
    <mergeCell ref="B2:H2"/>
    <mergeCell ref="B4:B5"/>
    <mergeCell ref="C4:C5"/>
    <mergeCell ref="D4:D5"/>
    <mergeCell ref="E4:E5"/>
    <mergeCell ref="F4:H4"/>
  </mergeCells>
  <pageMargins left="0.78740157480314965" right="0.23622047244094491" top="1.6535433070866143" bottom="0.31496062992125984" header="0.70866141732283472" footer="0.15748031496062992"/>
  <pageSetup paperSize="9" scale="85" orientation="portrait" verticalDpi="300" r:id="rId1"/>
  <headerFooter differentOddEven="1" differentFirst="1" alignWithMargins="0">
    <firstHeader>&amp;R&amp;10Załącznik Nr 2
do uchwały Nr ..................
Rady Powiatu  Otwockiego
z dnia .............................</firstHeader>
  </headerFooter>
  <colBreaks count="1" manualBreakCount="1">
    <brk id="8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4</vt:i4>
      </vt:variant>
    </vt:vector>
  </HeadingPairs>
  <TitlesOfParts>
    <vt:vector size="11" baseType="lpstr">
      <vt:lpstr>Tab.2a</vt:lpstr>
      <vt:lpstr>Tab.3</vt:lpstr>
      <vt:lpstr>Tab.5 </vt:lpstr>
      <vt:lpstr>Tab.6 </vt:lpstr>
      <vt:lpstr>Tab.7</vt:lpstr>
      <vt:lpstr>Zał.1</vt:lpstr>
      <vt:lpstr>Zał.2</vt:lpstr>
      <vt:lpstr>Tab.3!Obszar_wydruku</vt:lpstr>
      <vt:lpstr>'Tab.5 '!Obszar_wydruku</vt:lpstr>
      <vt:lpstr>Zał.1!Obszar_wydruku</vt:lpstr>
      <vt:lpstr>Zał.2!Obszar_wydruku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Mroczkowska Aneta</cp:lastModifiedBy>
  <cp:lastPrinted>2023-09-20T08:52:39Z</cp:lastPrinted>
  <dcterms:created xsi:type="dcterms:W3CDTF">2015-10-09T11:05:37Z</dcterms:created>
  <dcterms:modified xsi:type="dcterms:W3CDTF">2023-09-22T06:27:22Z</dcterms:modified>
</cp:coreProperties>
</file>