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 codeName="Ten_skoroszyt" defaultThemeVersion="124226"/>
  <xr:revisionPtr revIDLastSave="0" documentId="13_ncr:1_{153E1ED9-003C-47BC-BA81-4448C87BC7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 2 " sheetId="70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'Zał. 2 '!$B$1:$B$157</definedName>
    <definedName name="IdRozp">[1]DaneZrodlowe!$N$3</definedName>
    <definedName name="IdWzor">[2]DaneZrodlowe!$N$3</definedName>
    <definedName name="KwartalRb">[3]definicja!$B$5</definedName>
    <definedName name="_xlnm.Print_Area" localSheetId="0">'Zał. 2 '!$A$1:$N$67</definedName>
    <definedName name="Ostatni_rok_analizy">[4]WPF_Analiza!$L$1</definedName>
    <definedName name="Rok_bazowy">[3]DaneZrodlowe!$O$1</definedName>
    <definedName name="RokBazowy">[4]DaneZrodlowe!$N$1</definedName>
    <definedName name="RokMaxProg">[4]DaneZrodlowe!$Q$1</definedName>
    <definedName name="RokRb">[3]definicja!$B$4</definedName>
    <definedName name="Srednia">[1]DaneZrodlowe!$N$4</definedName>
    <definedName name="_xlnm.Print_Titles" localSheetId="0">'Zał. 2 '!$4:$5</definedName>
    <definedName name="ver_raportu">#REF!</definedName>
    <definedName name="version">[4]definicja!$D$1</definedName>
    <definedName name="WydatkiPar">[3]definicja!$H$5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70" l="1"/>
  <c r="G22" i="70"/>
  <c r="G35" i="70"/>
  <c r="F50" i="70"/>
  <c r="H50" i="70"/>
  <c r="F48" i="70"/>
  <c r="H64" i="70"/>
  <c r="F64" i="70"/>
  <c r="F65" i="70"/>
  <c r="G65" i="70"/>
  <c r="N65" i="70" s="1"/>
  <c r="H52" i="70"/>
  <c r="G52" i="70"/>
  <c r="G64" i="70"/>
  <c r="H54" i="70"/>
  <c r="G54" i="70"/>
  <c r="H34" i="70"/>
  <c r="G34" i="70"/>
  <c r="F61" i="70"/>
  <c r="H61" i="70"/>
  <c r="F43" i="70"/>
  <c r="H43" i="70"/>
  <c r="F62" i="70"/>
  <c r="H62" i="70"/>
  <c r="G61" i="70"/>
  <c r="G43" i="70"/>
  <c r="H44" i="70"/>
  <c r="F37" i="70"/>
  <c r="I37" i="70"/>
  <c r="H37" i="70"/>
  <c r="G37" i="70"/>
  <c r="G27" i="70"/>
  <c r="H27" i="70"/>
  <c r="I27" i="70"/>
  <c r="J27" i="70"/>
  <c r="K27" i="70"/>
  <c r="L27" i="70"/>
  <c r="M27" i="70"/>
  <c r="N27" i="70"/>
  <c r="F27" i="70"/>
  <c r="F52" i="70"/>
  <c r="N32" i="70"/>
  <c r="F33" i="70" l="1"/>
  <c r="I33" i="70"/>
  <c r="J33" i="70"/>
  <c r="K33" i="70"/>
  <c r="L33" i="70"/>
  <c r="M33" i="70"/>
  <c r="N66" i="70"/>
  <c r="F54" i="70"/>
  <c r="F59" i="70"/>
  <c r="G59" i="70"/>
  <c r="F51" i="70"/>
  <c r="G51" i="70"/>
  <c r="H11" i="70"/>
  <c r="I11" i="70"/>
  <c r="J11" i="70"/>
  <c r="K11" i="70"/>
  <c r="L11" i="70"/>
  <c r="M11" i="70"/>
  <c r="N20" i="70"/>
  <c r="G45" i="70"/>
  <c r="G19" i="70"/>
  <c r="F45" i="70" l="1"/>
  <c r="N64" i="70"/>
  <c r="N31" i="70" l="1"/>
  <c r="H33" i="70" l="1"/>
  <c r="N63" i="70" l="1"/>
  <c r="F53" i="70" l="1"/>
  <c r="F58" i="70"/>
  <c r="G58" i="70"/>
  <c r="G57" i="70"/>
  <c r="F56" i="70"/>
  <c r="G55" i="70"/>
  <c r="G53" i="70"/>
  <c r="G33" i="70" s="1"/>
  <c r="G56" i="70"/>
  <c r="G15" i="70"/>
  <c r="F15" i="70"/>
  <c r="G14" i="70"/>
  <c r="F13" i="70"/>
  <c r="F12" i="70"/>
  <c r="G13" i="70"/>
  <c r="G16" i="70"/>
  <c r="N17" i="70"/>
  <c r="G60" i="70"/>
  <c r="G11" i="70" l="1"/>
  <c r="F11" i="70"/>
  <c r="N62" i="70"/>
  <c r="F34" i="70" l="1"/>
  <c r="N61" i="70" l="1"/>
  <c r="N60" i="70"/>
  <c r="N59" i="70"/>
  <c r="N58" i="70"/>
  <c r="N57" i="70"/>
  <c r="N56" i="70"/>
  <c r="N55" i="70"/>
  <c r="N54" i="70"/>
  <c r="N53" i="70"/>
  <c r="N52" i="70"/>
  <c r="N51" i="70"/>
  <c r="N50" i="70"/>
  <c r="N49" i="70"/>
  <c r="N48" i="70"/>
  <c r="N47" i="70"/>
  <c r="N46" i="70"/>
  <c r="F46" i="70"/>
  <c r="N45" i="70"/>
  <c r="N44" i="70"/>
  <c r="N43" i="70"/>
  <c r="N42" i="70"/>
  <c r="N41" i="70"/>
  <c r="N40" i="70"/>
  <c r="F40" i="70"/>
  <c r="N39" i="70"/>
  <c r="F39" i="70"/>
  <c r="N38" i="70"/>
  <c r="F38" i="70"/>
  <c r="N37" i="70"/>
  <c r="N36" i="70"/>
  <c r="F36" i="70"/>
  <c r="N35" i="70"/>
  <c r="N34" i="70"/>
  <c r="N30" i="70"/>
  <c r="N29" i="70"/>
  <c r="F29" i="70"/>
  <c r="G28" i="70"/>
  <c r="F28" i="70"/>
  <c r="M26" i="70"/>
  <c r="L26" i="70"/>
  <c r="K26" i="70"/>
  <c r="J26" i="70"/>
  <c r="I26" i="70"/>
  <c r="N23" i="70"/>
  <c r="M23" i="70"/>
  <c r="L23" i="70"/>
  <c r="K23" i="70"/>
  <c r="J23" i="70"/>
  <c r="I23" i="70"/>
  <c r="H23" i="70"/>
  <c r="G23" i="70"/>
  <c r="F23" i="70"/>
  <c r="G21" i="70"/>
  <c r="G9" i="70" s="1"/>
  <c r="F21" i="70"/>
  <c r="M21" i="70"/>
  <c r="L21" i="70"/>
  <c r="K21" i="70"/>
  <c r="K9" i="70" s="1"/>
  <c r="J21" i="70"/>
  <c r="J9" i="70" s="1"/>
  <c r="I21" i="70"/>
  <c r="H21" i="70"/>
  <c r="N19" i="70"/>
  <c r="N18" i="70"/>
  <c r="N16" i="70"/>
  <c r="N15" i="70"/>
  <c r="N14" i="70"/>
  <c r="N12" i="70"/>
  <c r="M10" i="70"/>
  <c r="N33" i="70" l="1"/>
  <c r="K10" i="70"/>
  <c r="K7" i="70" s="1"/>
  <c r="N28" i="70"/>
  <c r="G26" i="70"/>
  <c r="F9" i="70"/>
  <c r="I10" i="70"/>
  <c r="I7" i="70" s="1"/>
  <c r="H10" i="70"/>
  <c r="L10" i="70"/>
  <c r="L7" i="70" s="1"/>
  <c r="F8" i="70"/>
  <c r="K8" i="70"/>
  <c r="F10" i="70"/>
  <c r="H8" i="70"/>
  <c r="M7" i="70"/>
  <c r="J10" i="70"/>
  <c r="J7" i="70" s="1"/>
  <c r="J8" i="70"/>
  <c r="I8" i="70"/>
  <c r="M8" i="70"/>
  <c r="N22" i="70"/>
  <c r="N21" i="70" s="1"/>
  <c r="H26" i="70"/>
  <c r="L8" i="70"/>
  <c r="M9" i="70"/>
  <c r="L9" i="70"/>
  <c r="H9" i="70"/>
  <c r="I9" i="70"/>
  <c r="N13" i="70"/>
  <c r="N11" i="70" s="1"/>
  <c r="G8" i="70" l="1"/>
  <c r="H7" i="70"/>
  <c r="F26" i="70"/>
  <c r="F7" i="70" s="1"/>
  <c r="N9" i="70"/>
  <c r="G10" i="70"/>
  <c r="G7" i="70" s="1"/>
  <c r="N26" i="70"/>
  <c r="N8" i="70"/>
  <c r="N10" i="70"/>
  <c r="N7" i="70" l="1"/>
</calcChain>
</file>

<file path=xl/sharedStrings.xml><?xml version="1.0" encoding="utf-8"?>
<sst xmlns="http://schemas.openxmlformats.org/spreadsheetml/2006/main" count="179" uniqueCount="138">
  <si>
    <t>Lp.</t>
  </si>
  <si>
    <t>Nazwa i cel przedsięwzięcia</t>
  </si>
  <si>
    <t>Jednostka odpowiedzialna                                          lub koordynująca program</t>
  </si>
  <si>
    <t>Okres realizacji programu</t>
  </si>
  <si>
    <t>Łączne nakłady finansowe</t>
  </si>
  <si>
    <t>Limit zobowiązań</t>
  </si>
  <si>
    <t>od</t>
  </si>
  <si>
    <t>do</t>
  </si>
  <si>
    <t>1.</t>
  </si>
  <si>
    <t>Wydatki na przedsięwzięcia - ogółem (1.1.+1.2.+1.3.), z tego:</t>
  </si>
  <si>
    <t>1.a</t>
  </si>
  <si>
    <t>wydatki bieżące</t>
  </si>
  <si>
    <t>1.b</t>
  </si>
  <si>
    <t>wydatki majątkowe</t>
  </si>
  <si>
    <t>1.1.</t>
  </si>
  <si>
    <t>1.1.1.</t>
  </si>
  <si>
    <t>Powiatowe Centrum Pomocy Rodzinie</t>
  </si>
  <si>
    <t>Zespół Szkół Ekonomiczno-Gastronomicznych</t>
  </si>
  <si>
    <t>1.1.1.4</t>
  </si>
  <si>
    <t>1.1.1.5</t>
  </si>
  <si>
    <t>1.1.2.</t>
  </si>
  <si>
    <t>Starostwo Powiatowe</t>
  </si>
  <si>
    <t>1.2.</t>
  </si>
  <si>
    <t>Wydatki na programy, projekty lub zadania związane z umowami partnerstwa publiczno-prywatnego, z tego:</t>
  </si>
  <si>
    <t>1.2.1.</t>
  </si>
  <si>
    <t>1.2.2.</t>
  </si>
  <si>
    <t>1.3.</t>
  </si>
  <si>
    <t>Wydatki na programy, projekty lub zadania pozostałe (inne niż wymienione w pkt 1.1, 1.2), z tego:</t>
  </si>
  <si>
    <t>1.3.1.</t>
  </si>
  <si>
    <t>1.3.1.1</t>
  </si>
  <si>
    <t>Dotacja na zadania z zakresu prowadzenia centrum interwencji kryzysowej</t>
  </si>
  <si>
    <t>1.3.1.2</t>
  </si>
  <si>
    <t>1.3.2.</t>
  </si>
  <si>
    <t>1.3.2.1</t>
  </si>
  <si>
    <t>Zarząd Dróg Powiatowych</t>
  </si>
  <si>
    <t>1.3.2.2</t>
  </si>
  <si>
    <t>1.3.2.3</t>
  </si>
  <si>
    <t>1.3.2.5</t>
  </si>
  <si>
    <t>1.3.2.6</t>
  </si>
  <si>
    <t>1.3.2.7</t>
  </si>
  <si>
    <t>1.3.2.8</t>
  </si>
  <si>
    <t>Przebudowa sygnalizacji świetlnej na skrzyżowaniu dróg powiatowych Nr 2765W - ul. Kołłątaja i Nr 2763W - ul. Majowej w Otwocku</t>
  </si>
  <si>
    <t>1.3.2.9</t>
  </si>
  <si>
    <t>1.3.2.10</t>
  </si>
  <si>
    <t>1.3.2.11</t>
  </si>
  <si>
    <t>1.3.2.12</t>
  </si>
  <si>
    <t>1.3.2.13</t>
  </si>
  <si>
    <t>1.3.2.14</t>
  </si>
  <si>
    <t>1.3.2.15</t>
  </si>
  <si>
    <t>1.3.2.16</t>
  </si>
  <si>
    <t>1.3.2.17</t>
  </si>
  <si>
    <t>1.3.2.18</t>
  </si>
  <si>
    <t>Modernizacja drogi powiatowej Nr 2739W w Radachówce</t>
  </si>
  <si>
    <t>1.3.2.19</t>
  </si>
  <si>
    <t>1.3.2.20</t>
  </si>
  <si>
    <t>1.3.2.21</t>
  </si>
  <si>
    <t>1.3.2.22</t>
  </si>
  <si>
    <t>1.3.2.23</t>
  </si>
  <si>
    <t>1.3.2.24</t>
  </si>
  <si>
    <t>1.3.2.25</t>
  </si>
  <si>
    <t>Modernizacja drogi powiatowej Nr 1303W we wsi Śniadków Dolny</t>
  </si>
  <si>
    <t>1.3.2.26</t>
  </si>
  <si>
    <t xml:space="preserve">Dom Pomocy Społecznej "Wrzos" </t>
  </si>
  <si>
    <t>1.3.2.27</t>
  </si>
  <si>
    <t>1.3.2.28</t>
  </si>
  <si>
    <t>Modernizacja drogi powiatowej Nr 2706W Glinianka - Poręby</t>
  </si>
  <si>
    <t>Przebudowa drogi powiatowej Nr 2245 W m. Dobrzyniec, gmina Kołbiel</t>
  </si>
  <si>
    <t>1.1.1.2</t>
  </si>
  <si>
    <t>1.1.1.3</t>
  </si>
  <si>
    <t>1.1.1.6</t>
  </si>
  <si>
    <t>1.1.1.7</t>
  </si>
  <si>
    <t>Podniesienie jakości kształcenia zawodowego w Zespole Szkół Ekonomiczno-Gastronomicznych w Otwocku</t>
  </si>
  <si>
    <t>Zespół Szkół Nr 2</t>
  </si>
  <si>
    <t>1.3.1.3</t>
  </si>
  <si>
    <t>Mobilni w Europie</t>
  </si>
  <si>
    <t xml:space="preserve">Zarząd Dróg Powiatowych </t>
  </si>
  <si>
    <t>Przebudowa mostu w drodze powiatowej Nr 2722W w Pogorzeli</t>
  </si>
  <si>
    <t>Rozbudowa drogi powiatowej Nr 2765W ul. Staszica i ul. Kołłątaja w Otwocku na odcinku od ul. Karczewskiej do mostu na rzece Świder</t>
  </si>
  <si>
    <t xml:space="preserve">Budowa chodnika przy drodze powiatowej Nr 2743W w miejsc. Człekówka od drogi krajowej nr 50 do istniejącego chodnika </t>
  </si>
  <si>
    <t xml:space="preserve">Modernizacja drogi powiatowej Nr 2736W w miejsc. Teresin </t>
  </si>
  <si>
    <t xml:space="preserve">Budowa chodnika w drodze powiatowej Nr 2709W w  Bolesławowie </t>
  </si>
  <si>
    <t>Nauczyciele przyszłości</t>
  </si>
  <si>
    <t>Bardziej aktywny dzięki sztuce współczesnej</t>
  </si>
  <si>
    <t>Specjalny                    Ośrodek Szkolno - Wychowawczy Nr 1</t>
  </si>
  <si>
    <t>1.3.2.4</t>
  </si>
  <si>
    <t>Dotacja dla Gminy Celestynów na zadanie w drodze powiatowej pn. "Budowa skrzyżowania bezkolizyjnego z linią kolejową nr 7 w ciągu ul. Jankowskiego w Celestynowie wraz z budową przyległego układu drogowego, w zamian za likwidację przejazdu kolejowo-drogowego kat. A w km 38,364 linii kolejowej nr 7 w ul. Jankowskiego, w ramach projektu pn. „Poprawa bezpieczeństwa na skrzyżowaniach linii kolejowych z drogami – etap III</t>
  </si>
  <si>
    <t>1.1.2.1</t>
  </si>
  <si>
    <t>Utrzymanie ciągłości projektu pn. " Poprawa funkcjonowania osób niesamodzielnych z terenu powiatu otwockiego poprzez uruchomienie usług socjalnych świadczonych w formie wsparcia dziennego"</t>
  </si>
  <si>
    <t>Regionalne partnerstwo samorządów Mazowsza dla aktywizacji społeczeństwa informacyjnego w zakresie                                               e-administracji i geoinformacji</t>
  </si>
  <si>
    <t>Przebudowa mostów przez rzekę Świder w ciągu drogi powiatowej Nr 2737W w miejsc. Sępochów</t>
  </si>
  <si>
    <t>Rodzinne drogowskazy</t>
  </si>
  <si>
    <t>Budowa chodników w drogach powiatowych na terenie gminy Wiązowna - Majdan   ul. Widoczna</t>
  </si>
  <si>
    <t>Starostwo                                     Powiatowe</t>
  </si>
  <si>
    <t>Rozbudowa skrzyżowania dróg powiatowych Nr 2765W                 ul. Karczewskiej i Nr 2760W  ul.  Batorego i ul. Matejki w Otwocku</t>
  </si>
  <si>
    <t>Wydatki na programy, projekty lub zadania związane z programami realizowanymi z udziałem środków, o których mowa w art. 5 ust. 1 pkt 2 i 3 ustawy z dnia 27 sierpnia 2009 r. o finansach publicznych (tekst jedn. Dz. U.  z  2021 r. poz. 305), z tego:</t>
  </si>
  <si>
    <t>Rozwój elektronicznej administracji w samorządach województwa mazowieckiego wspomagającej niwelowanie dwudzielności potencjału województwa (EA)</t>
  </si>
  <si>
    <t>Życiowe i zawodowe drogowskazy</t>
  </si>
  <si>
    <t>Rozbudowa drogi powiatowej Nr 2713W w miejscowościach Stara Wieś, Dąbrówka i Celestynów</t>
  </si>
  <si>
    <t xml:space="preserve"> </t>
  </si>
  <si>
    <t>1.1.1.1</t>
  </si>
  <si>
    <t>Poprawa bezpieczeństwa ruchu drogowego na przejściu dla pieszych w Józefowie na ul. Granicznej na drodze nr 2768W</t>
  </si>
  <si>
    <t>Poprawa bezpieczeństwa ruchu drogowego na  przejściu dla pieszych w Pogorzeli na ul. Warszawskiej na drodze Nr 2715W</t>
  </si>
  <si>
    <t>Poprawa bezpieczeństwa ruchu drogowego na  przejściu dla pieszych w Sobiekursku na drodze Nr 2726W</t>
  </si>
  <si>
    <t>Poprawa bezpieczeństwa ruchu drogowego na  przejściu dla pieszych w Kątach na ul. Królewskiej na drodze Nr 2745W</t>
  </si>
  <si>
    <t>Poprawa bezpieczeństwa ruchu drogowego na  przejściu dla pieszych w Otwocku na ul. Narutowicza na drodze Nr 2759W</t>
  </si>
  <si>
    <t>Wykaz przedsięwzięć wieloletnich 2022</t>
  </si>
  <si>
    <t>Poprawa bezpieczeństwa ruchu drogowego w obszarze oddziaływania przejścia dla pieszych w Karczewie na ul. Mickiewicza na drodze nr 2771W</t>
  </si>
  <si>
    <t>Modernizacja infrastruktury drogowej dróg powiatowych Powiatu Otwockiego polegająca na modernizacji przepraw przez cieki (mosty w m. Glinianka, Kąty, Grabianka, Janów, Nadbrzeż, Brzezinka)</t>
  </si>
  <si>
    <t>Budowa budynku siedziby Starostwa Powiatowego w Otwocku oraz wybranych powiatowych jednostek organizacyjnych i wybranych służb powiatowych wraz z zagospodarowaniem terenu</t>
  </si>
  <si>
    <t>Dotacja dla Powiatowego Centrum Zdrowia Sp. z o.o. w Otwocku na przebudowę  i modernizację podziemia szpitala oraz modernizację przychodni specjalistycznej</t>
  </si>
  <si>
    <t>Modernizacja budynku Specjalnego Ośrodka Szkolno-Wychowawczego Nr 1 - wzmocnienie stropów, dostosowanie budynku do zaleceń  ppoż.</t>
  </si>
  <si>
    <t>Ośrodek Szkolno-Wychowawczy Nr 1</t>
  </si>
  <si>
    <t>Poprawa bezpieczeństwa ruchu poprzez budowę ciągów pieszych i rowerowych na ul. Warszawskiej, ul. Jana Pawła II   i ul. Poniatowskiego</t>
  </si>
  <si>
    <t>Limity wydatków w poszczególnych latach</t>
  </si>
  <si>
    <t>1.3.2.29</t>
  </si>
  <si>
    <t>Szkoła otwarta na świat</t>
  </si>
  <si>
    <t>Specjalny                    Ośrodek Szkolno - Wychowawczy Nr 2</t>
  </si>
  <si>
    <t>1.1.1.8</t>
  </si>
  <si>
    <t>Podniesienie jakości kształcenia zawodowego w Zespole Szkół nr 2 w Otwocku</t>
  </si>
  <si>
    <t>1.3.2.30</t>
  </si>
  <si>
    <t>Projekt i budowa brakującego ciągu pieszo-rowerowego i odwodnienia w drodze powiatowej Nr 2759W – ul. Narutowicza w Otwocku na wysokości OSP Jabłonna i dalej w kierunku Świerku</t>
  </si>
  <si>
    <t>1.3.2.31</t>
  </si>
  <si>
    <t>Ośrodek koordynacyjno-rehabilitacyjno-opiekuńczy w ramach programu "Za życiem"</t>
  </si>
  <si>
    <t>Powiatowa Poradnia Psychologiczno-Pedagogiczna</t>
  </si>
  <si>
    <t>1.3.1.4</t>
  </si>
  <si>
    <t>Rozbudowa i modernizacja Domu Pomocy Społecznej Wrzos w Otwocku</t>
  </si>
  <si>
    <t xml:space="preserve">Rozbudowa drogi powiatowej Nr 2715W </t>
  </si>
  <si>
    <t>1.1.1.9</t>
  </si>
  <si>
    <t>Języki obce naszą siłą</t>
  </si>
  <si>
    <t>Liceum Ogólnokształcace Nr I</t>
  </si>
  <si>
    <t>1.3.2.32</t>
  </si>
  <si>
    <t>Modernizacja infrastruktury drogowej Powiatu Otwockiego polegająca na modernizacji przepraw przez cieki wodne  - etap II</t>
  </si>
  <si>
    <t>1.3.1.5</t>
  </si>
  <si>
    <t>Remont drogi powiatowej Nr 2710W na odcinku od drogi krajowej S17 do mostu na rzece Świder</t>
  </si>
  <si>
    <t>Rozbudowa skrzyżowania ul. Napoleońskiej i Łąkowej w Gliniance</t>
  </si>
  <si>
    <t>1.3.2.33</t>
  </si>
  <si>
    <t xml:space="preserve">Modernizacja infrastruktury drogowej i mostowej na terenie powiatu Otwockiego </t>
  </si>
  <si>
    <t>Poprawa bezpieczeństwa na drodze powiatowej 2739W w m. Gadka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</si>
</sst>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1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theme="2" tint="-0.499984740745262"/>
      <name val="Arial"/>
      <family val="2"/>
      <charset val="238"/>
    </font>
    <font>
      <sz val="8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0">
    <xf numFmtId="0" fontId="0" fillId="0" borderId="0"/>
    <xf numFmtId="0" fontId="70" fillId="0" borderId="0"/>
    <xf numFmtId="0" fontId="70" fillId="0" borderId="0"/>
    <xf numFmtId="0" fontId="71" fillId="0" borderId="0"/>
    <xf numFmtId="0" fontId="72" fillId="0" borderId="0"/>
    <xf numFmtId="0" fontId="71" fillId="0" borderId="0"/>
    <xf numFmtId="9" fontId="72" fillId="0" borderId="0" applyFont="0" applyFill="0" applyBorder="0" applyAlignment="0" applyProtection="0"/>
    <xf numFmtId="0" fontId="69" fillId="0" borderId="0"/>
    <xf numFmtId="0" fontId="68" fillId="0" borderId="0"/>
    <xf numFmtId="0" fontId="67" fillId="0" borderId="0"/>
    <xf numFmtId="0" fontId="66" fillId="0" borderId="0"/>
    <xf numFmtId="0" fontId="73" fillId="0" borderId="0" applyNumberFormat="0" applyFill="0" applyBorder="0" applyAlignment="0" applyProtection="0">
      <alignment vertical="top"/>
    </xf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74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72" fillId="35" borderId="0" applyNumberFormat="0" applyBorder="0" applyAlignment="0" applyProtection="0"/>
    <xf numFmtId="0" fontId="36" fillId="12" borderId="0" applyNumberFormat="0" applyBorder="0" applyAlignment="0" applyProtection="0"/>
    <xf numFmtId="0" fontId="72" fillId="36" borderId="0" applyNumberFormat="0" applyBorder="0" applyAlignment="0" applyProtection="0"/>
    <xf numFmtId="0" fontId="36" fillId="16" borderId="0" applyNumberFormat="0" applyBorder="0" applyAlignment="0" applyProtection="0"/>
    <xf numFmtId="0" fontId="72" fillId="37" borderId="0" applyNumberFormat="0" applyBorder="0" applyAlignment="0" applyProtection="0"/>
    <xf numFmtId="0" fontId="36" fillId="20" borderId="0" applyNumberFormat="0" applyBorder="0" applyAlignment="0" applyProtection="0"/>
    <xf numFmtId="0" fontId="72" fillId="38" borderId="0" applyNumberFormat="0" applyBorder="0" applyAlignment="0" applyProtection="0"/>
    <xf numFmtId="0" fontId="36" fillId="24" borderId="0" applyNumberFormat="0" applyBorder="0" applyAlignment="0" applyProtection="0"/>
    <xf numFmtId="0" fontId="72" fillId="39" borderId="0" applyNumberFormat="0" applyBorder="0" applyAlignment="0" applyProtection="0"/>
    <xf numFmtId="0" fontId="36" fillId="28" borderId="0" applyNumberFormat="0" applyBorder="0" applyAlignment="0" applyProtection="0"/>
    <xf numFmtId="0" fontId="72" fillId="40" borderId="0" applyNumberFormat="0" applyBorder="0" applyAlignment="0" applyProtection="0"/>
    <xf numFmtId="0" fontId="36" fillId="32" borderId="0" applyNumberFormat="0" applyBorder="0" applyAlignment="0" applyProtection="0"/>
    <xf numFmtId="0" fontId="72" fillId="41" borderId="0" applyNumberFormat="0" applyBorder="0" applyAlignment="0" applyProtection="0"/>
    <xf numFmtId="0" fontId="36" fillId="13" borderId="0" applyNumberFormat="0" applyBorder="0" applyAlignment="0" applyProtection="0"/>
    <xf numFmtId="0" fontId="72" fillId="42" borderId="0" applyNumberFormat="0" applyBorder="0" applyAlignment="0" applyProtection="0"/>
    <xf numFmtId="0" fontId="36" fillId="17" borderId="0" applyNumberFormat="0" applyBorder="0" applyAlignment="0" applyProtection="0"/>
    <xf numFmtId="0" fontId="72" fillId="43" borderId="0" applyNumberFormat="0" applyBorder="0" applyAlignment="0" applyProtection="0"/>
    <xf numFmtId="0" fontId="36" fillId="21" borderId="0" applyNumberFormat="0" applyBorder="0" applyAlignment="0" applyProtection="0"/>
    <xf numFmtId="0" fontId="72" fillId="38" borderId="0" applyNumberFormat="0" applyBorder="0" applyAlignment="0" applyProtection="0"/>
    <xf numFmtId="0" fontId="36" fillId="25" borderId="0" applyNumberFormat="0" applyBorder="0" applyAlignment="0" applyProtection="0"/>
    <xf numFmtId="0" fontId="72" fillId="41" borderId="0" applyNumberFormat="0" applyBorder="0" applyAlignment="0" applyProtection="0"/>
    <xf numFmtId="0" fontId="36" fillId="29" borderId="0" applyNumberFormat="0" applyBorder="0" applyAlignment="0" applyProtection="0"/>
    <xf numFmtId="0" fontId="72" fillId="44" borderId="0" applyNumberFormat="0" applyBorder="0" applyAlignment="0" applyProtection="0"/>
    <xf numFmtId="0" fontId="36" fillId="33" borderId="0" applyNumberFormat="0" applyBorder="0" applyAlignment="0" applyProtection="0"/>
    <xf numFmtId="0" fontId="96" fillId="45" borderId="0" applyNumberFormat="0" applyBorder="0" applyAlignment="0" applyProtection="0"/>
    <xf numFmtId="0" fontId="94" fillId="14" borderId="0" applyNumberFormat="0" applyBorder="0" applyAlignment="0" applyProtection="0"/>
    <xf numFmtId="0" fontId="96" fillId="42" borderId="0" applyNumberFormat="0" applyBorder="0" applyAlignment="0" applyProtection="0"/>
    <xf numFmtId="0" fontId="94" fillId="18" borderId="0" applyNumberFormat="0" applyBorder="0" applyAlignment="0" applyProtection="0"/>
    <xf numFmtId="0" fontId="96" fillId="43" borderId="0" applyNumberFormat="0" applyBorder="0" applyAlignment="0" applyProtection="0"/>
    <xf numFmtId="0" fontId="94" fillId="22" borderId="0" applyNumberFormat="0" applyBorder="0" applyAlignment="0" applyProtection="0"/>
    <xf numFmtId="0" fontId="96" fillId="46" borderId="0" applyNumberFormat="0" applyBorder="0" applyAlignment="0" applyProtection="0"/>
    <xf numFmtId="0" fontId="94" fillId="26" borderId="0" applyNumberFormat="0" applyBorder="0" applyAlignment="0" applyProtection="0"/>
    <xf numFmtId="0" fontId="96" fillId="47" borderId="0" applyNumberFormat="0" applyBorder="0" applyAlignment="0" applyProtection="0"/>
    <xf numFmtId="0" fontId="94" fillId="30" borderId="0" applyNumberFormat="0" applyBorder="0" applyAlignment="0" applyProtection="0"/>
    <xf numFmtId="0" fontId="96" fillId="48" borderId="0" applyNumberFormat="0" applyBorder="0" applyAlignment="0" applyProtection="0"/>
    <xf numFmtId="0" fontId="94" fillId="34" borderId="0" applyNumberFormat="0" applyBorder="0" applyAlignment="0" applyProtection="0"/>
    <xf numFmtId="0" fontId="96" fillId="49" borderId="0" applyNumberFormat="0" applyBorder="0" applyAlignment="0" applyProtection="0"/>
    <xf numFmtId="0" fontId="94" fillId="11" borderId="0" applyNumberFormat="0" applyBorder="0" applyAlignment="0" applyProtection="0"/>
    <xf numFmtId="0" fontId="96" fillId="50" borderId="0" applyNumberFormat="0" applyBorder="0" applyAlignment="0" applyProtection="0"/>
    <xf numFmtId="0" fontId="94" fillId="15" borderId="0" applyNumberFormat="0" applyBorder="0" applyAlignment="0" applyProtection="0"/>
    <xf numFmtId="0" fontId="96" fillId="51" borderId="0" applyNumberFormat="0" applyBorder="0" applyAlignment="0" applyProtection="0"/>
    <xf numFmtId="0" fontId="94" fillId="19" borderId="0" applyNumberFormat="0" applyBorder="0" applyAlignment="0" applyProtection="0"/>
    <xf numFmtId="0" fontId="96" fillId="46" borderId="0" applyNumberFormat="0" applyBorder="0" applyAlignment="0" applyProtection="0"/>
    <xf numFmtId="0" fontId="94" fillId="23" borderId="0" applyNumberFormat="0" applyBorder="0" applyAlignment="0" applyProtection="0"/>
    <xf numFmtId="0" fontId="96" fillId="47" borderId="0" applyNumberFormat="0" applyBorder="0" applyAlignment="0" applyProtection="0"/>
    <xf numFmtId="0" fontId="94" fillId="27" borderId="0" applyNumberFormat="0" applyBorder="0" applyAlignment="0" applyProtection="0"/>
    <xf numFmtId="0" fontId="96" fillId="52" borderId="0" applyNumberFormat="0" applyBorder="0" applyAlignment="0" applyProtection="0"/>
    <xf numFmtId="0" fontId="94" fillId="31" borderId="0" applyNumberFormat="0" applyBorder="0" applyAlignment="0" applyProtection="0"/>
    <xf numFmtId="0" fontId="97" fillId="40" borderId="19" applyNumberFormat="0" applyAlignment="0" applyProtection="0"/>
    <xf numFmtId="0" fontId="87" fillId="7" borderId="13" applyNumberFormat="0" applyAlignment="0" applyProtection="0"/>
    <xf numFmtId="0" fontId="98" fillId="53" borderId="20" applyNumberFormat="0" applyAlignment="0" applyProtection="0"/>
    <xf numFmtId="0" fontId="88" fillId="8" borderId="14" applyNumberFormat="0" applyAlignment="0" applyProtection="0"/>
    <xf numFmtId="0" fontId="99" fillId="37" borderId="0" applyNumberFormat="0" applyBorder="0" applyAlignment="0" applyProtection="0"/>
    <xf numFmtId="0" fontId="84" fillId="4" borderId="0" applyNumberFormat="0" applyBorder="0" applyAlignment="0" applyProtection="0"/>
    <xf numFmtId="0" fontId="100" fillId="0" borderId="21" applyNumberFormat="0" applyFill="0" applyAlignment="0" applyProtection="0"/>
    <xf numFmtId="0" fontId="90" fillId="0" borderId="15" applyNumberFormat="0" applyFill="0" applyAlignment="0" applyProtection="0"/>
    <xf numFmtId="0" fontId="101" fillId="54" borderId="22" applyNumberFormat="0" applyAlignment="0" applyProtection="0"/>
    <xf numFmtId="0" fontId="91" fillId="9" borderId="16" applyNumberFormat="0" applyAlignment="0" applyProtection="0"/>
    <xf numFmtId="0" fontId="102" fillId="0" borderId="23" applyNumberFormat="0" applyFill="0" applyAlignment="0" applyProtection="0"/>
    <xf numFmtId="0" fontId="81" fillId="0" borderId="10" applyNumberFormat="0" applyFill="0" applyAlignment="0" applyProtection="0"/>
    <xf numFmtId="0" fontId="103" fillId="0" borderId="24" applyNumberFormat="0" applyFill="0" applyAlignment="0" applyProtection="0"/>
    <xf numFmtId="0" fontId="82" fillId="0" borderId="11" applyNumberFormat="0" applyFill="0" applyAlignment="0" applyProtection="0"/>
    <xf numFmtId="0" fontId="104" fillId="0" borderId="25" applyNumberFormat="0" applyFill="0" applyAlignment="0" applyProtection="0"/>
    <xf numFmtId="0" fontId="83" fillId="0" borderId="12" applyNumberFormat="0" applyFill="0" applyAlignment="0" applyProtection="0"/>
    <xf numFmtId="0" fontId="10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5" fillId="55" borderId="0" applyNumberFormat="0" applyBorder="0" applyAlignment="0" applyProtection="0"/>
    <xf numFmtId="0" fontId="86" fillId="6" borderId="0" applyNumberFormat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95" fillId="0" borderId="0"/>
    <xf numFmtId="0" fontId="70" fillId="0" borderId="0"/>
    <xf numFmtId="0" fontId="70" fillId="0" borderId="0"/>
    <xf numFmtId="0" fontId="95" fillId="0" borderId="0" applyProtection="0"/>
    <xf numFmtId="0" fontId="72" fillId="0" borderId="0"/>
    <xf numFmtId="0" fontId="70" fillId="0" borderId="0"/>
    <xf numFmtId="0" fontId="70" fillId="0" borderId="0"/>
    <xf numFmtId="0" fontId="36" fillId="0" borderId="0"/>
    <xf numFmtId="0" fontId="106" fillId="53" borderId="19" applyNumberFormat="0" applyAlignment="0" applyProtection="0"/>
    <xf numFmtId="0" fontId="89" fillId="8" borderId="13" applyNumberFormat="0" applyAlignment="0" applyProtection="0"/>
    <xf numFmtId="9" fontId="7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2" fillId="0" borderId="0" applyFont="0" applyFill="0" applyBorder="0" applyAlignment="0" applyProtection="0"/>
    <xf numFmtId="0" fontId="107" fillId="0" borderId="26" applyNumberFormat="0" applyFill="0" applyAlignment="0" applyProtection="0"/>
    <xf numFmtId="0" fontId="80" fillId="0" borderId="18" applyNumberFormat="0" applyFill="0" applyAlignment="0" applyProtection="0"/>
    <xf numFmtId="0" fontId="108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95" fillId="56" borderId="27" applyNumberFormat="0" applyFont="0" applyAlignment="0" applyProtection="0"/>
    <xf numFmtId="0" fontId="36" fillId="10" borderId="17" applyNumberFormat="0" applyFont="0" applyAlignment="0" applyProtection="0"/>
    <xf numFmtId="0" fontId="111" fillId="36" borderId="0" applyNumberFormat="0" applyBorder="0" applyAlignment="0" applyProtection="0"/>
    <xf numFmtId="0" fontId="85" fillId="5" borderId="0" applyNumberFormat="0" applyBorder="0" applyAlignment="0" applyProtection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73" fillId="0" borderId="0" applyNumberFormat="0" applyFill="0" applyBorder="0" applyAlignment="0" applyProtection="0">
      <alignment vertical="top"/>
    </xf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2">
    <xf numFmtId="0" fontId="0" fillId="0" borderId="0" xfId="0"/>
    <xf numFmtId="0" fontId="70" fillId="0" borderId="0" xfId="1"/>
    <xf numFmtId="0" fontId="76" fillId="0" borderId="0" xfId="1" applyFont="1" applyAlignment="1">
      <alignment vertical="center"/>
    </xf>
    <xf numFmtId="0" fontId="70" fillId="0" borderId="0" xfId="1" applyAlignment="1">
      <alignment horizontal="center"/>
    </xf>
    <xf numFmtId="0" fontId="77" fillId="0" borderId="0" xfId="1" applyFont="1"/>
    <xf numFmtId="0" fontId="78" fillId="0" borderId="1" xfId="1" applyFont="1" applyBorder="1" applyAlignment="1">
      <alignment horizontal="center" vertical="center" wrapText="1"/>
    </xf>
    <xf numFmtId="4" fontId="77" fillId="3" borderId="1" xfId="1" applyNumberFormat="1" applyFont="1" applyFill="1" applyBorder="1" applyAlignment="1">
      <alignment horizontal="right" vertical="center" wrapText="1"/>
    </xf>
    <xf numFmtId="4" fontId="77" fillId="3" borderId="1" xfId="1" applyNumberFormat="1" applyFont="1" applyFill="1" applyBorder="1"/>
    <xf numFmtId="0" fontId="77" fillId="0" borderId="0" xfId="1" applyFont="1" applyAlignment="1">
      <alignment vertical="center"/>
    </xf>
    <xf numFmtId="0" fontId="70" fillId="0" borderId="1" xfId="1" applyBorder="1" applyAlignment="1">
      <alignment horizontal="left" vertical="center" wrapText="1"/>
    </xf>
    <xf numFmtId="0" fontId="77" fillId="0" borderId="1" xfId="1" applyFont="1" applyBorder="1" applyAlignment="1">
      <alignment horizontal="center" vertical="center"/>
    </xf>
    <xf numFmtId="4" fontId="77" fillId="0" borderId="1" xfId="1" applyNumberFormat="1" applyFont="1" applyBorder="1"/>
    <xf numFmtId="4" fontId="70" fillId="0" borderId="1" xfId="1" applyNumberFormat="1" applyBorder="1"/>
    <xf numFmtId="0" fontId="77" fillId="0" borderId="0" xfId="1" applyFont="1" applyAlignment="1">
      <alignment horizontal="center"/>
    </xf>
    <xf numFmtId="0" fontId="77" fillId="0" borderId="7" xfId="1" applyFont="1" applyBorder="1" applyAlignment="1">
      <alignment horizontal="center" vertical="center"/>
    </xf>
    <xf numFmtId="0" fontId="70" fillId="0" borderId="7" xfId="1" applyBorder="1" applyAlignment="1">
      <alignment horizontal="center" vertical="center" wrapText="1"/>
    </xf>
    <xf numFmtId="4" fontId="70" fillId="0" borderId="7" xfId="1" applyNumberFormat="1" applyBorder="1"/>
    <xf numFmtId="0" fontId="77" fillId="2" borderId="1" xfId="1" applyFont="1" applyFill="1" applyBorder="1" applyAlignment="1">
      <alignment horizontal="center" vertical="center"/>
    </xf>
    <xf numFmtId="0" fontId="113" fillId="0" borderId="1" xfId="1" applyFont="1" applyBorder="1" applyAlignment="1">
      <alignment horizontal="center" vertical="center"/>
    </xf>
    <xf numFmtId="0" fontId="79" fillId="0" borderId="1" xfId="1" applyFont="1" applyBorder="1" applyAlignment="1">
      <alignment horizontal="left" vertical="center" wrapText="1"/>
    </xf>
    <xf numFmtId="0" fontId="79" fillId="0" borderId="1" xfId="1" applyFont="1" applyBorder="1" applyAlignment="1">
      <alignment horizontal="center" vertical="center" wrapText="1"/>
    </xf>
    <xf numFmtId="4" fontId="79" fillId="0" borderId="1" xfId="1" applyNumberFormat="1" applyFont="1" applyBorder="1"/>
    <xf numFmtId="0" fontId="79" fillId="0" borderId="0" xfId="1" applyFont="1" applyAlignment="1">
      <alignment vertical="center"/>
    </xf>
    <xf numFmtId="4" fontId="113" fillId="0" borderId="1" xfId="1" applyNumberFormat="1" applyFont="1" applyBorder="1"/>
    <xf numFmtId="0" fontId="113" fillId="0" borderId="0" xfId="1" applyFont="1"/>
    <xf numFmtId="0" fontId="70" fillId="0" borderId="2" xfId="1" applyBorder="1" applyAlignment="1">
      <alignment horizontal="center" vertical="center" wrapText="1"/>
    </xf>
    <xf numFmtId="0" fontId="115" fillId="0" borderId="0" xfId="1" applyFont="1"/>
    <xf numFmtId="0" fontId="79" fillId="0" borderId="1" xfId="0" applyFont="1" applyBorder="1" applyAlignment="1">
      <alignment horizontal="left" vertical="center" wrapText="1"/>
    </xf>
    <xf numFmtId="4" fontId="77" fillId="0" borderId="7" xfId="1" applyNumberFormat="1" applyFont="1" applyBorder="1"/>
    <xf numFmtId="0" fontId="116" fillId="0" borderId="0" xfId="1" applyFont="1" applyAlignment="1">
      <alignment vertical="center"/>
    </xf>
    <xf numFmtId="0" fontId="115" fillId="0" borderId="0" xfId="1" applyFont="1" applyAlignment="1">
      <alignment vertical="center"/>
    </xf>
    <xf numFmtId="0" fontId="114" fillId="0" borderId="0" xfId="1" applyFont="1"/>
    <xf numFmtId="0" fontId="79" fillId="0" borderId="0" xfId="1" applyFont="1"/>
    <xf numFmtId="0" fontId="79" fillId="0" borderId="7" xfId="1" applyFont="1" applyBorder="1" applyAlignment="1">
      <alignment horizontal="center" vertical="center" wrapText="1"/>
    </xf>
    <xf numFmtId="0" fontId="113" fillId="0" borderId="7" xfId="1" applyFont="1" applyBorder="1" applyAlignment="1">
      <alignment horizontal="center" vertical="center"/>
    </xf>
    <xf numFmtId="4" fontId="79" fillId="0" borderId="7" xfId="1" applyNumberFormat="1" applyFont="1" applyBorder="1"/>
    <xf numFmtId="4" fontId="113" fillId="3" borderId="1" xfId="1" applyNumberFormat="1" applyFont="1" applyFill="1" applyBorder="1" applyAlignment="1">
      <alignment horizontal="right" vertical="center" wrapText="1"/>
    </xf>
    <xf numFmtId="4" fontId="113" fillId="3" borderId="1" xfId="1" applyNumberFormat="1" applyFont="1" applyFill="1" applyBorder="1"/>
    <xf numFmtId="0" fontId="113" fillId="0" borderId="0" xfId="1" applyFont="1" applyAlignment="1">
      <alignment vertical="center"/>
    </xf>
    <xf numFmtId="0" fontId="117" fillId="0" borderId="0" xfId="1" applyFont="1" applyAlignment="1">
      <alignment vertical="center"/>
    </xf>
    <xf numFmtId="0" fontId="70" fillId="0" borderId="1" xfId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/>
    </xf>
    <xf numFmtId="4" fontId="77" fillId="0" borderId="3" xfId="1" applyNumberFormat="1" applyFont="1" applyBorder="1"/>
    <xf numFmtId="0" fontId="77" fillId="0" borderId="5" xfId="1" applyFont="1" applyBorder="1" applyAlignment="1">
      <alignment horizontal="center" vertical="center"/>
    </xf>
    <xf numFmtId="4" fontId="77" fillId="0" borderId="5" xfId="1" applyNumberFormat="1" applyFont="1" applyBorder="1"/>
    <xf numFmtId="0" fontId="77" fillId="0" borderId="4" xfId="2" applyFont="1" applyBorder="1" applyAlignment="1">
      <alignment horizontal="center" vertical="center"/>
    </xf>
    <xf numFmtId="4" fontId="77" fillId="0" borderId="4" xfId="2" applyNumberFormat="1" applyFont="1" applyBorder="1"/>
    <xf numFmtId="0" fontId="113" fillId="2" borderId="1" xfId="1" applyFont="1" applyFill="1" applyBorder="1" applyAlignment="1">
      <alignment horizontal="center" vertical="center"/>
    </xf>
    <xf numFmtId="4" fontId="79" fillId="0" borderId="3" xfId="1" applyNumberFormat="1" applyFont="1" applyBorder="1"/>
    <xf numFmtId="4" fontId="79" fillId="0" borderId="5" xfId="1" applyNumberFormat="1" applyFont="1" applyBorder="1"/>
    <xf numFmtId="4" fontId="79" fillId="0" borderId="4" xfId="2" applyNumberFormat="1" applyFont="1" applyBorder="1"/>
    <xf numFmtId="0" fontId="77" fillId="3" borderId="1" xfId="1" applyFont="1" applyFill="1" applyBorder="1" applyAlignment="1">
      <alignment horizontal="center" vertical="center"/>
    </xf>
    <xf numFmtId="0" fontId="113" fillId="3" borderId="1" xfId="1" applyFont="1" applyFill="1" applyBorder="1" applyAlignment="1">
      <alignment horizontal="center" vertical="center"/>
    </xf>
    <xf numFmtId="0" fontId="77" fillId="0" borderId="8" xfId="1" applyFont="1" applyBorder="1" applyAlignment="1">
      <alignment horizontal="center" vertical="center"/>
    </xf>
    <xf numFmtId="0" fontId="77" fillId="2" borderId="1" xfId="1" applyFont="1" applyFill="1" applyBorder="1" applyAlignment="1">
      <alignment horizontal="center" vertical="center" wrapText="1"/>
    </xf>
    <xf numFmtId="0" fontId="113" fillId="0" borderId="4" xfId="1" applyFont="1" applyBorder="1" applyAlignment="1">
      <alignment horizontal="center" vertical="center"/>
    </xf>
    <xf numFmtId="4" fontId="113" fillId="0" borderId="4" xfId="1" applyNumberFormat="1" applyFont="1" applyBorder="1"/>
    <xf numFmtId="4" fontId="113" fillId="0" borderId="7" xfId="1" applyNumberFormat="1" applyFont="1" applyBorder="1"/>
    <xf numFmtId="0" fontId="79" fillId="0" borderId="4" xfId="1" applyFont="1" applyBorder="1" applyAlignment="1">
      <alignment horizontal="left" vertical="center" wrapText="1"/>
    </xf>
    <xf numFmtId="4" fontId="79" fillId="0" borderId="4" xfId="1" applyNumberFormat="1" applyFont="1" applyBorder="1"/>
    <xf numFmtId="0" fontId="79" fillId="0" borderId="7" xfId="1" applyFont="1" applyBorder="1" applyAlignment="1">
      <alignment horizontal="left" vertical="center" wrapText="1"/>
    </xf>
    <xf numFmtId="0" fontId="79" fillId="0" borderId="7" xfId="0" applyFont="1" applyBorder="1" applyAlignment="1">
      <alignment horizontal="left" vertical="center" wrapText="1"/>
    </xf>
    <xf numFmtId="0" fontId="120" fillId="0" borderId="1" xfId="1" applyFont="1" applyBorder="1" applyAlignment="1">
      <alignment horizontal="center" vertical="center" wrapText="1"/>
    </xf>
    <xf numFmtId="0" fontId="78" fillId="0" borderId="0" xfId="1" applyFont="1" applyAlignment="1">
      <alignment horizontal="center"/>
    </xf>
    <xf numFmtId="4" fontId="113" fillId="3" borderId="7" xfId="1" applyNumberFormat="1" applyFont="1" applyFill="1" applyBorder="1" applyAlignment="1">
      <alignment horizontal="right" vertical="center" wrapText="1"/>
    </xf>
    <xf numFmtId="0" fontId="79" fillId="57" borderId="7" xfId="1" applyFont="1" applyFill="1" applyBorder="1" applyAlignment="1">
      <alignment horizontal="left" vertical="center" wrapText="1"/>
    </xf>
    <xf numFmtId="0" fontId="79" fillId="57" borderId="7" xfId="1" applyFont="1" applyFill="1" applyBorder="1" applyAlignment="1">
      <alignment horizontal="center" vertical="center" wrapText="1"/>
    </xf>
    <xf numFmtId="4" fontId="79" fillId="57" borderId="7" xfId="1" applyNumberFormat="1" applyFont="1" applyFill="1" applyBorder="1"/>
    <xf numFmtId="0" fontId="79" fillId="57" borderId="0" xfId="1" applyFont="1" applyFill="1" applyAlignment="1">
      <alignment vertical="center"/>
    </xf>
    <xf numFmtId="0" fontId="113" fillId="57" borderId="7" xfId="1" applyFont="1" applyFill="1" applyBorder="1" applyAlignment="1">
      <alignment horizontal="center" vertical="center"/>
    </xf>
    <xf numFmtId="0" fontId="113" fillId="57" borderId="1" xfId="1" applyFont="1" applyFill="1" applyBorder="1" applyAlignment="1">
      <alignment horizontal="center" vertical="center"/>
    </xf>
    <xf numFmtId="4" fontId="113" fillId="57" borderId="7" xfId="1" applyNumberFormat="1" applyFont="1" applyFill="1" applyBorder="1"/>
    <xf numFmtId="4" fontId="113" fillId="57" borderId="1" xfId="1" applyNumberFormat="1" applyFont="1" applyFill="1" applyBorder="1"/>
    <xf numFmtId="0" fontId="122" fillId="0" borderId="7" xfId="11" applyFont="1" applyFill="1" applyBorder="1" applyAlignment="1">
      <alignment horizontal="left" vertical="center" wrapText="1"/>
    </xf>
    <xf numFmtId="4" fontId="79" fillId="0" borderId="1" xfId="1" applyNumberFormat="1" applyFont="1" applyBorder="1" applyAlignment="1">
      <alignment horizontal="right"/>
    </xf>
    <xf numFmtId="4" fontId="79" fillId="0" borderId="1" xfId="1" applyNumberFormat="1" applyFont="1" applyBorder="1" applyAlignment="1">
      <alignment horizontal="right" vertical="center"/>
    </xf>
    <xf numFmtId="0" fontId="70" fillId="0" borderId="0" xfId="1" applyAlignment="1">
      <alignment vertical="center"/>
    </xf>
    <xf numFmtId="0" fontId="75" fillId="0" borderId="0" xfId="1" applyFont="1" applyAlignment="1">
      <alignment horizontal="center" vertical="center"/>
    </xf>
    <xf numFmtId="0" fontId="77" fillId="2" borderId="1" xfId="1" applyFont="1" applyFill="1" applyBorder="1" applyAlignment="1">
      <alignment horizontal="center" vertical="center" wrapText="1"/>
    </xf>
    <xf numFmtId="0" fontId="77" fillId="2" borderId="9" xfId="1" applyFont="1" applyFill="1" applyBorder="1" applyAlignment="1">
      <alignment horizontal="center" vertical="center"/>
    </xf>
    <xf numFmtId="0" fontId="77" fillId="2" borderId="6" xfId="1" applyFont="1" applyFill="1" applyBorder="1" applyAlignment="1">
      <alignment horizontal="center" vertical="center"/>
    </xf>
    <xf numFmtId="0" fontId="113" fillId="3" borderId="8" xfId="1" applyFont="1" applyFill="1" applyBorder="1" applyAlignment="1">
      <alignment horizontal="left" vertical="center" wrapText="1"/>
    </xf>
    <xf numFmtId="0" fontId="113" fillId="3" borderId="9" xfId="1" applyFont="1" applyFill="1" applyBorder="1" applyAlignment="1">
      <alignment horizontal="left" vertical="center" wrapText="1"/>
    </xf>
    <xf numFmtId="0" fontId="113" fillId="3" borderId="6" xfId="1" applyFont="1" applyFill="1" applyBorder="1" applyAlignment="1">
      <alignment horizontal="left" vertical="center" wrapText="1"/>
    </xf>
    <xf numFmtId="0" fontId="77" fillId="3" borderId="1" xfId="1" applyFont="1" applyFill="1" applyBorder="1" applyAlignment="1">
      <alignment horizontal="left" vertical="center" wrapText="1"/>
    </xf>
    <xf numFmtId="0" fontId="113" fillId="3" borderId="7" xfId="1" applyFont="1" applyFill="1" applyBorder="1" applyAlignment="1">
      <alignment horizontal="left" vertical="center" wrapText="1"/>
    </xf>
    <xf numFmtId="0" fontId="77" fillId="0" borderId="8" xfId="1" applyFont="1" applyFill="1" applyBorder="1" applyAlignment="1">
      <alignment horizontal="center" vertical="center"/>
    </xf>
    <xf numFmtId="0" fontId="77" fillId="0" borderId="4" xfId="2" applyFont="1" applyFill="1" applyBorder="1" applyAlignment="1">
      <alignment horizontal="center" vertical="center"/>
    </xf>
    <xf numFmtId="4" fontId="79" fillId="0" borderId="4" xfId="2" applyNumberFormat="1" applyFont="1" applyFill="1" applyBorder="1"/>
    <xf numFmtId="4" fontId="77" fillId="0" borderId="1" xfId="1" applyNumberFormat="1" applyFont="1" applyFill="1" applyBorder="1"/>
    <xf numFmtId="0" fontId="114" fillId="0" borderId="0" xfId="1" applyFont="1" applyFill="1"/>
    <xf numFmtId="4" fontId="77" fillId="0" borderId="4" xfId="2" applyNumberFormat="1" applyFont="1" applyFill="1" applyBorder="1"/>
    <xf numFmtId="0" fontId="115" fillId="0" borderId="0" xfId="1" applyFont="1" applyFill="1"/>
    <xf numFmtId="0" fontId="77" fillId="0" borderId="7" xfId="1" applyFont="1" applyFill="1" applyBorder="1" applyAlignment="1">
      <alignment horizontal="center" vertical="center"/>
    </xf>
    <xf numFmtId="4" fontId="77" fillId="0" borderId="7" xfId="1" applyNumberFormat="1" applyFont="1" applyFill="1" applyBorder="1"/>
    <xf numFmtId="4" fontId="79" fillId="0" borderId="7" xfId="1" applyNumberFormat="1" applyFont="1" applyFill="1" applyBorder="1"/>
    <xf numFmtId="4" fontId="121" fillId="0" borderId="7" xfId="0" applyNumberFormat="1" applyFont="1" applyFill="1" applyBorder="1"/>
    <xf numFmtId="0" fontId="77" fillId="0" borderId="1" xfId="1" applyFont="1" applyFill="1" applyBorder="1" applyAlignment="1">
      <alignment horizontal="center" vertical="center"/>
    </xf>
    <xf numFmtId="4" fontId="79" fillId="0" borderId="1" xfId="1" applyNumberFormat="1" applyFont="1" applyFill="1" applyBorder="1"/>
    <xf numFmtId="4" fontId="119" fillId="0" borderId="1" xfId="0" applyNumberFormat="1" applyFont="1" applyFill="1" applyBorder="1"/>
    <xf numFmtId="0" fontId="92" fillId="0" borderId="0" xfId="0" applyFont="1" applyFill="1"/>
    <xf numFmtId="0" fontId="77" fillId="0" borderId="1" xfId="1" applyFont="1" applyFill="1" applyBorder="1"/>
    <xf numFmtId="4" fontId="115" fillId="0" borderId="7" xfId="1" applyNumberFormat="1" applyFont="1" applyFill="1" applyBorder="1"/>
    <xf numFmtId="164" fontId="79" fillId="0" borderId="7" xfId="1" applyNumberFormat="1" applyFont="1" applyFill="1" applyBorder="1"/>
    <xf numFmtId="0" fontId="70" fillId="0" borderId="0" xfId="1" applyFill="1"/>
    <xf numFmtId="0" fontId="77" fillId="0" borderId="0" xfId="1" applyFont="1" applyFill="1" applyAlignment="1">
      <alignment horizontal="center"/>
    </xf>
    <xf numFmtId="0" fontId="70" fillId="0" borderId="0" xfId="1" applyFill="1" applyAlignment="1">
      <alignment horizontal="center"/>
    </xf>
    <xf numFmtId="0" fontId="77" fillId="0" borderId="0" xfId="1" applyFont="1" applyFill="1"/>
    <xf numFmtId="0" fontId="79" fillId="0" borderId="0" xfId="1" applyFont="1" applyFill="1"/>
    <xf numFmtId="0" fontId="70" fillId="0" borderId="3" xfId="1" applyFont="1" applyBorder="1" applyAlignment="1">
      <alignment horizontal="left" vertical="center" wrapText="1"/>
    </xf>
    <xf numFmtId="0" fontId="70" fillId="0" borderId="7" xfId="1" applyFont="1" applyBorder="1" applyAlignment="1">
      <alignment horizontal="center" vertical="center" wrapText="1"/>
    </xf>
    <xf numFmtId="4" fontId="70" fillId="0" borderId="1" xfId="1" applyNumberFormat="1" applyFont="1" applyBorder="1"/>
    <xf numFmtId="0" fontId="77" fillId="58" borderId="8" xfId="1" applyFont="1" applyFill="1" applyBorder="1" applyAlignment="1">
      <alignment horizontal="center" vertical="center"/>
    </xf>
    <xf numFmtId="0" fontId="70" fillId="58" borderId="3" xfId="1" applyFill="1" applyBorder="1" applyAlignment="1">
      <alignment horizontal="left" vertical="center" wrapText="1"/>
    </xf>
    <xf numFmtId="0" fontId="70" fillId="58" borderId="7" xfId="1" applyFill="1" applyBorder="1" applyAlignment="1">
      <alignment horizontal="center" vertical="center" wrapText="1"/>
    </xf>
    <xf numFmtId="0" fontId="77" fillId="58" borderId="1" xfId="1" applyFont="1" applyFill="1" applyBorder="1" applyAlignment="1">
      <alignment horizontal="center" vertical="center"/>
    </xf>
    <xf numFmtId="4" fontId="77" fillId="58" borderId="1" xfId="1" applyNumberFormat="1" applyFont="1" applyFill="1" applyBorder="1"/>
    <xf numFmtId="4" fontId="79" fillId="58" borderId="1" xfId="1" applyNumberFormat="1" applyFont="1" applyFill="1" applyBorder="1"/>
    <xf numFmtId="4" fontId="70" fillId="58" borderId="1" xfId="1" applyNumberFormat="1" applyFill="1" applyBorder="1"/>
    <xf numFmtId="0" fontId="70" fillId="0" borderId="7" xfId="2" applyFont="1" applyBorder="1" applyAlignment="1">
      <alignment vertical="center" wrapText="1"/>
    </xf>
    <xf numFmtId="0" fontId="70" fillId="0" borderId="6" xfId="1" applyFont="1" applyBorder="1" applyAlignment="1">
      <alignment horizontal="center" vertical="center" wrapText="1"/>
    </xf>
    <xf numFmtId="0" fontId="70" fillId="0" borderId="1" xfId="1" applyFont="1" applyBorder="1" applyAlignment="1">
      <alignment horizontal="left" vertical="center" wrapText="1"/>
    </xf>
    <xf numFmtId="0" fontId="70" fillId="0" borderId="1" xfId="1" applyFont="1" applyBorder="1" applyAlignment="1">
      <alignment horizontal="center" vertical="center" wrapText="1"/>
    </xf>
    <xf numFmtId="0" fontId="70" fillId="0" borderId="3" xfId="1" applyFont="1" applyBorder="1" applyAlignment="1">
      <alignment horizontal="center" vertical="center" wrapText="1"/>
    </xf>
    <xf numFmtId="4" fontId="70" fillId="0" borderId="3" xfId="1" applyNumberFormat="1" applyFont="1" applyBorder="1"/>
    <xf numFmtId="0" fontId="70" fillId="0" borderId="5" xfId="1" applyFont="1" applyBorder="1" applyAlignment="1">
      <alignment horizontal="left" vertical="center" wrapText="1"/>
    </xf>
    <xf numFmtId="0" fontId="70" fillId="0" borderId="5" xfId="1" applyFont="1" applyBorder="1" applyAlignment="1">
      <alignment horizontal="center" vertical="center" wrapText="1"/>
    </xf>
    <xf numFmtId="4" fontId="70" fillId="0" borderId="5" xfId="1" applyNumberFormat="1" applyFont="1" applyBorder="1"/>
    <xf numFmtId="0" fontId="70" fillId="0" borderId="7" xfId="1" applyFont="1" applyBorder="1" applyAlignment="1">
      <alignment horizontal="left" vertical="center" wrapText="1"/>
    </xf>
    <xf numFmtId="4" fontId="70" fillId="0" borderId="7" xfId="1" applyNumberFormat="1" applyFont="1" applyBorder="1"/>
    <xf numFmtId="0" fontId="70" fillId="0" borderId="1" xfId="1" applyFont="1" applyBorder="1" applyAlignment="1">
      <alignment vertical="center" wrapText="1"/>
    </xf>
    <xf numFmtId="0" fontId="70" fillId="0" borderId="1" xfId="2" applyFont="1" applyBorder="1" applyAlignment="1">
      <alignment horizontal="center" vertical="center" wrapText="1"/>
    </xf>
    <xf numFmtId="0" fontId="70" fillId="0" borderId="0" xfId="1" applyFont="1"/>
    <xf numFmtId="0" fontId="70" fillId="0" borderId="4" xfId="2" applyFont="1" applyBorder="1" applyAlignment="1">
      <alignment horizontal="left" vertical="center" wrapText="1"/>
    </xf>
    <xf numFmtId="0" fontId="70" fillId="0" borderId="4" xfId="2" applyFont="1" applyBorder="1" applyAlignment="1">
      <alignment horizontal="center" vertical="center" wrapText="1"/>
    </xf>
    <xf numFmtId="4" fontId="70" fillId="0" borderId="4" xfId="2" applyNumberFormat="1" applyFont="1" applyBorder="1"/>
    <xf numFmtId="0" fontId="70" fillId="0" borderId="4" xfId="2" applyFont="1" applyFill="1" applyBorder="1" applyAlignment="1">
      <alignment horizontal="left" vertical="center" wrapText="1"/>
    </xf>
    <xf numFmtId="0" fontId="70" fillId="0" borderId="4" xfId="2" applyFont="1" applyFill="1" applyBorder="1" applyAlignment="1">
      <alignment horizontal="center" vertical="center" wrapText="1"/>
    </xf>
    <xf numFmtId="4" fontId="70" fillId="0" borderId="4" xfId="2" applyNumberFormat="1" applyFont="1" applyFill="1" applyBorder="1"/>
    <xf numFmtId="0" fontId="70" fillId="0" borderId="7" xfId="2" applyFont="1" applyFill="1" applyBorder="1" applyAlignment="1">
      <alignment horizontal="left" vertical="center" wrapText="1"/>
    </xf>
    <xf numFmtId="0" fontId="70" fillId="0" borderId="7" xfId="2" applyFont="1" applyFill="1" applyBorder="1" applyAlignment="1">
      <alignment horizontal="center" vertical="center" wrapText="1"/>
    </xf>
    <xf numFmtId="4" fontId="70" fillId="0" borderId="7" xfId="1" applyNumberFormat="1" applyFont="1" applyFill="1" applyBorder="1"/>
    <xf numFmtId="4" fontId="70" fillId="0" borderId="7" xfId="0" applyNumberFormat="1" applyFont="1" applyFill="1" applyBorder="1"/>
    <xf numFmtId="0" fontId="70" fillId="0" borderId="1" xfId="2" applyFont="1" applyFill="1" applyBorder="1" applyAlignment="1">
      <alignment horizontal="left" vertical="center" wrapText="1"/>
    </xf>
    <xf numFmtId="0" fontId="70" fillId="0" borderId="1" xfId="2" applyFont="1" applyFill="1" applyBorder="1" applyAlignment="1">
      <alignment horizontal="center" vertical="center" wrapText="1"/>
    </xf>
    <xf numFmtId="0" fontId="70" fillId="0" borderId="1" xfId="0" applyFont="1" applyFill="1" applyBorder="1" applyAlignment="1">
      <alignment vertical="center" wrapText="1"/>
    </xf>
    <xf numFmtId="4" fontId="70" fillId="0" borderId="1" xfId="1" applyNumberFormat="1" applyFont="1" applyFill="1" applyBorder="1"/>
    <xf numFmtId="0" fontId="70" fillId="0" borderId="1" xfId="1" applyFont="1" applyFill="1" applyBorder="1" applyAlignment="1">
      <alignment vertical="center" wrapText="1"/>
    </xf>
    <xf numFmtId="0" fontId="70" fillId="0" borderId="1" xfId="1" applyFont="1" applyFill="1" applyBorder="1" applyAlignment="1">
      <alignment horizontal="left" vertical="center" wrapText="1"/>
    </xf>
    <xf numFmtId="0" fontId="70" fillId="0" borderId="5" xfId="1" applyFont="1" applyFill="1" applyBorder="1" applyAlignment="1">
      <alignment vertical="center" wrapText="1"/>
    </xf>
    <xf numFmtId="0" fontId="70" fillId="0" borderId="6" xfId="2" applyFont="1" applyFill="1" applyBorder="1" applyAlignment="1">
      <alignment horizontal="center" vertical="center" wrapText="1"/>
    </xf>
    <xf numFmtId="0" fontId="70" fillId="0" borderId="7" xfId="1" applyFont="1" applyFill="1" applyBorder="1" applyAlignment="1">
      <alignment vertical="center" wrapText="1"/>
    </xf>
    <xf numFmtId="0" fontId="70" fillId="0" borderId="7" xfId="1" applyFont="1" applyFill="1" applyBorder="1" applyAlignment="1">
      <alignment vertical="center"/>
    </xf>
    <xf numFmtId="0" fontId="70" fillId="0" borderId="7" xfId="1" applyFont="1" applyFill="1" applyBorder="1" applyAlignment="1">
      <alignment horizontal="left" vertical="center" wrapText="1"/>
    </xf>
    <xf numFmtId="164" fontId="70" fillId="0" borderId="7" xfId="1" applyNumberFormat="1" applyFont="1" applyFill="1" applyBorder="1"/>
    <xf numFmtId="0" fontId="70" fillId="0" borderId="0" xfId="1" applyFont="1" applyFill="1"/>
    <xf numFmtId="0" fontId="113" fillId="58" borderId="7" xfId="1" applyFont="1" applyFill="1" applyBorder="1" applyAlignment="1">
      <alignment horizontal="center" vertical="center"/>
    </xf>
    <xf numFmtId="0" fontId="79" fillId="58" borderId="8" xfId="1" applyFont="1" applyFill="1" applyBorder="1" applyAlignment="1">
      <alignment vertical="center" wrapText="1"/>
    </xf>
    <xf numFmtId="0" fontId="79" fillId="58" borderId="7" xfId="1" applyFont="1" applyFill="1" applyBorder="1" applyAlignment="1">
      <alignment horizontal="center" vertical="center" wrapText="1"/>
    </xf>
    <xf numFmtId="0" fontId="113" fillId="58" borderId="7" xfId="1" applyFont="1" applyFill="1" applyBorder="1" applyAlignment="1">
      <alignment horizontal="center" vertical="center" wrapText="1"/>
    </xf>
    <xf numFmtId="4" fontId="113" fillId="58" borderId="7" xfId="1" applyNumberFormat="1" applyFont="1" applyFill="1" applyBorder="1" applyAlignment="1">
      <alignment horizontal="right" vertical="center" wrapText="1"/>
    </xf>
    <xf numFmtId="4" fontId="79" fillId="58" borderId="7" xfId="1" applyNumberFormat="1" applyFont="1" applyFill="1" applyBorder="1" applyAlignment="1">
      <alignment horizontal="right" vertical="center" wrapText="1"/>
    </xf>
  </cellXfs>
  <cellStyles count="180">
    <cellStyle name="20% - akcent 1 2" xfId="42" xr:uid="{00000000-0005-0000-0000-000000000000}"/>
    <cellStyle name="20% - akcent 1 3" xfId="43" xr:uid="{00000000-0005-0000-0000-000001000000}"/>
    <cellStyle name="20% - akcent 2 2" xfId="44" xr:uid="{00000000-0005-0000-0000-000002000000}"/>
    <cellStyle name="20% - akcent 2 3" xfId="45" xr:uid="{00000000-0005-0000-0000-000003000000}"/>
    <cellStyle name="20% - akcent 3 2" xfId="46" xr:uid="{00000000-0005-0000-0000-000004000000}"/>
    <cellStyle name="20% - akcent 3 3" xfId="47" xr:uid="{00000000-0005-0000-0000-000005000000}"/>
    <cellStyle name="20% - akcent 4 2" xfId="48" xr:uid="{00000000-0005-0000-0000-000006000000}"/>
    <cellStyle name="20% - akcent 4 3" xfId="49" xr:uid="{00000000-0005-0000-0000-000007000000}"/>
    <cellStyle name="20% - akcent 5 2" xfId="50" xr:uid="{00000000-0005-0000-0000-000008000000}"/>
    <cellStyle name="20% - akcent 5 3" xfId="51" xr:uid="{00000000-0005-0000-0000-000009000000}"/>
    <cellStyle name="20% - akcent 6 2" xfId="52" xr:uid="{00000000-0005-0000-0000-00000A000000}"/>
    <cellStyle name="20% - akcent 6 3" xfId="53" xr:uid="{00000000-0005-0000-0000-00000B000000}"/>
    <cellStyle name="40% - akcent 1 2" xfId="54" xr:uid="{00000000-0005-0000-0000-00000C000000}"/>
    <cellStyle name="40% - akcent 1 3" xfId="55" xr:uid="{00000000-0005-0000-0000-00000D000000}"/>
    <cellStyle name="40% - akcent 2 2" xfId="56" xr:uid="{00000000-0005-0000-0000-00000E000000}"/>
    <cellStyle name="40% - akcent 2 3" xfId="57" xr:uid="{00000000-0005-0000-0000-00000F000000}"/>
    <cellStyle name="40% - akcent 3 2" xfId="58" xr:uid="{00000000-0005-0000-0000-000010000000}"/>
    <cellStyle name="40% - akcent 3 3" xfId="59" xr:uid="{00000000-0005-0000-0000-000011000000}"/>
    <cellStyle name="40% - akcent 4 2" xfId="60" xr:uid="{00000000-0005-0000-0000-000012000000}"/>
    <cellStyle name="40% - akcent 4 3" xfId="61" xr:uid="{00000000-0005-0000-0000-000013000000}"/>
    <cellStyle name="40% - akcent 5 2" xfId="62" xr:uid="{00000000-0005-0000-0000-000014000000}"/>
    <cellStyle name="40% - akcent 5 3" xfId="63" xr:uid="{00000000-0005-0000-0000-000015000000}"/>
    <cellStyle name="40% - akcent 6 2" xfId="64" xr:uid="{00000000-0005-0000-0000-000016000000}"/>
    <cellStyle name="40% - akcent 6 3" xfId="65" xr:uid="{00000000-0005-0000-0000-000017000000}"/>
    <cellStyle name="60% - akcent 1 2" xfId="66" xr:uid="{00000000-0005-0000-0000-000018000000}"/>
    <cellStyle name="60% - akcent 1 3" xfId="67" xr:uid="{00000000-0005-0000-0000-000019000000}"/>
    <cellStyle name="60% - akcent 2 2" xfId="68" xr:uid="{00000000-0005-0000-0000-00001A000000}"/>
    <cellStyle name="60% - akcent 2 3" xfId="69" xr:uid="{00000000-0005-0000-0000-00001B000000}"/>
    <cellStyle name="60% - akcent 3 2" xfId="70" xr:uid="{00000000-0005-0000-0000-00001C000000}"/>
    <cellStyle name="60% - akcent 3 3" xfId="71" xr:uid="{00000000-0005-0000-0000-00001D000000}"/>
    <cellStyle name="60% - akcent 4 2" xfId="72" xr:uid="{00000000-0005-0000-0000-00001E000000}"/>
    <cellStyle name="60% - akcent 4 3" xfId="73" xr:uid="{00000000-0005-0000-0000-00001F000000}"/>
    <cellStyle name="60% - akcent 5 2" xfId="74" xr:uid="{00000000-0005-0000-0000-000020000000}"/>
    <cellStyle name="60% - akcent 5 3" xfId="75" xr:uid="{00000000-0005-0000-0000-000021000000}"/>
    <cellStyle name="60% - akcent 6 2" xfId="76" xr:uid="{00000000-0005-0000-0000-000022000000}"/>
    <cellStyle name="60% - akcent 6 3" xfId="77" xr:uid="{00000000-0005-0000-0000-000023000000}"/>
    <cellStyle name="Akcent 1 2" xfId="78" xr:uid="{00000000-0005-0000-0000-000024000000}"/>
    <cellStyle name="Akcent 1 3" xfId="79" xr:uid="{00000000-0005-0000-0000-000025000000}"/>
    <cellStyle name="Akcent 2 2" xfId="80" xr:uid="{00000000-0005-0000-0000-000026000000}"/>
    <cellStyle name="Akcent 2 3" xfId="81" xr:uid="{00000000-0005-0000-0000-000027000000}"/>
    <cellStyle name="Akcent 3 2" xfId="82" xr:uid="{00000000-0005-0000-0000-000028000000}"/>
    <cellStyle name="Akcent 3 3" xfId="83" xr:uid="{00000000-0005-0000-0000-000029000000}"/>
    <cellStyle name="Akcent 4 2" xfId="84" xr:uid="{00000000-0005-0000-0000-00002A000000}"/>
    <cellStyle name="Akcent 4 3" xfId="85" xr:uid="{00000000-0005-0000-0000-00002B000000}"/>
    <cellStyle name="Akcent 5 2" xfId="86" xr:uid="{00000000-0005-0000-0000-00002C000000}"/>
    <cellStyle name="Akcent 5 3" xfId="87" xr:uid="{00000000-0005-0000-0000-00002D000000}"/>
    <cellStyle name="Akcent 6 2" xfId="88" xr:uid="{00000000-0005-0000-0000-00002E000000}"/>
    <cellStyle name="Akcent 6 3" xfId="89" xr:uid="{00000000-0005-0000-0000-00002F000000}"/>
    <cellStyle name="Dane wejściowe 2" xfId="90" xr:uid="{00000000-0005-0000-0000-000030000000}"/>
    <cellStyle name="Dane wejściowe 3" xfId="91" xr:uid="{00000000-0005-0000-0000-000031000000}"/>
    <cellStyle name="Dane wyjściowe 2" xfId="92" xr:uid="{00000000-0005-0000-0000-000032000000}"/>
    <cellStyle name="Dane wyjściowe 3" xfId="93" xr:uid="{00000000-0005-0000-0000-000033000000}"/>
    <cellStyle name="Dobre 2" xfId="94" xr:uid="{00000000-0005-0000-0000-000034000000}"/>
    <cellStyle name="Dobre 3" xfId="95" xr:uid="{00000000-0005-0000-0000-000035000000}"/>
    <cellStyle name="Komórka połączona 2" xfId="96" xr:uid="{00000000-0005-0000-0000-000036000000}"/>
    <cellStyle name="Komórka połączona 3" xfId="97" xr:uid="{00000000-0005-0000-0000-000037000000}"/>
    <cellStyle name="Komórka zaznaczona 2" xfId="98" xr:uid="{00000000-0005-0000-0000-000038000000}"/>
    <cellStyle name="Komórka zaznaczona 3" xfId="99" xr:uid="{00000000-0005-0000-0000-000039000000}"/>
    <cellStyle name="Nagłówek 1 2" xfId="100" xr:uid="{00000000-0005-0000-0000-00003A000000}"/>
    <cellStyle name="Nagłówek 1 3" xfId="101" xr:uid="{00000000-0005-0000-0000-00003B000000}"/>
    <cellStyle name="Nagłówek 2 2" xfId="102" xr:uid="{00000000-0005-0000-0000-00003C000000}"/>
    <cellStyle name="Nagłówek 2 3" xfId="103" xr:uid="{00000000-0005-0000-0000-00003D000000}"/>
    <cellStyle name="Nagłówek 3 2" xfId="104" xr:uid="{00000000-0005-0000-0000-00003E000000}"/>
    <cellStyle name="Nagłówek 3 3" xfId="105" xr:uid="{00000000-0005-0000-0000-00003F000000}"/>
    <cellStyle name="Nagłówek 4 2" xfId="106" xr:uid="{00000000-0005-0000-0000-000040000000}"/>
    <cellStyle name="Nagłówek 4 3" xfId="107" xr:uid="{00000000-0005-0000-0000-000041000000}"/>
    <cellStyle name="Neutralne 2" xfId="108" xr:uid="{00000000-0005-0000-0000-000042000000}"/>
    <cellStyle name="Neutralne 3" xfId="109" xr:uid="{00000000-0005-0000-0000-000043000000}"/>
    <cellStyle name="Normalny" xfId="0" builtinId="0"/>
    <cellStyle name="Normalny 2" xfId="1" xr:uid="{00000000-0005-0000-0000-000045000000}"/>
    <cellStyle name="Normalny 2 2" xfId="23" xr:uid="{00000000-0005-0000-0000-000046000000}"/>
    <cellStyle name="Normalny 2 2 2" xfId="2" xr:uid="{00000000-0005-0000-0000-000047000000}"/>
    <cellStyle name="Normalny 2 2 3" xfId="110" xr:uid="{00000000-0005-0000-0000-000048000000}"/>
    <cellStyle name="Normalny 2 3" xfId="111" xr:uid="{00000000-0005-0000-0000-000049000000}"/>
    <cellStyle name="Normalny 2 4" xfId="11" xr:uid="{00000000-0005-0000-0000-00004A000000}"/>
    <cellStyle name="Normalny 2 4 2" xfId="112" xr:uid="{00000000-0005-0000-0000-00004B000000}"/>
    <cellStyle name="Normalny 2 4 3" xfId="167" xr:uid="{00000000-0005-0000-0000-00004C000000}"/>
    <cellStyle name="Normalny 2 5" xfId="113" xr:uid="{00000000-0005-0000-0000-00004D000000}"/>
    <cellStyle name="Normalny 2 6" xfId="114" xr:uid="{00000000-0005-0000-0000-00004E000000}"/>
    <cellStyle name="Normalny 2 7" xfId="115" xr:uid="{00000000-0005-0000-0000-00004F000000}"/>
    <cellStyle name="Normalny 3" xfId="3" xr:uid="{00000000-0005-0000-0000-000050000000}"/>
    <cellStyle name="Normalny 3 2" xfId="116" xr:uid="{00000000-0005-0000-0000-000051000000}"/>
    <cellStyle name="Normalny 4" xfId="117" xr:uid="{00000000-0005-0000-0000-000052000000}"/>
    <cellStyle name="Normalny 5" xfId="118" xr:uid="{00000000-0005-0000-0000-000053000000}"/>
    <cellStyle name="Normalny 6" xfId="119" xr:uid="{00000000-0005-0000-0000-000054000000}"/>
    <cellStyle name="Normalny 6 2" xfId="4" xr:uid="{00000000-0005-0000-0000-000055000000}"/>
    <cellStyle name="Normalny 7" xfId="120" xr:uid="{00000000-0005-0000-0000-000056000000}"/>
    <cellStyle name="Normalny 7 2" xfId="121" xr:uid="{00000000-0005-0000-0000-000057000000}"/>
    <cellStyle name="Normalny 8" xfId="7" xr:uid="{00000000-0005-0000-0000-000058000000}"/>
    <cellStyle name="Normalny 8 10" xfId="17" xr:uid="{00000000-0005-0000-0000-000059000000}"/>
    <cellStyle name="Normalny 8 11" xfId="18" xr:uid="{00000000-0005-0000-0000-00005A000000}"/>
    <cellStyle name="Normalny 8 12" xfId="19" xr:uid="{00000000-0005-0000-0000-00005B000000}"/>
    <cellStyle name="Normalny 8 13" xfId="20" xr:uid="{00000000-0005-0000-0000-00005C000000}"/>
    <cellStyle name="Normalny 8 14" xfId="21" xr:uid="{00000000-0005-0000-0000-00005D000000}"/>
    <cellStyle name="Normalny 8 15" xfId="22" xr:uid="{00000000-0005-0000-0000-00005E000000}"/>
    <cellStyle name="Normalny 8 16" xfId="24" xr:uid="{00000000-0005-0000-0000-00005F000000}"/>
    <cellStyle name="Normalny 8 17" xfId="25" xr:uid="{00000000-0005-0000-0000-000060000000}"/>
    <cellStyle name="Normalny 8 18" xfId="26" xr:uid="{00000000-0005-0000-0000-000061000000}"/>
    <cellStyle name="Normalny 8 19" xfId="27" xr:uid="{00000000-0005-0000-0000-000062000000}"/>
    <cellStyle name="Normalny 8 2" xfId="8" xr:uid="{00000000-0005-0000-0000-000063000000}"/>
    <cellStyle name="Normalny 8 20" xfId="28" xr:uid="{00000000-0005-0000-0000-000064000000}"/>
    <cellStyle name="Normalny 8 21" xfId="29" xr:uid="{00000000-0005-0000-0000-000065000000}"/>
    <cellStyle name="Normalny 8 22" xfId="30" xr:uid="{00000000-0005-0000-0000-000066000000}"/>
    <cellStyle name="Normalny 8 23" xfId="31" xr:uid="{00000000-0005-0000-0000-000067000000}"/>
    <cellStyle name="Normalny 8 24" xfId="32" xr:uid="{00000000-0005-0000-0000-000068000000}"/>
    <cellStyle name="Normalny 8 25" xfId="33" xr:uid="{00000000-0005-0000-0000-000069000000}"/>
    <cellStyle name="Normalny 8 26" xfId="34" xr:uid="{00000000-0005-0000-0000-00006A000000}"/>
    <cellStyle name="Normalny 8 27" xfId="35" xr:uid="{00000000-0005-0000-0000-00006B000000}"/>
    <cellStyle name="Normalny 8 28" xfId="36" xr:uid="{00000000-0005-0000-0000-00006C000000}"/>
    <cellStyle name="Normalny 8 29" xfId="37" xr:uid="{00000000-0005-0000-0000-00006D000000}"/>
    <cellStyle name="Normalny 8 3" xfId="9" xr:uid="{00000000-0005-0000-0000-00006E000000}"/>
    <cellStyle name="Normalny 8 30" xfId="38" xr:uid="{00000000-0005-0000-0000-00006F000000}"/>
    <cellStyle name="Normalny 8 31" xfId="39" xr:uid="{00000000-0005-0000-0000-000070000000}"/>
    <cellStyle name="Normalny 8 32" xfId="40" xr:uid="{00000000-0005-0000-0000-000071000000}"/>
    <cellStyle name="Normalny 8 33" xfId="41" xr:uid="{00000000-0005-0000-0000-000072000000}"/>
    <cellStyle name="Normalny 8 34" xfId="122" xr:uid="{00000000-0005-0000-0000-000073000000}"/>
    <cellStyle name="Normalny 8 35" xfId="144" xr:uid="{00000000-0005-0000-0000-000074000000}"/>
    <cellStyle name="Normalny 8 36" xfId="145" xr:uid="{00000000-0005-0000-0000-000075000000}"/>
    <cellStyle name="Normalny 8 37" xfId="146" xr:uid="{00000000-0005-0000-0000-000076000000}"/>
    <cellStyle name="Normalny 8 38" xfId="147" xr:uid="{00000000-0005-0000-0000-000077000000}"/>
    <cellStyle name="Normalny 8 39" xfId="148" xr:uid="{00000000-0005-0000-0000-000078000000}"/>
    <cellStyle name="Normalny 8 4" xfId="10" xr:uid="{00000000-0005-0000-0000-000079000000}"/>
    <cellStyle name="Normalny 8 40" xfId="149" xr:uid="{00000000-0005-0000-0000-00007A000000}"/>
    <cellStyle name="Normalny 8 41" xfId="150" xr:uid="{00000000-0005-0000-0000-00007B000000}"/>
    <cellStyle name="Normalny 8 42" xfId="151" xr:uid="{00000000-0005-0000-0000-00007C000000}"/>
    <cellStyle name="Normalny 8 43" xfId="152" xr:uid="{00000000-0005-0000-0000-00007D000000}"/>
    <cellStyle name="Normalny 8 44" xfId="153" xr:uid="{00000000-0005-0000-0000-00007E000000}"/>
    <cellStyle name="Normalny 8 45" xfId="154" xr:uid="{00000000-0005-0000-0000-00007F000000}"/>
    <cellStyle name="Normalny 8 46" xfId="155" xr:uid="{00000000-0005-0000-0000-000080000000}"/>
    <cellStyle name="Normalny 8 47" xfId="156" xr:uid="{00000000-0005-0000-0000-000081000000}"/>
    <cellStyle name="Normalny 8 48" xfId="157" xr:uid="{00000000-0005-0000-0000-000082000000}"/>
    <cellStyle name="Normalny 8 49" xfId="158" xr:uid="{00000000-0005-0000-0000-000083000000}"/>
    <cellStyle name="Normalny 8 5" xfId="12" xr:uid="{00000000-0005-0000-0000-000084000000}"/>
    <cellStyle name="Normalny 8 50" xfId="159" xr:uid="{00000000-0005-0000-0000-000085000000}"/>
    <cellStyle name="Normalny 8 51" xfId="160" xr:uid="{00000000-0005-0000-0000-000086000000}"/>
    <cellStyle name="Normalny 8 52" xfId="161" xr:uid="{00000000-0005-0000-0000-000087000000}"/>
    <cellStyle name="Normalny 8 53" xfId="162" xr:uid="{00000000-0005-0000-0000-000088000000}"/>
    <cellStyle name="Normalny 8 54" xfId="163" xr:uid="{00000000-0005-0000-0000-000089000000}"/>
    <cellStyle name="Normalny 8 55" xfId="164" xr:uid="{00000000-0005-0000-0000-00008A000000}"/>
    <cellStyle name="Normalny 8 56" xfId="165" xr:uid="{00000000-0005-0000-0000-00008B000000}"/>
    <cellStyle name="Normalny 8 57" xfId="166" xr:uid="{00000000-0005-0000-0000-00008C000000}"/>
    <cellStyle name="Normalny 8 58" xfId="168" xr:uid="{00000000-0005-0000-0000-00008D000000}"/>
    <cellStyle name="Normalny 8 59" xfId="169" xr:uid="{00000000-0005-0000-0000-00008E000000}"/>
    <cellStyle name="Normalny 8 6" xfId="13" xr:uid="{00000000-0005-0000-0000-00008F000000}"/>
    <cellStyle name="Normalny 8 60" xfId="170" xr:uid="{00000000-0005-0000-0000-000090000000}"/>
    <cellStyle name="Normalny 8 61" xfId="171" xr:uid="{00000000-0005-0000-0000-000091000000}"/>
    <cellStyle name="Normalny 8 62" xfId="172" xr:uid="{00000000-0005-0000-0000-000092000000}"/>
    <cellStyle name="Normalny 8 63" xfId="173" xr:uid="{00000000-0005-0000-0000-000093000000}"/>
    <cellStyle name="Normalny 8 64" xfId="174" xr:uid="{00000000-0005-0000-0000-000094000000}"/>
    <cellStyle name="Normalny 8 65" xfId="175" xr:uid="{00000000-0005-0000-0000-000095000000}"/>
    <cellStyle name="Normalny 8 66" xfId="176" xr:uid="{00000000-0005-0000-0000-000096000000}"/>
    <cellStyle name="Normalny 8 67" xfId="177" xr:uid="{00000000-0005-0000-0000-000097000000}"/>
    <cellStyle name="Normalny 8 68" xfId="178" xr:uid="{F47C5265-3B15-4CF1-8EBC-21B64CDE624A}"/>
    <cellStyle name="Normalny 8 69" xfId="179" xr:uid="{BE820684-B4E3-4224-868C-C216DEDC5145}"/>
    <cellStyle name="Normalny 8 7" xfId="14" xr:uid="{00000000-0005-0000-0000-000098000000}"/>
    <cellStyle name="Normalny 8 8" xfId="15" xr:uid="{00000000-0005-0000-0000-000099000000}"/>
    <cellStyle name="Normalny 8 9" xfId="16" xr:uid="{00000000-0005-0000-0000-00009A000000}"/>
    <cellStyle name="Normalny 9" xfId="5" xr:uid="{00000000-0005-0000-0000-00009B000000}"/>
    <cellStyle name="Obliczenia 2" xfId="123" xr:uid="{00000000-0005-0000-0000-00009C000000}"/>
    <cellStyle name="Obliczenia 3" xfId="124" xr:uid="{00000000-0005-0000-0000-00009D000000}"/>
    <cellStyle name="Procentowy 2" xfId="125" xr:uid="{00000000-0005-0000-0000-00009E000000}"/>
    <cellStyle name="Procentowy 2 2" xfId="6" xr:uid="{00000000-0005-0000-0000-00009F000000}"/>
    <cellStyle name="Procentowy 2 3" xfId="126" xr:uid="{00000000-0005-0000-0000-0000A0000000}"/>
    <cellStyle name="Procentowy 3" xfId="127" xr:uid="{00000000-0005-0000-0000-0000A1000000}"/>
    <cellStyle name="Procentowy 3 2" xfId="128" xr:uid="{00000000-0005-0000-0000-0000A2000000}"/>
    <cellStyle name="Procentowy 4" xfId="129" xr:uid="{00000000-0005-0000-0000-0000A3000000}"/>
    <cellStyle name="Procentowy 5" xfId="130" xr:uid="{00000000-0005-0000-0000-0000A4000000}"/>
    <cellStyle name="Procentowy 6" xfId="131" xr:uid="{00000000-0005-0000-0000-0000A5000000}"/>
    <cellStyle name="Suma 2" xfId="132" xr:uid="{00000000-0005-0000-0000-0000A6000000}"/>
    <cellStyle name="Suma 3" xfId="133" xr:uid="{00000000-0005-0000-0000-0000A7000000}"/>
    <cellStyle name="Tekst objaśnienia 2" xfId="134" xr:uid="{00000000-0005-0000-0000-0000A8000000}"/>
    <cellStyle name="Tekst objaśnienia 3" xfId="135" xr:uid="{00000000-0005-0000-0000-0000A9000000}"/>
    <cellStyle name="Tekst ostrzeżenia 2" xfId="136" xr:uid="{00000000-0005-0000-0000-0000AA000000}"/>
    <cellStyle name="Tekst ostrzeżenia 3" xfId="137" xr:uid="{00000000-0005-0000-0000-0000AB000000}"/>
    <cellStyle name="Tytuł 2" xfId="139" xr:uid="{00000000-0005-0000-0000-0000AC000000}"/>
    <cellStyle name="Tytuł 3" xfId="138" xr:uid="{00000000-0005-0000-0000-0000AD000000}"/>
    <cellStyle name="Uwaga 2" xfId="140" xr:uid="{00000000-0005-0000-0000-0000AE000000}"/>
    <cellStyle name="Uwaga 3" xfId="141" xr:uid="{00000000-0005-0000-0000-0000AF000000}"/>
    <cellStyle name="Złe 2" xfId="142" xr:uid="{00000000-0005-0000-0000-0000B0000000}"/>
    <cellStyle name="Złe 3" xfId="143" xr:uid="{00000000-0005-0000-0000-0000B1000000}"/>
  </cellStyles>
  <dxfs count="0"/>
  <tableStyles count="0" defaultTableStyle="TableStyleMedium2" defaultPivotStyle="PivotStyleMedium9"/>
  <colors>
    <mruColors>
      <color rgb="FFFF0000"/>
      <color rgb="FFFFFF99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%2029-12-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2adc03ddaa974343b1da40e471b84874_26_08_20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por&#243;wnanie_31_10_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Downloads/raport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cja"/>
      <sheetName val="DaneZrodlowe"/>
      <sheetName val="DaneZrodloweDoWsk"/>
      <sheetName val="Instrukcja"/>
      <sheetName val="WPF_bazowy"/>
      <sheetName val="rysunki"/>
      <sheetName val="WPF_Analiza"/>
      <sheetName val="Symulacja"/>
      <sheetName val="ObliczSrednie"/>
      <sheetName val="Opis zmian"/>
    </sheetNames>
    <sheetDataSet>
      <sheetData sheetId="0"/>
      <sheetData sheetId="1">
        <row r="1">
          <cell r="N1">
            <v>2022</v>
          </cell>
        </row>
        <row r="3">
          <cell r="N3" t="str">
            <v>0BF9</v>
          </cell>
        </row>
        <row r="4">
          <cell r="N4">
            <v>1</v>
          </cell>
        </row>
      </sheetData>
      <sheetData sheetId="2"/>
      <sheetData sheetId="3"/>
      <sheetData sheetId="4"/>
      <sheetData sheetId="5"/>
      <sheetData sheetId="6">
        <row r="1">
          <cell r="Q1">
            <v>2035</v>
          </cell>
        </row>
      </sheetData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Zrodlowe"/>
      <sheetName val="DaneZrodloweDoWsk"/>
      <sheetName val="WPF_bazowy"/>
      <sheetName val="WskArt_31zl"/>
      <sheetName val="WPF_Analiza"/>
      <sheetName val="definicja"/>
      <sheetName val="rysunki"/>
      <sheetName val="opis zmian"/>
    </sheetNames>
    <sheetDataSet>
      <sheetData sheetId="0">
        <row r="1">
          <cell r="N1">
            <v>2020</v>
          </cell>
        </row>
        <row r="3">
          <cell r="N3" t="str">
            <v>A7F0</v>
          </cell>
        </row>
      </sheetData>
      <sheetData sheetId="1"/>
      <sheetData sheetId="2"/>
      <sheetData sheetId="3"/>
      <sheetData sheetId="4">
        <row r="1">
          <cell r="M1">
            <v>2033</v>
          </cell>
        </row>
      </sheetData>
      <sheetData sheetId="5">
        <row r="1">
          <cell r="D1" t="str">
            <v>ver 2020-08-14a</v>
          </cell>
        </row>
      </sheetData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cja"/>
      <sheetName val="WPF=Budzet (rok N)"/>
      <sheetName val="WPF a wykonanie (wybr okr)"/>
      <sheetName val="OpisZmian"/>
      <sheetName val="DaneBudzet"/>
      <sheetName val="DaneZrodlowe"/>
    </sheetNames>
    <sheetDataSet>
      <sheetData sheetId="0">
        <row r="4">
          <cell r="B4">
            <v>2019</v>
          </cell>
        </row>
        <row r="5">
          <cell r="B5">
            <v>4</v>
          </cell>
          <cell r="H5" t="b">
            <v>1</v>
          </cell>
        </row>
      </sheetData>
      <sheetData sheetId="1"/>
      <sheetData sheetId="2" refreshError="1"/>
      <sheetData sheetId="3" refreshError="1"/>
      <sheetData sheetId="4" refreshError="1"/>
      <sheetData sheetId="5">
        <row r="1">
          <cell r="O1">
            <v>2019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ł.1_WPF_bazowy"/>
      <sheetName val="WPF_Analiza"/>
      <sheetName val="rysunki"/>
      <sheetName val="opis zmian"/>
      <sheetName val="definicja"/>
      <sheetName val="DaneZrodlowe"/>
      <sheetName val="DaneZrodloweDoWsk"/>
    </sheetNames>
    <sheetDataSet>
      <sheetData sheetId="0"/>
      <sheetData sheetId="1">
        <row r="1">
          <cell r="L1" t="str">
            <v>Ostatni rok analizy:</v>
          </cell>
        </row>
      </sheetData>
      <sheetData sheetId="2" refreshError="1"/>
      <sheetData sheetId="3" refreshError="1"/>
      <sheetData sheetId="4">
        <row r="1">
          <cell r="D1" t="str">
            <v>ver 2019-11-26b</v>
          </cell>
        </row>
      </sheetData>
      <sheetData sheetId="5">
        <row r="1">
          <cell r="N1">
            <v>2020</v>
          </cell>
          <cell r="Q1">
            <v>2033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8"/>
  <sheetViews>
    <sheetView tabSelected="1" zoomScale="96" zoomScaleNormal="96" workbookViewId="0">
      <pane ySplit="5" topLeftCell="A30" activePane="bottomLeft" state="frozen"/>
      <selection pane="bottomLeft" activeCell="B22" sqref="B22"/>
    </sheetView>
  </sheetViews>
  <sheetFormatPr defaultRowHeight="12.75"/>
  <cols>
    <col min="1" max="1" width="10.7109375" style="13" customWidth="1"/>
    <col min="2" max="2" width="53" style="1" customWidth="1"/>
    <col min="3" max="3" width="19.42578125" style="3" customWidth="1"/>
    <col min="4" max="5" width="7.42578125" style="13" customWidth="1"/>
    <col min="6" max="6" width="16.5703125" style="4" customWidth="1"/>
    <col min="7" max="7" width="15.7109375" style="32" customWidth="1"/>
    <col min="8" max="13" width="15.7109375" style="1" customWidth="1"/>
    <col min="14" max="14" width="15.85546875" style="4" customWidth="1"/>
    <col min="15" max="241" width="9.140625" style="1"/>
    <col min="242" max="242" width="1" style="1" customWidth="1"/>
    <col min="243" max="243" width="39.140625" style="1" customWidth="1"/>
    <col min="244" max="244" width="21.42578125" style="1" customWidth="1"/>
    <col min="245" max="245" width="11.28515625" style="1" customWidth="1"/>
    <col min="246" max="246" width="9.5703125" style="1" customWidth="1"/>
    <col min="247" max="247" width="13.5703125" style="1" customWidth="1"/>
    <col min="248" max="257" width="12.140625" style="1" customWidth="1"/>
    <col min="258" max="267" width="0" style="1" hidden="1" customWidth="1"/>
    <col min="268" max="268" width="14.140625" style="1" customWidth="1"/>
    <col min="269" max="497" width="9.140625" style="1"/>
    <col min="498" max="498" width="1" style="1" customWidth="1"/>
    <col min="499" max="499" width="39.140625" style="1" customWidth="1"/>
    <col min="500" max="500" width="21.42578125" style="1" customWidth="1"/>
    <col min="501" max="501" width="11.28515625" style="1" customWidth="1"/>
    <col min="502" max="502" width="9.5703125" style="1" customWidth="1"/>
    <col min="503" max="503" width="13.5703125" style="1" customWidth="1"/>
    <col min="504" max="513" width="12.140625" style="1" customWidth="1"/>
    <col min="514" max="523" width="0" style="1" hidden="1" customWidth="1"/>
    <col min="524" max="524" width="14.140625" style="1" customWidth="1"/>
    <col min="525" max="753" width="9.140625" style="1"/>
    <col min="754" max="754" width="1" style="1" customWidth="1"/>
    <col min="755" max="755" width="39.140625" style="1" customWidth="1"/>
    <col min="756" max="756" width="21.42578125" style="1" customWidth="1"/>
    <col min="757" max="757" width="11.28515625" style="1" customWidth="1"/>
    <col min="758" max="758" width="9.5703125" style="1" customWidth="1"/>
    <col min="759" max="759" width="13.5703125" style="1" customWidth="1"/>
    <col min="760" max="769" width="12.140625" style="1" customWidth="1"/>
    <col min="770" max="779" width="0" style="1" hidden="1" customWidth="1"/>
    <col min="780" max="780" width="14.140625" style="1" customWidth="1"/>
    <col min="781" max="1009" width="9.140625" style="1"/>
    <col min="1010" max="1010" width="1" style="1" customWidth="1"/>
    <col min="1011" max="1011" width="39.140625" style="1" customWidth="1"/>
    <col min="1012" max="1012" width="21.42578125" style="1" customWidth="1"/>
    <col min="1013" max="1013" width="11.28515625" style="1" customWidth="1"/>
    <col min="1014" max="1014" width="9.5703125" style="1" customWidth="1"/>
    <col min="1015" max="1015" width="13.5703125" style="1" customWidth="1"/>
    <col min="1016" max="1025" width="12.140625" style="1" customWidth="1"/>
    <col min="1026" max="1035" width="0" style="1" hidden="1" customWidth="1"/>
    <col min="1036" max="1036" width="14.140625" style="1" customWidth="1"/>
    <col min="1037" max="1265" width="9.140625" style="1"/>
    <col min="1266" max="1266" width="1" style="1" customWidth="1"/>
    <col min="1267" max="1267" width="39.140625" style="1" customWidth="1"/>
    <col min="1268" max="1268" width="21.42578125" style="1" customWidth="1"/>
    <col min="1269" max="1269" width="11.28515625" style="1" customWidth="1"/>
    <col min="1270" max="1270" width="9.5703125" style="1" customWidth="1"/>
    <col min="1271" max="1271" width="13.5703125" style="1" customWidth="1"/>
    <col min="1272" max="1281" width="12.140625" style="1" customWidth="1"/>
    <col min="1282" max="1291" width="0" style="1" hidden="1" customWidth="1"/>
    <col min="1292" max="1292" width="14.140625" style="1" customWidth="1"/>
    <col min="1293" max="1521" width="9.140625" style="1"/>
    <col min="1522" max="1522" width="1" style="1" customWidth="1"/>
    <col min="1523" max="1523" width="39.140625" style="1" customWidth="1"/>
    <col min="1524" max="1524" width="21.42578125" style="1" customWidth="1"/>
    <col min="1525" max="1525" width="11.28515625" style="1" customWidth="1"/>
    <col min="1526" max="1526" width="9.5703125" style="1" customWidth="1"/>
    <col min="1527" max="1527" width="13.5703125" style="1" customWidth="1"/>
    <col min="1528" max="1537" width="12.140625" style="1" customWidth="1"/>
    <col min="1538" max="1547" width="0" style="1" hidden="1" customWidth="1"/>
    <col min="1548" max="1548" width="14.140625" style="1" customWidth="1"/>
    <col min="1549" max="1777" width="9.140625" style="1"/>
    <col min="1778" max="1778" width="1" style="1" customWidth="1"/>
    <col min="1779" max="1779" width="39.140625" style="1" customWidth="1"/>
    <col min="1780" max="1780" width="21.42578125" style="1" customWidth="1"/>
    <col min="1781" max="1781" width="11.28515625" style="1" customWidth="1"/>
    <col min="1782" max="1782" width="9.5703125" style="1" customWidth="1"/>
    <col min="1783" max="1783" width="13.5703125" style="1" customWidth="1"/>
    <col min="1784" max="1793" width="12.140625" style="1" customWidth="1"/>
    <col min="1794" max="1803" width="0" style="1" hidden="1" customWidth="1"/>
    <col min="1804" max="1804" width="14.140625" style="1" customWidth="1"/>
    <col min="1805" max="2033" width="9.140625" style="1"/>
    <col min="2034" max="2034" width="1" style="1" customWidth="1"/>
    <col min="2035" max="2035" width="39.140625" style="1" customWidth="1"/>
    <col min="2036" max="2036" width="21.42578125" style="1" customWidth="1"/>
    <col min="2037" max="2037" width="11.28515625" style="1" customWidth="1"/>
    <col min="2038" max="2038" width="9.5703125" style="1" customWidth="1"/>
    <col min="2039" max="2039" width="13.5703125" style="1" customWidth="1"/>
    <col min="2040" max="2049" width="12.140625" style="1" customWidth="1"/>
    <col min="2050" max="2059" width="0" style="1" hidden="1" customWidth="1"/>
    <col min="2060" max="2060" width="14.140625" style="1" customWidth="1"/>
    <col min="2061" max="2289" width="9.140625" style="1"/>
    <col min="2290" max="2290" width="1" style="1" customWidth="1"/>
    <col min="2291" max="2291" width="39.140625" style="1" customWidth="1"/>
    <col min="2292" max="2292" width="21.42578125" style="1" customWidth="1"/>
    <col min="2293" max="2293" width="11.28515625" style="1" customWidth="1"/>
    <col min="2294" max="2294" width="9.5703125" style="1" customWidth="1"/>
    <col min="2295" max="2295" width="13.5703125" style="1" customWidth="1"/>
    <col min="2296" max="2305" width="12.140625" style="1" customWidth="1"/>
    <col min="2306" max="2315" width="0" style="1" hidden="1" customWidth="1"/>
    <col min="2316" max="2316" width="14.140625" style="1" customWidth="1"/>
    <col min="2317" max="2545" width="9.140625" style="1"/>
    <col min="2546" max="2546" width="1" style="1" customWidth="1"/>
    <col min="2547" max="2547" width="39.140625" style="1" customWidth="1"/>
    <col min="2548" max="2548" width="21.42578125" style="1" customWidth="1"/>
    <col min="2549" max="2549" width="11.28515625" style="1" customWidth="1"/>
    <col min="2550" max="2550" width="9.5703125" style="1" customWidth="1"/>
    <col min="2551" max="2551" width="13.5703125" style="1" customWidth="1"/>
    <col min="2552" max="2561" width="12.140625" style="1" customWidth="1"/>
    <col min="2562" max="2571" width="0" style="1" hidden="1" customWidth="1"/>
    <col min="2572" max="2572" width="14.140625" style="1" customWidth="1"/>
    <col min="2573" max="2801" width="9.140625" style="1"/>
    <col min="2802" max="2802" width="1" style="1" customWidth="1"/>
    <col min="2803" max="2803" width="39.140625" style="1" customWidth="1"/>
    <col min="2804" max="2804" width="21.42578125" style="1" customWidth="1"/>
    <col min="2805" max="2805" width="11.28515625" style="1" customWidth="1"/>
    <col min="2806" max="2806" width="9.5703125" style="1" customWidth="1"/>
    <col min="2807" max="2807" width="13.5703125" style="1" customWidth="1"/>
    <col min="2808" max="2817" width="12.140625" style="1" customWidth="1"/>
    <col min="2818" max="2827" width="0" style="1" hidden="1" customWidth="1"/>
    <col min="2828" max="2828" width="14.140625" style="1" customWidth="1"/>
    <col min="2829" max="3057" width="9.140625" style="1"/>
    <col min="3058" max="3058" width="1" style="1" customWidth="1"/>
    <col min="3059" max="3059" width="39.140625" style="1" customWidth="1"/>
    <col min="3060" max="3060" width="21.42578125" style="1" customWidth="1"/>
    <col min="3061" max="3061" width="11.28515625" style="1" customWidth="1"/>
    <col min="3062" max="3062" width="9.5703125" style="1" customWidth="1"/>
    <col min="3063" max="3063" width="13.5703125" style="1" customWidth="1"/>
    <col min="3064" max="3073" width="12.140625" style="1" customWidth="1"/>
    <col min="3074" max="3083" width="0" style="1" hidden="1" customWidth="1"/>
    <col min="3084" max="3084" width="14.140625" style="1" customWidth="1"/>
    <col min="3085" max="3313" width="9.140625" style="1"/>
    <col min="3314" max="3314" width="1" style="1" customWidth="1"/>
    <col min="3315" max="3315" width="39.140625" style="1" customWidth="1"/>
    <col min="3316" max="3316" width="21.42578125" style="1" customWidth="1"/>
    <col min="3317" max="3317" width="11.28515625" style="1" customWidth="1"/>
    <col min="3318" max="3318" width="9.5703125" style="1" customWidth="1"/>
    <col min="3319" max="3319" width="13.5703125" style="1" customWidth="1"/>
    <col min="3320" max="3329" width="12.140625" style="1" customWidth="1"/>
    <col min="3330" max="3339" width="0" style="1" hidden="1" customWidth="1"/>
    <col min="3340" max="3340" width="14.140625" style="1" customWidth="1"/>
    <col min="3341" max="3569" width="9.140625" style="1"/>
    <col min="3570" max="3570" width="1" style="1" customWidth="1"/>
    <col min="3571" max="3571" width="39.140625" style="1" customWidth="1"/>
    <col min="3572" max="3572" width="21.42578125" style="1" customWidth="1"/>
    <col min="3573" max="3573" width="11.28515625" style="1" customWidth="1"/>
    <col min="3574" max="3574" width="9.5703125" style="1" customWidth="1"/>
    <col min="3575" max="3575" width="13.5703125" style="1" customWidth="1"/>
    <col min="3576" max="3585" width="12.140625" style="1" customWidth="1"/>
    <col min="3586" max="3595" width="0" style="1" hidden="1" customWidth="1"/>
    <col min="3596" max="3596" width="14.140625" style="1" customWidth="1"/>
    <col min="3597" max="3825" width="9.140625" style="1"/>
    <col min="3826" max="3826" width="1" style="1" customWidth="1"/>
    <col min="3827" max="3827" width="39.140625" style="1" customWidth="1"/>
    <col min="3828" max="3828" width="21.42578125" style="1" customWidth="1"/>
    <col min="3829" max="3829" width="11.28515625" style="1" customWidth="1"/>
    <col min="3830" max="3830" width="9.5703125" style="1" customWidth="1"/>
    <col min="3831" max="3831" width="13.5703125" style="1" customWidth="1"/>
    <col min="3832" max="3841" width="12.140625" style="1" customWidth="1"/>
    <col min="3842" max="3851" width="0" style="1" hidden="1" customWidth="1"/>
    <col min="3852" max="3852" width="14.140625" style="1" customWidth="1"/>
    <col min="3853" max="4081" width="9.140625" style="1"/>
    <col min="4082" max="4082" width="1" style="1" customWidth="1"/>
    <col min="4083" max="4083" width="39.140625" style="1" customWidth="1"/>
    <col min="4084" max="4084" width="21.42578125" style="1" customWidth="1"/>
    <col min="4085" max="4085" width="11.28515625" style="1" customWidth="1"/>
    <col min="4086" max="4086" width="9.5703125" style="1" customWidth="1"/>
    <col min="4087" max="4087" width="13.5703125" style="1" customWidth="1"/>
    <col min="4088" max="4097" width="12.140625" style="1" customWidth="1"/>
    <col min="4098" max="4107" width="0" style="1" hidden="1" customWidth="1"/>
    <col min="4108" max="4108" width="14.140625" style="1" customWidth="1"/>
    <col min="4109" max="4337" width="9.140625" style="1"/>
    <col min="4338" max="4338" width="1" style="1" customWidth="1"/>
    <col min="4339" max="4339" width="39.140625" style="1" customWidth="1"/>
    <col min="4340" max="4340" width="21.42578125" style="1" customWidth="1"/>
    <col min="4341" max="4341" width="11.28515625" style="1" customWidth="1"/>
    <col min="4342" max="4342" width="9.5703125" style="1" customWidth="1"/>
    <col min="4343" max="4343" width="13.5703125" style="1" customWidth="1"/>
    <col min="4344" max="4353" width="12.140625" style="1" customWidth="1"/>
    <col min="4354" max="4363" width="0" style="1" hidden="1" customWidth="1"/>
    <col min="4364" max="4364" width="14.140625" style="1" customWidth="1"/>
    <col min="4365" max="4593" width="9.140625" style="1"/>
    <col min="4594" max="4594" width="1" style="1" customWidth="1"/>
    <col min="4595" max="4595" width="39.140625" style="1" customWidth="1"/>
    <col min="4596" max="4596" width="21.42578125" style="1" customWidth="1"/>
    <col min="4597" max="4597" width="11.28515625" style="1" customWidth="1"/>
    <col min="4598" max="4598" width="9.5703125" style="1" customWidth="1"/>
    <col min="4599" max="4599" width="13.5703125" style="1" customWidth="1"/>
    <col min="4600" max="4609" width="12.140625" style="1" customWidth="1"/>
    <col min="4610" max="4619" width="0" style="1" hidden="1" customWidth="1"/>
    <col min="4620" max="4620" width="14.140625" style="1" customWidth="1"/>
    <col min="4621" max="4849" width="9.140625" style="1"/>
    <col min="4850" max="4850" width="1" style="1" customWidth="1"/>
    <col min="4851" max="4851" width="39.140625" style="1" customWidth="1"/>
    <col min="4852" max="4852" width="21.42578125" style="1" customWidth="1"/>
    <col min="4853" max="4853" width="11.28515625" style="1" customWidth="1"/>
    <col min="4854" max="4854" width="9.5703125" style="1" customWidth="1"/>
    <col min="4855" max="4855" width="13.5703125" style="1" customWidth="1"/>
    <col min="4856" max="4865" width="12.140625" style="1" customWidth="1"/>
    <col min="4866" max="4875" width="0" style="1" hidden="1" customWidth="1"/>
    <col min="4876" max="4876" width="14.140625" style="1" customWidth="1"/>
    <col min="4877" max="5105" width="9.140625" style="1"/>
    <col min="5106" max="5106" width="1" style="1" customWidth="1"/>
    <col min="5107" max="5107" width="39.140625" style="1" customWidth="1"/>
    <col min="5108" max="5108" width="21.42578125" style="1" customWidth="1"/>
    <col min="5109" max="5109" width="11.28515625" style="1" customWidth="1"/>
    <col min="5110" max="5110" width="9.5703125" style="1" customWidth="1"/>
    <col min="5111" max="5111" width="13.5703125" style="1" customWidth="1"/>
    <col min="5112" max="5121" width="12.140625" style="1" customWidth="1"/>
    <col min="5122" max="5131" width="0" style="1" hidden="1" customWidth="1"/>
    <col min="5132" max="5132" width="14.140625" style="1" customWidth="1"/>
    <col min="5133" max="5361" width="9.140625" style="1"/>
    <col min="5362" max="5362" width="1" style="1" customWidth="1"/>
    <col min="5363" max="5363" width="39.140625" style="1" customWidth="1"/>
    <col min="5364" max="5364" width="21.42578125" style="1" customWidth="1"/>
    <col min="5365" max="5365" width="11.28515625" style="1" customWidth="1"/>
    <col min="5366" max="5366" width="9.5703125" style="1" customWidth="1"/>
    <col min="5367" max="5367" width="13.5703125" style="1" customWidth="1"/>
    <col min="5368" max="5377" width="12.140625" style="1" customWidth="1"/>
    <col min="5378" max="5387" width="0" style="1" hidden="1" customWidth="1"/>
    <col min="5388" max="5388" width="14.140625" style="1" customWidth="1"/>
    <col min="5389" max="5617" width="9.140625" style="1"/>
    <col min="5618" max="5618" width="1" style="1" customWidth="1"/>
    <col min="5619" max="5619" width="39.140625" style="1" customWidth="1"/>
    <col min="5620" max="5620" width="21.42578125" style="1" customWidth="1"/>
    <col min="5621" max="5621" width="11.28515625" style="1" customWidth="1"/>
    <col min="5622" max="5622" width="9.5703125" style="1" customWidth="1"/>
    <col min="5623" max="5623" width="13.5703125" style="1" customWidth="1"/>
    <col min="5624" max="5633" width="12.140625" style="1" customWidth="1"/>
    <col min="5634" max="5643" width="0" style="1" hidden="1" customWidth="1"/>
    <col min="5644" max="5644" width="14.140625" style="1" customWidth="1"/>
    <col min="5645" max="5873" width="9.140625" style="1"/>
    <col min="5874" max="5874" width="1" style="1" customWidth="1"/>
    <col min="5875" max="5875" width="39.140625" style="1" customWidth="1"/>
    <col min="5876" max="5876" width="21.42578125" style="1" customWidth="1"/>
    <col min="5877" max="5877" width="11.28515625" style="1" customWidth="1"/>
    <col min="5878" max="5878" width="9.5703125" style="1" customWidth="1"/>
    <col min="5879" max="5879" width="13.5703125" style="1" customWidth="1"/>
    <col min="5880" max="5889" width="12.140625" style="1" customWidth="1"/>
    <col min="5890" max="5899" width="0" style="1" hidden="1" customWidth="1"/>
    <col min="5900" max="5900" width="14.140625" style="1" customWidth="1"/>
    <col min="5901" max="6129" width="9.140625" style="1"/>
    <col min="6130" max="6130" width="1" style="1" customWidth="1"/>
    <col min="6131" max="6131" width="39.140625" style="1" customWidth="1"/>
    <col min="6132" max="6132" width="21.42578125" style="1" customWidth="1"/>
    <col min="6133" max="6133" width="11.28515625" style="1" customWidth="1"/>
    <col min="6134" max="6134" width="9.5703125" style="1" customWidth="1"/>
    <col min="6135" max="6135" width="13.5703125" style="1" customWidth="1"/>
    <col min="6136" max="6145" width="12.140625" style="1" customWidth="1"/>
    <col min="6146" max="6155" width="0" style="1" hidden="1" customWidth="1"/>
    <col min="6156" max="6156" width="14.140625" style="1" customWidth="1"/>
    <col min="6157" max="6385" width="9.140625" style="1"/>
    <col min="6386" max="6386" width="1" style="1" customWidth="1"/>
    <col min="6387" max="6387" width="39.140625" style="1" customWidth="1"/>
    <col min="6388" max="6388" width="21.42578125" style="1" customWidth="1"/>
    <col min="6389" max="6389" width="11.28515625" style="1" customWidth="1"/>
    <col min="6390" max="6390" width="9.5703125" style="1" customWidth="1"/>
    <col min="6391" max="6391" width="13.5703125" style="1" customWidth="1"/>
    <col min="6392" max="6401" width="12.140625" style="1" customWidth="1"/>
    <col min="6402" max="6411" width="0" style="1" hidden="1" customWidth="1"/>
    <col min="6412" max="6412" width="14.140625" style="1" customWidth="1"/>
    <col min="6413" max="6641" width="9.140625" style="1"/>
    <col min="6642" max="6642" width="1" style="1" customWidth="1"/>
    <col min="6643" max="6643" width="39.140625" style="1" customWidth="1"/>
    <col min="6644" max="6644" width="21.42578125" style="1" customWidth="1"/>
    <col min="6645" max="6645" width="11.28515625" style="1" customWidth="1"/>
    <col min="6646" max="6646" width="9.5703125" style="1" customWidth="1"/>
    <col min="6647" max="6647" width="13.5703125" style="1" customWidth="1"/>
    <col min="6648" max="6657" width="12.140625" style="1" customWidth="1"/>
    <col min="6658" max="6667" width="0" style="1" hidden="1" customWidth="1"/>
    <col min="6668" max="6668" width="14.140625" style="1" customWidth="1"/>
    <col min="6669" max="6897" width="9.140625" style="1"/>
    <col min="6898" max="6898" width="1" style="1" customWidth="1"/>
    <col min="6899" max="6899" width="39.140625" style="1" customWidth="1"/>
    <col min="6900" max="6900" width="21.42578125" style="1" customWidth="1"/>
    <col min="6901" max="6901" width="11.28515625" style="1" customWidth="1"/>
    <col min="6902" max="6902" width="9.5703125" style="1" customWidth="1"/>
    <col min="6903" max="6903" width="13.5703125" style="1" customWidth="1"/>
    <col min="6904" max="6913" width="12.140625" style="1" customWidth="1"/>
    <col min="6914" max="6923" width="0" style="1" hidden="1" customWidth="1"/>
    <col min="6924" max="6924" width="14.140625" style="1" customWidth="1"/>
    <col min="6925" max="7153" width="9.140625" style="1"/>
    <col min="7154" max="7154" width="1" style="1" customWidth="1"/>
    <col min="7155" max="7155" width="39.140625" style="1" customWidth="1"/>
    <col min="7156" max="7156" width="21.42578125" style="1" customWidth="1"/>
    <col min="7157" max="7157" width="11.28515625" style="1" customWidth="1"/>
    <col min="7158" max="7158" width="9.5703125" style="1" customWidth="1"/>
    <col min="7159" max="7159" width="13.5703125" style="1" customWidth="1"/>
    <col min="7160" max="7169" width="12.140625" style="1" customWidth="1"/>
    <col min="7170" max="7179" width="0" style="1" hidden="1" customWidth="1"/>
    <col min="7180" max="7180" width="14.140625" style="1" customWidth="1"/>
    <col min="7181" max="7409" width="9.140625" style="1"/>
    <col min="7410" max="7410" width="1" style="1" customWidth="1"/>
    <col min="7411" max="7411" width="39.140625" style="1" customWidth="1"/>
    <col min="7412" max="7412" width="21.42578125" style="1" customWidth="1"/>
    <col min="7413" max="7413" width="11.28515625" style="1" customWidth="1"/>
    <col min="7414" max="7414" width="9.5703125" style="1" customWidth="1"/>
    <col min="7415" max="7415" width="13.5703125" style="1" customWidth="1"/>
    <col min="7416" max="7425" width="12.140625" style="1" customWidth="1"/>
    <col min="7426" max="7435" width="0" style="1" hidden="1" customWidth="1"/>
    <col min="7436" max="7436" width="14.140625" style="1" customWidth="1"/>
    <col min="7437" max="7665" width="9.140625" style="1"/>
    <col min="7666" max="7666" width="1" style="1" customWidth="1"/>
    <col min="7667" max="7667" width="39.140625" style="1" customWidth="1"/>
    <col min="7668" max="7668" width="21.42578125" style="1" customWidth="1"/>
    <col min="7669" max="7669" width="11.28515625" style="1" customWidth="1"/>
    <col min="7670" max="7670" width="9.5703125" style="1" customWidth="1"/>
    <col min="7671" max="7671" width="13.5703125" style="1" customWidth="1"/>
    <col min="7672" max="7681" width="12.140625" style="1" customWidth="1"/>
    <col min="7682" max="7691" width="0" style="1" hidden="1" customWidth="1"/>
    <col min="7692" max="7692" width="14.140625" style="1" customWidth="1"/>
    <col min="7693" max="7921" width="9.140625" style="1"/>
    <col min="7922" max="7922" width="1" style="1" customWidth="1"/>
    <col min="7923" max="7923" width="39.140625" style="1" customWidth="1"/>
    <col min="7924" max="7924" width="21.42578125" style="1" customWidth="1"/>
    <col min="7925" max="7925" width="11.28515625" style="1" customWidth="1"/>
    <col min="7926" max="7926" width="9.5703125" style="1" customWidth="1"/>
    <col min="7927" max="7927" width="13.5703125" style="1" customWidth="1"/>
    <col min="7928" max="7937" width="12.140625" style="1" customWidth="1"/>
    <col min="7938" max="7947" width="0" style="1" hidden="1" customWidth="1"/>
    <col min="7948" max="7948" width="14.140625" style="1" customWidth="1"/>
    <col min="7949" max="8177" width="9.140625" style="1"/>
    <col min="8178" max="8178" width="1" style="1" customWidth="1"/>
    <col min="8179" max="8179" width="39.140625" style="1" customWidth="1"/>
    <col min="8180" max="8180" width="21.42578125" style="1" customWidth="1"/>
    <col min="8181" max="8181" width="11.28515625" style="1" customWidth="1"/>
    <col min="8182" max="8182" width="9.5703125" style="1" customWidth="1"/>
    <col min="8183" max="8183" width="13.5703125" style="1" customWidth="1"/>
    <col min="8184" max="8193" width="12.140625" style="1" customWidth="1"/>
    <col min="8194" max="8203" width="0" style="1" hidden="1" customWidth="1"/>
    <col min="8204" max="8204" width="14.140625" style="1" customWidth="1"/>
    <col min="8205" max="8433" width="9.140625" style="1"/>
    <col min="8434" max="8434" width="1" style="1" customWidth="1"/>
    <col min="8435" max="8435" width="39.140625" style="1" customWidth="1"/>
    <col min="8436" max="8436" width="21.42578125" style="1" customWidth="1"/>
    <col min="8437" max="8437" width="11.28515625" style="1" customWidth="1"/>
    <col min="8438" max="8438" width="9.5703125" style="1" customWidth="1"/>
    <col min="8439" max="8439" width="13.5703125" style="1" customWidth="1"/>
    <col min="8440" max="8449" width="12.140625" style="1" customWidth="1"/>
    <col min="8450" max="8459" width="0" style="1" hidden="1" customWidth="1"/>
    <col min="8460" max="8460" width="14.140625" style="1" customWidth="1"/>
    <col min="8461" max="8689" width="9.140625" style="1"/>
    <col min="8690" max="8690" width="1" style="1" customWidth="1"/>
    <col min="8691" max="8691" width="39.140625" style="1" customWidth="1"/>
    <col min="8692" max="8692" width="21.42578125" style="1" customWidth="1"/>
    <col min="8693" max="8693" width="11.28515625" style="1" customWidth="1"/>
    <col min="8694" max="8694" width="9.5703125" style="1" customWidth="1"/>
    <col min="8695" max="8695" width="13.5703125" style="1" customWidth="1"/>
    <col min="8696" max="8705" width="12.140625" style="1" customWidth="1"/>
    <col min="8706" max="8715" width="0" style="1" hidden="1" customWidth="1"/>
    <col min="8716" max="8716" width="14.140625" style="1" customWidth="1"/>
    <col min="8717" max="8945" width="9.140625" style="1"/>
    <col min="8946" max="8946" width="1" style="1" customWidth="1"/>
    <col min="8947" max="8947" width="39.140625" style="1" customWidth="1"/>
    <col min="8948" max="8948" width="21.42578125" style="1" customWidth="1"/>
    <col min="8949" max="8949" width="11.28515625" style="1" customWidth="1"/>
    <col min="8950" max="8950" width="9.5703125" style="1" customWidth="1"/>
    <col min="8951" max="8951" width="13.5703125" style="1" customWidth="1"/>
    <col min="8952" max="8961" width="12.140625" style="1" customWidth="1"/>
    <col min="8962" max="8971" width="0" style="1" hidden="1" customWidth="1"/>
    <col min="8972" max="8972" width="14.140625" style="1" customWidth="1"/>
    <col min="8973" max="9201" width="9.140625" style="1"/>
    <col min="9202" max="9202" width="1" style="1" customWidth="1"/>
    <col min="9203" max="9203" width="39.140625" style="1" customWidth="1"/>
    <col min="9204" max="9204" width="21.42578125" style="1" customWidth="1"/>
    <col min="9205" max="9205" width="11.28515625" style="1" customWidth="1"/>
    <col min="9206" max="9206" width="9.5703125" style="1" customWidth="1"/>
    <col min="9207" max="9207" width="13.5703125" style="1" customWidth="1"/>
    <col min="9208" max="9217" width="12.140625" style="1" customWidth="1"/>
    <col min="9218" max="9227" width="0" style="1" hidden="1" customWidth="1"/>
    <col min="9228" max="9228" width="14.140625" style="1" customWidth="1"/>
    <col min="9229" max="9457" width="9.140625" style="1"/>
    <col min="9458" max="9458" width="1" style="1" customWidth="1"/>
    <col min="9459" max="9459" width="39.140625" style="1" customWidth="1"/>
    <col min="9460" max="9460" width="21.42578125" style="1" customWidth="1"/>
    <col min="9461" max="9461" width="11.28515625" style="1" customWidth="1"/>
    <col min="9462" max="9462" width="9.5703125" style="1" customWidth="1"/>
    <col min="9463" max="9463" width="13.5703125" style="1" customWidth="1"/>
    <col min="9464" max="9473" width="12.140625" style="1" customWidth="1"/>
    <col min="9474" max="9483" width="0" style="1" hidden="1" customWidth="1"/>
    <col min="9484" max="9484" width="14.140625" style="1" customWidth="1"/>
    <col min="9485" max="9713" width="9.140625" style="1"/>
    <col min="9714" max="9714" width="1" style="1" customWidth="1"/>
    <col min="9715" max="9715" width="39.140625" style="1" customWidth="1"/>
    <col min="9716" max="9716" width="21.42578125" style="1" customWidth="1"/>
    <col min="9717" max="9717" width="11.28515625" style="1" customWidth="1"/>
    <col min="9718" max="9718" width="9.5703125" style="1" customWidth="1"/>
    <col min="9719" max="9719" width="13.5703125" style="1" customWidth="1"/>
    <col min="9720" max="9729" width="12.140625" style="1" customWidth="1"/>
    <col min="9730" max="9739" width="0" style="1" hidden="1" customWidth="1"/>
    <col min="9740" max="9740" width="14.140625" style="1" customWidth="1"/>
    <col min="9741" max="9969" width="9.140625" style="1"/>
    <col min="9970" max="9970" width="1" style="1" customWidth="1"/>
    <col min="9971" max="9971" width="39.140625" style="1" customWidth="1"/>
    <col min="9972" max="9972" width="21.42578125" style="1" customWidth="1"/>
    <col min="9973" max="9973" width="11.28515625" style="1" customWidth="1"/>
    <col min="9974" max="9974" width="9.5703125" style="1" customWidth="1"/>
    <col min="9975" max="9975" width="13.5703125" style="1" customWidth="1"/>
    <col min="9976" max="9985" width="12.140625" style="1" customWidth="1"/>
    <col min="9986" max="9995" width="0" style="1" hidden="1" customWidth="1"/>
    <col min="9996" max="9996" width="14.140625" style="1" customWidth="1"/>
    <col min="9997" max="10225" width="9.140625" style="1"/>
    <col min="10226" max="10226" width="1" style="1" customWidth="1"/>
    <col min="10227" max="10227" width="39.140625" style="1" customWidth="1"/>
    <col min="10228" max="10228" width="21.42578125" style="1" customWidth="1"/>
    <col min="10229" max="10229" width="11.28515625" style="1" customWidth="1"/>
    <col min="10230" max="10230" width="9.5703125" style="1" customWidth="1"/>
    <col min="10231" max="10231" width="13.5703125" style="1" customWidth="1"/>
    <col min="10232" max="10241" width="12.140625" style="1" customWidth="1"/>
    <col min="10242" max="10251" width="0" style="1" hidden="1" customWidth="1"/>
    <col min="10252" max="10252" width="14.140625" style="1" customWidth="1"/>
    <col min="10253" max="10481" width="9.140625" style="1"/>
    <col min="10482" max="10482" width="1" style="1" customWidth="1"/>
    <col min="10483" max="10483" width="39.140625" style="1" customWidth="1"/>
    <col min="10484" max="10484" width="21.42578125" style="1" customWidth="1"/>
    <col min="10485" max="10485" width="11.28515625" style="1" customWidth="1"/>
    <col min="10486" max="10486" width="9.5703125" style="1" customWidth="1"/>
    <col min="10487" max="10487" width="13.5703125" style="1" customWidth="1"/>
    <col min="10488" max="10497" width="12.140625" style="1" customWidth="1"/>
    <col min="10498" max="10507" width="0" style="1" hidden="1" customWidth="1"/>
    <col min="10508" max="10508" width="14.140625" style="1" customWidth="1"/>
    <col min="10509" max="10737" width="9.140625" style="1"/>
    <col min="10738" max="10738" width="1" style="1" customWidth="1"/>
    <col min="10739" max="10739" width="39.140625" style="1" customWidth="1"/>
    <col min="10740" max="10740" width="21.42578125" style="1" customWidth="1"/>
    <col min="10741" max="10741" width="11.28515625" style="1" customWidth="1"/>
    <col min="10742" max="10742" width="9.5703125" style="1" customWidth="1"/>
    <col min="10743" max="10743" width="13.5703125" style="1" customWidth="1"/>
    <col min="10744" max="10753" width="12.140625" style="1" customWidth="1"/>
    <col min="10754" max="10763" width="0" style="1" hidden="1" customWidth="1"/>
    <col min="10764" max="10764" width="14.140625" style="1" customWidth="1"/>
    <col min="10765" max="10993" width="9.140625" style="1"/>
    <col min="10994" max="10994" width="1" style="1" customWidth="1"/>
    <col min="10995" max="10995" width="39.140625" style="1" customWidth="1"/>
    <col min="10996" max="10996" width="21.42578125" style="1" customWidth="1"/>
    <col min="10997" max="10997" width="11.28515625" style="1" customWidth="1"/>
    <col min="10998" max="10998" width="9.5703125" style="1" customWidth="1"/>
    <col min="10999" max="10999" width="13.5703125" style="1" customWidth="1"/>
    <col min="11000" max="11009" width="12.140625" style="1" customWidth="1"/>
    <col min="11010" max="11019" width="0" style="1" hidden="1" customWidth="1"/>
    <col min="11020" max="11020" width="14.140625" style="1" customWidth="1"/>
    <col min="11021" max="11249" width="9.140625" style="1"/>
    <col min="11250" max="11250" width="1" style="1" customWidth="1"/>
    <col min="11251" max="11251" width="39.140625" style="1" customWidth="1"/>
    <col min="11252" max="11252" width="21.42578125" style="1" customWidth="1"/>
    <col min="11253" max="11253" width="11.28515625" style="1" customWidth="1"/>
    <col min="11254" max="11254" width="9.5703125" style="1" customWidth="1"/>
    <col min="11255" max="11255" width="13.5703125" style="1" customWidth="1"/>
    <col min="11256" max="11265" width="12.140625" style="1" customWidth="1"/>
    <col min="11266" max="11275" width="0" style="1" hidden="1" customWidth="1"/>
    <col min="11276" max="11276" width="14.140625" style="1" customWidth="1"/>
    <col min="11277" max="11505" width="9.140625" style="1"/>
    <col min="11506" max="11506" width="1" style="1" customWidth="1"/>
    <col min="11507" max="11507" width="39.140625" style="1" customWidth="1"/>
    <col min="11508" max="11508" width="21.42578125" style="1" customWidth="1"/>
    <col min="11509" max="11509" width="11.28515625" style="1" customWidth="1"/>
    <col min="11510" max="11510" width="9.5703125" style="1" customWidth="1"/>
    <col min="11511" max="11511" width="13.5703125" style="1" customWidth="1"/>
    <col min="11512" max="11521" width="12.140625" style="1" customWidth="1"/>
    <col min="11522" max="11531" width="0" style="1" hidden="1" customWidth="1"/>
    <col min="11532" max="11532" width="14.140625" style="1" customWidth="1"/>
    <col min="11533" max="11761" width="9.140625" style="1"/>
    <col min="11762" max="11762" width="1" style="1" customWidth="1"/>
    <col min="11763" max="11763" width="39.140625" style="1" customWidth="1"/>
    <col min="11764" max="11764" width="21.42578125" style="1" customWidth="1"/>
    <col min="11765" max="11765" width="11.28515625" style="1" customWidth="1"/>
    <col min="11766" max="11766" width="9.5703125" style="1" customWidth="1"/>
    <col min="11767" max="11767" width="13.5703125" style="1" customWidth="1"/>
    <col min="11768" max="11777" width="12.140625" style="1" customWidth="1"/>
    <col min="11778" max="11787" width="0" style="1" hidden="1" customWidth="1"/>
    <col min="11788" max="11788" width="14.140625" style="1" customWidth="1"/>
    <col min="11789" max="12017" width="9.140625" style="1"/>
    <col min="12018" max="12018" width="1" style="1" customWidth="1"/>
    <col min="12019" max="12019" width="39.140625" style="1" customWidth="1"/>
    <col min="12020" max="12020" width="21.42578125" style="1" customWidth="1"/>
    <col min="12021" max="12021" width="11.28515625" style="1" customWidth="1"/>
    <col min="12022" max="12022" width="9.5703125" style="1" customWidth="1"/>
    <col min="12023" max="12023" width="13.5703125" style="1" customWidth="1"/>
    <col min="12024" max="12033" width="12.140625" style="1" customWidth="1"/>
    <col min="12034" max="12043" width="0" style="1" hidden="1" customWidth="1"/>
    <col min="12044" max="12044" width="14.140625" style="1" customWidth="1"/>
    <col min="12045" max="12273" width="9.140625" style="1"/>
    <col min="12274" max="12274" width="1" style="1" customWidth="1"/>
    <col min="12275" max="12275" width="39.140625" style="1" customWidth="1"/>
    <col min="12276" max="12276" width="21.42578125" style="1" customWidth="1"/>
    <col min="12277" max="12277" width="11.28515625" style="1" customWidth="1"/>
    <col min="12278" max="12278" width="9.5703125" style="1" customWidth="1"/>
    <col min="12279" max="12279" width="13.5703125" style="1" customWidth="1"/>
    <col min="12280" max="12289" width="12.140625" style="1" customWidth="1"/>
    <col min="12290" max="12299" width="0" style="1" hidden="1" customWidth="1"/>
    <col min="12300" max="12300" width="14.140625" style="1" customWidth="1"/>
    <col min="12301" max="12529" width="9.140625" style="1"/>
    <col min="12530" max="12530" width="1" style="1" customWidth="1"/>
    <col min="12531" max="12531" width="39.140625" style="1" customWidth="1"/>
    <col min="12532" max="12532" width="21.42578125" style="1" customWidth="1"/>
    <col min="12533" max="12533" width="11.28515625" style="1" customWidth="1"/>
    <col min="12534" max="12534" width="9.5703125" style="1" customWidth="1"/>
    <col min="12535" max="12535" width="13.5703125" style="1" customWidth="1"/>
    <col min="12536" max="12545" width="12.140625" style="1" customWidth="1"/>
    <col min="12546" max="12555" width="0" style="1" hidden="1" customWidth="1"/>
    <col min="12556" max="12556" width="14.140625" style="1" customWidth="1"/>
    <col min="12557" max="12785" width="9.140625" style="1"/>
    <col min="12786" max="12786" width="1" style="1" customWidth="1"/>
    <col min="12787" max="12787" width="39.140625" style="1" customWidth="1"/>
    <col min="12788" max="12788" width="21.42578125" style="1" customWidth="1"/>
    <col min="12789" max="12789" width="11.28515625" style="1" customWidth="1"/>
    <col min="12790" max="12790" width="9.5703125" style="1" customWidth="1"/>
    <col min="12791" max="12791" width="13.5703125" style="1" customWidth="1"/>
    <col min="12792" max="12801" width="12.140625" style="1" customWidth="1"/>
    <col min="12802" max="12811" width="0" style="1" hidden="1" customWidth="1"/>
    <col min="12812" max="12812" width="14.140625" style="1" customWidth="1"/>
    <col min="12813" max="13041" width="9.140625" style="1"/>
    <col min="13042" max="13042" width="1" style="1" customWidth="1"/>
    <col min="13043" max="13043" width="39.140625" style="1" customWidth="1"/>
    <col min="13044" max="13044" width="21.42578125" style="1" customWidth="1"/>
    <col min="13045" max="13045" width="11.28515625" style="1" customWidth="1"/>
    <col min="13046" max="13046" width="9.5703125" style="1" customWidth="1"/>
    <col min="13047" max="13047" width="13.5703125" style="1" customWidth="1"/>
    <col min="13048" max="13057" width="12.140625" style="1" customWidth="1"/>
    <col min="13058" max="13067" width="0" style="1" hidden="1" customWidth="1"/>
    <col min="13068" max="13068" width="14.140625" style="1" customWidth="1"/>
    <col min="13069" max="13297" width="9.140625" style="1"/>
    <col min="13298" max="13298" width="1" style="1" customWidth="1"/>
    <col min="13299" max="13299" width="39.140625" style="1" customWidth="1"/>
    <col min="13300" max="13300" width="21.42578125" style="1" customWidth="1"/>
    <col min="13301" max="13301" width="11.28515625" style="1" customWidth="1"/>
    <col min="13302" max="13302" width="9.5703125" style="1" customWidth="1"/>
    <col min="13303" max="13303" width="13.5703125" style="1" customWidth="1"/>
    <col min="13304" max="13313" width="12.140625" style="1" customWidth="1"/>
    <col min="13314" max="13323" width="0" style="1" hidden="1" customWidth="1"/>
    <col min="13324" max="13324" width="14.140625" style="1" customWidth="1"/>
    <col min="13325" max="13553" width="9.140625" style="1"/>
    <col min="13554" max="13554" width="1" style="1" customWidth="1"/>
    <col min="13555" max="13555" width="39.140625" style="1" customWidth="1"/>
    <col min="13556" max="13556" width="21.42578125" style="1" customWidth="1"/>
    <col min="13557" max="13557" width="11.28515625" style="1" customWidth="1"/>
    <col min="13558" max="13558" width="9.5703125" style="1" customWidth="1"/>
    <col min="13559" max="13559" width="13.5703125" style="1" customWidth="1"/>
    <col min="13560" max="13569" width="12.140625" style="1" customWidth="1"/>
    <col min="13570" max="13579" width="0" style="1" hidden="1" customWidth="1"/>
    <col min="13580" max="13580" width="14.140625" style="1" customWidth="1"/>
    <col min="13581" max="13809" width="9.140625" style="1"/>
    <col min="13810" max="13810" width="1" style="1" customWidth="1"/>
    <col min="13811" max="13811" width="39.140625" style="1" customWidth="1"/>
    <col min="13812" max="13812" width="21.42578125" style="1" customWidth="1"/>
    <col min="13813" max="13813" width="11.28515625" style="1" customWidth="1"/>
    <col min="13814" max="13814" width="9.5703125" style="1" customWidth="1"/>
    <col min="13815" max="13815" width="13.5703125" style="1" customWidth="1"/>
    <col min="13816" max="13825" width="12.140625" style="1" customWidth="1"/>
    <col min="13826" max="13835" width="0" style="1" hidden="1" customWidth="1"/>
    <col min="13836" max="13836" width="14.140625" style="1" customWidth="1"/>
    <col min="13837" max="14065" width="9.140625" style="1"/>
    <col min="14066" max="14066" width="1" style="1" customWidth="1"/>
    <col min="14067" max="14067" width="39.140625" style="1" customWidth="1"/>
    <col min="14068" max="14068" width="21.42578125" style="1" customWidth="1"/>
    <col min="14069" max="14069" width="11.28515625" style="1" customWidth="1"/>
    <col min="14070" max="14070" width="9.5703125" style="1" customWidth="1"/>
    <col min="14071" max="14071" width="13.5703125" style="1" customWidth="1"/>
    <col min="14072" max="14081" width="12.140625" style="1" customWidth="1"/>
    <col min="14082" max="14091" width="0" style="1" hidden="1" customWidth="1"/>
    <col min="14092" max="14092" width="14.140625" style="1" customWidth="1"/>
    <col min="14093" max="14321" width="9.140625" style="1"/>
    <col min="14322" max="14322" width="1" style="1" customWidth="1"/>
    <col min="14323" max="14323" width="39.140625" style="1" customWidth="1"/>
    <col min="14324" max="14324" width="21.42578125" style="1" customWidth="1"/>
    <col min="14325" max="14325" width="11.28515625" style="1" customWidth="1"/>
    <col min="14326" max="14326" width="9.5703125" style="1" customWidth="1"/>
    <col min="14327" max="14327" width="13.5703125" style="1" customWidth="1"/>
    <col min="14328" max="14337" width="12.140625" style="1" customWidth="1"/>
    <col min="14338" max="14347" width="0" style="1" hidden="1" customWidth="1"/>
    <col min="14348" max="14348" width="14.140625" style="1" customWidth="1"/>
    <col min="14349" max="14577" width="9.140625" style="1"/>
    <col min="14578" max="14578" width="1" style="1" customWidth="1"/>
    <col min="14579" max="14579" width="39.140625" style="1" customWidth="1"/>
    <col min="14580" max="14580" width="21.42578125" style="1" customWidth="1"/>
    <col min="14581" max="14581" width="11.28515625" style="1" customWidth="1"/>
    <col min="14582" max="14582" width="9.5703125" style="1" customWidth="1"/>
    <col min="14583" max="14583" width="13.5703125" style="1" customWidth="1"/>
    <col min="14584" max="14593" width="12.140625" style="1" customWidth="1"/>
    <col min="14594" max="14603" width="0" style="1" hidden="1" customWidth="1"/>
    <col min="14604" max="14604" width="14.140625" style="1" customWidth="1"/>
    <col min="14605" max="14833" width="9.140625" style="1"/>
    <col min="14834" max="14834" width="1" style="1" customWidth="1"/>
    <col min="14835" max="14835" width="39.140625" style="1" customWidth="1"/>
    <col min="14836" max="14836" width="21.42578125" style="1" customWidth="1"/>
    <col min="14837" max="14837" width="11.28515625" style="1" customWidth="1"/>
    <col min="14838" max="14838" width="9.5703125" style="1" customWidth="1"/>
    <col min="14839" max="14839" width="13.5703125" style="1" customWidth="1"/>
    <col min="14840" max="14849" width="12.140625" style="1" customWidth="1"/>
    <col min="14850" max="14859" width="0" style="1" hidden="1" customWidth="1"/>
    <col min="14860" max="14860" width="14.140625" style="1" customWidth="1"/>
    <col min="14861" max="15089" width="9.140625" style="1"/>
    <col min="15090" max="15090" width="1" style="1" customWidth="1"/>
    <col min="15091" max="15091" width="39.140625" style="1" customWidth="1"/>
    <col min="15092" max="15092" width="21.42578125" style="1" customWidth="1"/>
    <col min="15093" max="15093" width="11.28515625" style="1" customWidth="1"/>
    <col min="15094" max="15094" width="9.5703125" style="1" customWidth="1"/>
    <col min="15095" max="15095" width="13.5703125" style="1" customWidth="1"/>
    <col min="15096" max="15105" width="12.140625" style="1" customWidth="1"/>
    <col min="15106" max="15115" width="0" style="1" hidden="1" customWidth="1"/>
    <col min="15116" max="15116" width="14.140625" style="1" customWidth="1"/>
    <col min="15117" max="15345" width="9.140625" style="1"/>
    <col min="15346" max="15346" width="1" style="1" customWidth="1"/>
    <col min="15347" max="15347" width="39.140625" style="1" customWidth="1"/>
    <col min="15348" max="15348" width="21.42578125" style="1" customWidth="1"/>
    <col min="15349" max="15349" width="11.28515625" style="1" customWidth="1"/>
    <col min="15350" max="15350" width="9.5703125" style="1" customWidth="1"/>
    <col min="15351" max="15351" width="13.5703125" style="1" customWidth="1"/>
    <col min="15352" max="15361" width="12.140625" style="1" customWidth="1"/>
    <col min="15362" max="15371" width="0" style="1" hidden="1" customWidth="1"/>
    <col min="15372" max="15372" width="14.140625" style="1" customWidth="1"/>
    <col min="15373" max="15601" width="9.140625" style="1"/>
    <col min="15602" max="15602" width="1" style="1" customWidth="1"/>
    <col min="15603" max="15603" width="39.140625" style="1" customWidth="1"/>
    <col min="15604" max="15604" width="21.42578125" style="1" customWidth="1"/>
    <col min="15605" max="15605" width="11.28515625" style="1" customWidth="1"/>
    <col min="15606" max="15606" width="9.5703125" style="1" customWidth="1"/>
    <col min="15607" max="15607" width="13.5703125" style="1" customWidth="1"/>
    <col min="15608" max="15617" width="12.140625" style="1" customWidth="1"/>
    <col min="15618" max="15627" width="0" style="1" hidden="1" customWidth="1"/>
    <col min="15628" max="15628" width="14.140625" style="1" customWidth="1"/>
    <col min="15629" max="15857" width="9.140625" style="1"/>
    <col min="15858" max="15858" width="1" style="1" customWidth="1"/>
    <col min="15859" max="15859" width="39.140625" style="1" customWidth="1"/>
    <col min="15860" max="15860" width="21.42578125" style="1" customWidth="1"/>
    <col min="15861" max="15861" width="11.28515625" style="1" customWidth="1"/>
    <col min="15862" max="15862" width="9.5703125" style="1" customWidth="1"/>
    <col min="15863" max="15863" width="13.5703125" style="1" customWidth="1"/>
    <col min="15864" max="15873" width="12.140625" style="1" customWidth="1"/>
    <col min="15874" max="15883" width="0" style="1" hidden="1" customWidth="1"/>
    <col min="15884" max="15884" width="14.140625" style="1" customWidth="1"/>
    <col min="15885" max="16113" width="9.140625" style="1"/>
    <col min="16114" max="16114" width="1" style="1" customWidth="1"/>
    <col min="16115" max="16115" width="39.140625" style="1" customWidth="1"/>
    <col min="16116" max="16116" width="21.42578125" style="1" customWidth="1"/>
    <col min="16117" max="16117" width="11.28515625" style="1" customWidth="1"/>
    <col min="16118" max="16118" width="9.5703125" style="1" customWidth="1"/>
    <col min="16119" max="16119" width="13.5703125" style="1" customWidth="1"/>
    <col min="16120" max="16129" width="12.140625" style="1" customWidth="1"/>
    <col min="16130" max="16139" width="0" style="1" hidden="1" customWidth="1"/>
    <col min="16140" max="16140" width="14.140625" style="1" customWidth="1"/>
    <col min="16141" max="16384" width="9.140625" style="1"/>
  </cols>
  <sheetData>
    <row r="1" spans="1:14" s="2" customFormat="1" ht="22.5" customHeight="1">
      <c r="A1" s="77" t="s">
        <v>105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2.75" customHeight="1"/>
    <row r="3" spans="1:14" ht="12.75" customHeight="1"/>
    <row r="4" spans="1:14" ht="42" customHeight="1">
      <c r="A4" s="78" t="s">
        <v>0</v>
      </c>
      <c r="B4" s="78" t="s">
        <v>1</v>
      </c>
      <c r="C4" s="78" t="s">
        <v>2</v>
      </c>
      <c r="D4" s="78" t="s">
        <v>3</v>
      </c>
      <c r="E4" s="78"/>
      <c r="F4" s="78" t="s">
        <v>4</v>
      </c>
      <c r="G4" s="79" t="s">
        <v>113</v>
      </c>
      <c r="H4" s="79"/>
      <c r="I4" s="79"/>
      <c r="J4" s="79"/>
      <c r="K4" s="79"/>
      <c r="L4" s="79"/>
      <c r="M4" s="80"/>
      <c r="N4" s="78" t="s">
        <v>5</v>
      </c>
    </row>
    <row r="5" spans="1:14" s="13" customFormat="1" ht="23.25" customHeight="1">
      <c r="A5" s="78"/>
      <c r="B5" s="78"/>
      <c r="C5" s="78"/>
      <c r="D5" s="54" t="s">
        <v>6</v>
      </c>
      <c r="E5" s="54" t="s">
        <v>7</v>
      </c>
      <c r="F5" s="78"/>
      <c r="G5" s="47">
        <v>2022</v>
      </c>
      <c r="H5" s="17">
        <v>2023</v>
      </c>
      <c r="I5" s="17">
        <v>2024</v>
      </c>
      <c r="J5" s="17">
        <v>2025</v>
      </c>
      <c r="K5" s="17">
        <v>2026</v>
      </c>
      <c r="L5" s="17">
        <v>2027</v>
      </c>
      <c r="M5" s="17">
        <v>2028</v>
      </c>
      <c r="N5" s="78"/>
    </row>
    <row r="6" spans="1:14" s="63" customFormat="1" ht="15" customHeight="1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62">
        <v>9</v>
      </c>
      <c r="H6" s="5">
        <v>10</v>
      </c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</row>
    <row r="7" spans="1:14" s="4" customFormat="1" ht="18.75" customHeight="1">
      <c r="A7" s="51" t="s">
        <v>8</v>
      </c>
      <c r="B7" s="84" t="s">
        <v>9</v>
      </c>
      <c r="C7" s="84"/>
      <c r="D7" s="84"/>
      <c r="E7" s="84"/>
      <c r="F7" s="6">
        <f t="shared" ref="F7:N7" si="0">SUM(F10,F23,F26)</f>
        <v>121809440</v>
      </c>
      <c r="G7" s="36">
        <f t="shared" si="0"/>
        <v>18268541</v>
      </c>
      <c r="H7" s="6">
        <f t="shared" si="0"/>
        <v>54837893</v>
      </c>
      <c r="I7" s="6">
        <f t="shared" si="0"/>
        <v>27963269</v>
      </c>
      <c r="J7" s="6">
        <f t="shared" si="0"/>
        <v>2122180</v>
      </c>
      <c r="K7" s="6">
        <f t="shared" si="0"/>
        <v>2572180</v>
      </c>
      <c r="L7" s="6">
        <f t="shared" si="0"/>
        <v>2000000</v>
      </c>
      <c r="M7" s="6">
        <f t="shared" si="0"/>
        <v>3150000</v>
      </c>
      <c r="N7" s="6">
        <f t="shared" si="0"/>
        <v>110914063</v>
      </c>
    </row>
    <row r="8" spans="1:14" s="4" customFormat="1" ht="18.75" customHeight="1">
      <c r="A8" s="51" t="s">
        <v>10</v>
      </c>
      <c r="B8" s="84" t="s">
        <v>11</v>
      </c>
      <c r="C8" s="84"/>
      <c r="D8" s="84"/>
      <c r="E8" s="84"/>
      <c r="F8" s="6">
        <f t="shared" ref="F8:N8" si="1">SUM(F11,F24,F27)</f>
        <v>14199530</v>
      </c>
      <c r="G8" s="36">
        <f t="shared" si="1"/>
        <v>3496118</v>
      </c>
      <c r="H8" s="6">
        <f t="shared" si="1"/>
        <v>5498823</v>
      </c>
      <c r="I8" s="6">
        <f t="shared" si="1"/>
        <v>1196643</v>
      </c>
      <c r="J8" s="6">
        <f t="shared" si="1"/>
        <v>422180</v>
      </c>
      <c r="K8" s="6">
        <f t="shared" si="1"/>
        <v>422180</v>
      </c>
      <c r="L8" s="6">
        <f t="shared" si="1"/>
        <v>0</v>
      </c>
      <c r="M8" s="6">
        <f t="shared" si="1"/>
        <v>0</v>
      </c>
      <c r="N8" s="6">
        <f t="shared" si="1"/>
        <v>11035944</v>
      </c>
    </row>
    <row r="9" spans="1:14" s="4" customFormat="1" ht="18.75" customHeight="1">
      <c r="A9" s="51" t="s">
        <v>12</v>
      </c>
      <c r="B9" s="84" t="s">
        <v>13</v>
      </c>
      <c r="C9" s="84"/>
      <c r="D9" s="84"/>
      <c r="E9" s="84"/>
      <c r="F9" s="6">
        <f>SUM(F21,F25,F33)</f>
        <v>107609910</v>
      </c>
      <c r="G9" s="36">
        <f t="shared" ref="G9:N9" si="2">SUM(G21,G25,G33)</f>
        <v>14772423</v>
      </c>
      <c r="H9" s="6">
        <f t="shared" si="2"/>
        <v>49339070</v>
      </c>
      <c r="I9" s="6">
        <f t="shared" si="2"/>
        <v>26766626</v>
      </c>
      <c r="J9" s="6">
        <f t="shared" si="2"/>
        <v>1700000</v>
      </c>
      <c r="K9" s="6">
        <f t="shared" si="2"/>
        <v>2150000</v>
      </c>
      <c r="L9" s="6">
        <f t="shared" si="2"/>
        <v>2000000</v>
      </c>
      <c r="M9" s="6">
        <f t="shared" si="2"/>
        <v>3150000</v>
      </c>
      <c r="N9" s="6">
        <f t="shared" si="2"/>
        <v>99878119</v>
      </c>
    </row>
    <row r="10" spans="1:14" s="8" customFormat="1" ht="54.75" customHeight="1">
      <c r="A10" s="51" t="s">
        <v>14</v>
      </c>
      <c r="B10" s="84" t="s">
        <v>94</v>
      </c>
      <c r="C10" s="84"/>
      <c r="D10" s="84"/>
      <c r="E10" s="84"/>
      <c r="F10" s="7">
        <f t="shared" ref="F10:N10" si="3">SUM(F11,F21)</f>
        <v>4418853</v>
      </c>
      <c r="G10" s="37">
        <f t="shared" si="3"/>
        <v>1541789</v>
      </c>
      <c r="H10" s="7">
        <f t="shared" si="3"/>
        <v>401189</v>
      </c>
      <c r="I10" s="7">
        <f t="shared" si="3"/>
        <v>0</v>
      </c>
      <c r="J10" s="7">
        <f t="shared" si="3"/>
        <v>0</v>
      </c>
      <c r="K10" s="7">
        <f t="shared" si="3"/>
        <v>0</v>
      </c>
      <c r="L10" s="7">
        <f t="shared" si="3"/>
        <v>0</v>
      </c>
      <c r="M10" s="7">
        <f t="shared" si="3"/>
        <v>0</v>
      </c>
      <c r="N10" s="7">
        <f t="shared" si="3"/>
        <v>1942978</v>
      </c>
    </row>
    <row r="11" spans="1:14" s="4" customFormat="1" ht="18.75" customHeight="1">
      <c r="A11" s="51" t="s">
        <v>15</v>
      </c>
      <c r="B11" s="84" t="s">
        <v>11</v>
      </c>
      <c r="C11" s="84"/>
      <c r="D11" s="84"/>
      <c r="E11" s="84"/>
      <c r="F11" s="36">
        <f>SUM(F12:F20)</f>
        <v>4118471</v>
      </c>
      <c r="G11" s="36">
        <f t="shared" ref="G11:N11" si="4">SUM(G12:G20)</f>
        <v>1501429</v>
      </c>
      <c r="H11" s="36">
        <f t="shared" si="4"/>
        <v>401189</v>
      </c>
      <c r="I11" s="36">
        <f t="shared" si="4"/>
        <v>0</v>
      </c>
      <c r="J11" s="36">
        <f t="shared" si="4"/>
        <v>0</v>
      </c>
      <c r="K11" s="36">
        <f t="shared" si="4"/>
        <v>0</v>
      </c>
      <c r="L11" s="36">
        <f t="shared" si="4"/>
        <v>0</v>
      </c>
      <c r="M11" s="36">
        <f t="shared" si="4"/>
        <v>0</v>
      </c>
      <c r="N11" s="36">
        <f t="shared" si="4"/>
        <v>1902618</v>
      </c>
    </row>
    <row r="12" spans="1:14" s="22" customFormat="1" ht="42" customHeight="1">
      <c r="A12" s="18" t="s">
        <v>99</v>
      </c>
      <c r="B12" s="19" t="s">
        <v>118</v>
      </c>
      <c r="C12" s="20" t="s">
        <v>72</v>
      </c>
      <c r="D12" s="18">
        <v>2019</v>
      </c>
      <c r="E12" s="18">
        <v>2022</v>
      </c>
      <c r="F12" s="23">
        <f>805245+4</f>
        <v>805249</v>
      </c>
      <c r="G12" s="21">
        <v>174224</v>
      </c>
      <c r="H12" s="21"/>
      <c r="I12" s="21"/>
      <c r="J12" s="21"/>
      <c r="K12" s="21"/>
      <c r="L12" s="21"/>
      <c r="M12" s="21"/>
      <c r="N12" s="23">
        <f t="shared" ref="N12:N20" si="5">SUM(G12:L12)</f>
        <v>174224</v>
      </c>
    </row>
    <row r="13" spans="1:14" s="22" customFormat="1" ht="42" customHeight="1">
      <c r="A13" s="18" t="s">
        <v>67</v>
      </c>
      <c r="B13" s="19" t="s">
        <v>71</v>
      </c>
      <c r="C13" s="20" t="s">
        <v>17</v>
      </c>
      <c r="D13" s="18">
        <v>2019</v>
      </c>
      <c r="E13" s="18">
        <v>2022</v>
      </c>
      <c r="F13" s="23">
        <f>830404+2</f>
        <v>830406</v>
      </c>
      <c r="G13" s="21">
        <f>59621+5331+116214</f>
        <v>181166</v>
      </c>
      <c r="H13" s="21"/>
      <c r="I13" s="21"/>
      <c r="J13" s="21"/>
      <c r="K13" s="21"/>
      <c r="L13" s="21"/>
      <c r="M13" s="21"/>
      <c r="N13" s="23">
        <f t="shared" si="5"/>
        <v>181166</v>
      </c>
    </row>
    <row r="14" spans="1:14" s="22" customFormat="1" ht="42.75" customHeight="1">
      <c r="A14" s="18" t="s">
        <v>68</v>
      </c>
      <c r="B14" s="19" t="s">
        <v>74</v>
      </c>
      <c r="C14" s="20" t="s">
        <v>17</v>
      </c>
      <c r="D14" s="18">
        <v>2019</v>
      </c>
      <c r="E14" s="18">
        <v>2022</v>
      </c>
      <c r="F14" s="23">
        <v>641116</v>
      </c>
      <c r="G14" s="21">
        <f>133226+4771</f>
        <v>137997</v>
      </c>
      <c r="H14" s="21"/>
      <c r="I14" s="21"/>
      <c r="J14" s="21"/>
      <c r="K14" s="21"/>
      <c r="L14" s="21"/>
      <c r="M14" s="21"/>
      <c r="N14" s="23">
        <f t="shared" si="5"/>
        <v>137997</v>
      </c>
    </row>
    <row r="15" spans="1:14" s="22" customFormat="1" ht="42" customHeight="1">
      <c r="A15" s="18" t="s">
        <v>18</v>
      </c>
      <c r="B15" s="58" t="s">
        <v>81</v>
      </c>
      <c r="C15" s="20" t="s">
        <v>17</v>
      </c>
      <c r="D15" s="55">
        <v>2020</v>
      </c>
      <c r="E15" s="55">
        <v>2022</v>
      </c>
      <c r="F15" s="56">
        <f>256153+1</f>
        <v>256154</v>
      </c>
      <c r="G15" s="59">
        <f>51231+48489</f>
        <v>99720</v>
      </c>
      <c r="H15" s="59"/>
      <c r="I15" s="59"/>
      <c r="J15" s="59"/>
      <c r="K15" s="59"/>
      <c r="L15" s="59"/>
      <c r="M15" s="59"/>
      <c r="N15" s="23">
        <f t="shared" si="5"/>
        <v>99720</v>
      </c>
    </row>
    <row r="16" spans="1:14" s="22" customFormat="1" ht="47.25" customHeight="1">
      <c r="A16" s="18" t="s">
        <v>19</v>
      </c>
      <c r="B16" s="60" t="s">
        <v>82</v>
      </c>
      <c r="C16" s="33" t="s">
        <v>83</v>
      </c>
      <c r="D16" s="34">
        <v>2020</v>
      </c>
      <c r="E16" s="34">
        <v>2022</v>
      </c>
      <c r="F16" s="57">
        <v>132789</v>
      </c>
      <c r="G16" s="35">
        <f>27864+71853</f>
        <v>99717</v>
      </c>
      <c r="H16" s="35"/>
      <c r="I16" s="35"/>
      <c r="J16" s="35"/>
      <c r="K16" s="35"/>
      <c r="L16" s="35"/>
      <c r="M16" s="35"/>
      <c r="N16" s="23">
        <f t="shared" si="5"/>
        <v>99717</v>
      </c>
    </row>
    <row r="17" spans="1:14" s="22" customFormat="1" ht="47.25" customHeight="1">
      <c r="A17" s="18" t="s">
        <v>69</v>
      </c>
      <c r="B17" s="60" t="s">
        <v>115</v>
      </c>
      <c r="C17" s="33" t="s">
        <v>116</v>
      </c>
      <c r="D17" s="34">
        <v>2020</v>
      </c>
      <c r="E17" s="34">
        <v>2022</v>
      </c>
      <c r="F17" s="57">
        <v>96733</v>
      </c>
      <c r="G17" s="35">
        <v>31220</v>
      </c>
      <c r="H17" s="35"/>
      <c r="I17" s="35"/>
      <c r="J17" s="35"/>
      <c r="K17" s="35"/>
      <c r="L17" s="35"/>
      <c r="M17" s="35"/>
      <c r="N17" s="57">
        <f t="shared" si="5"/>
        <v>31220</v>
      </c>
    </row>
    <row r="18" spans="1:14" s="22" customFormat="1" ht="35.25" customHeight="1">
      <c r="A18" s="18" t="s">
        <v>70</v>
      </c>
      <c r="B18" s="19" t="s">
        <v>90</v>
      </c>
      <c r="C18" s="20" t="s">
        <v>16</v>
      </c>
      <c r="D18" s="18">
        <v>2020</v>
      </c>
      <c r="E18" s="18">
        <v>2022</v>
      </c>
      <c r="F18" s="23">
        <v>526702</v>
      </c>
      <c r="G18" s="21">
        <v>366616</v>
      </c>
      <c r="H18" s="21"/>
      <c r="I18" s="21"/>
      <c r="J18" s="21"/>
      <c r="K18" s="21"/>
      <c r="L18" s="21"/>
      <c r="M18" s="21"/>
      <c r="N18" s="23">
        <f t="shared" si="5"/>
        <v>366616</v>
      </c>
    </row>
    <row r="19" spans="1:14" s="22" customFormat="1" ht="42.75" customHeight="1">
      <c r="A19" s="18" t="s">
        <v>117</v>
      </c>
      <c r="B19" s="19" t="s">
        <v>96</v>
      </c>
      <c r="C19" s="20" t="s">
        <v>16</v>
      </c>
      <c r="D19" s="18">
        <v>2021</v>
      </c>
      <c r="E19" s="18">
        <v>2023</v>
      </c>
      <c r="F19" s="23">
        <v>687736</v>
      </c>
      <c r="G19" s="21">
        <f>243333+56230</f>
        <v>299563</v>
      </c>
      <c r="H19" s="21">
        <v>370809</v>
      </c>
      <c r="I19" s="21"/>
      <c r="J19" s="21"/>
      <c r="K19" s="21"/>
      <c r="L19" s="21"/>
      <c r="M19" s="21"/>
      <c r="N19" s="23">
        <f t="shared" si="5"/>
        <v>670372</v>
      </c>
    </row>
    <row r="20" spans="1:14" s="68" customFormat="1" ht="42.75" customHeight="1">
      <c r="A20" s="70" t="s">
        <v>127</v>
      </c>
      <c r="B20" s="65" t="s">
        <v>128</v>
      </c>
      <c r="C20" s="66" t="s">
        <v>129</v>
      </c>
      <c r="D20" s="69">
        <v>2022</v>
      </c>
      <c r="E20" s="69">
        <v>2023</v>
      </c>
      <c r="F20" s="71">
        <v>141586</v>
      </c>
      <c r="G20" s="67">
        <v>111206</v>
      </c>
      <c r="H20" s="67">
        <v>30380</v>
      </c>
      <c r="I20" s="67"/>
      <c r="J20" s="67"/>
      <c r="K20" s="67"/>
      <c r="L20" s="67"/>
      <c r="M20" s="67"/>
      <c r="N20" s="72">
        <f t="shared" si="5"/>
        <v>141586</v>
      </c>
    </row>
    <row r="21" spans="1:14" s="24" customFormat="1" ht="22.5" customHeight="1">
      <c r="A21" s="52" t="s">
        <v>20</v>
      </c>
      <c r="B21" s="85" t="s">
        <v>13</v>
      </c>
      <c r="C21" s="85"/>
      <c r="D21" s="85"/>
      <c r="E21" s="85"/>
      <c r="F21" s="64">
        <f t="shared" ref="F21:N21" si="6">SUM(F22:F22)</f>
        <v>300382</v>
      </c>
      <c r="G21" s="64">
        <f t="shared" si="6"/>
        <v>40360</v>
      </c>
      <c r="H21" s="36">
        <f t="shared" si="6"/>
        <v>0</v>
      </c>
      <c r="I21" s="36">
        <f t="shared" si="6"/>
        <v>0</v>
      </c>
      <c r="J21" s="36">
        <f t="shared" si="6"/>
        <v>0</v>
      </c>
      <c r="K21" s="36">
        <f t="shared" si="6"/>
        <v>0</v>
      </c>
      <c r="L21" s="36">
        <f t="shared" si="6"/>
        <v>0</v>
      </c>
      <c r="M21" s="36">
        <f t="shared" si="6"/>
        <v>0</v>
      </c>
      <c r="N21" s="36">
        <f t="shared" si="6"/>
        <v>40360</v>
      </c>
    </row>
    <row r="22" spans="1:14" s="32" customFormat="1" ht="53.25" customHeight="1">
      <c r="A22" s="156" t="s">
        <v>86</v>
      </c>
      <c r="B22" s="157" t="s">
        <v>88</v>
      </c>
      <c r="C22" s="158" t="s">
        <v>21</v>
      </c>
      <c r="D22" s="159">
        <v>2016</v>
      </c>
      <c r="E22" s="159">
        <v>2022</v>
      </c>
      <c r="F22" s="160">
        <f>322117+15179+5285+19885-8000+21733+1-62560-13258</f>
        <v>300382</v>
      </c>
      <c r="G22" s="161">
        <f>21733+1+31884-13258</f>
        <v>40360</v>
      </c>
      <c r="H22" s="161"/>
      <c r="I22" s="161"/>
      <c r="J22" s="161"/>
      <c r="K22" s="161"/>
      <c r="L22" s="161"/>
      <c r="M22" s="161"/>
      <c r="N22" s="160">
        <f>SUM(G22:M22)</f>
        <v>40360</v>
      </c>
    </row>
    <row r="23" spans="1:14" s="38" customFormat="1" ht="33.75" customHeight="1">
      <c r="A23" s="52" t="s">
        <v>22</v>
      </c>
      <c r="B23" s="81" t="s">
        <v>23</v>
      </c>
      <c r="C23" s="82"/>
      <c r="D23" s="82"/>
      <c r="E23" s="83"/>
      <c r="F23" s="37">
        <f t="shared" ref="F23:N23" si="7">SUM(F24:F25)</f>
        <v>0</v>
      </c>
      <c r="G23" s="37">
        <f t="shared" si="7"/>
        <v>0</v>
      </c>
      <c r="H23" s="37">
        <f t="shared" si="7"/>
        <v>0</v>
      </c>
      <c r="I23" s="37">
        <f t="shared" si="7"/>
        <v>0</v>
      </c>
      <c r="J23" s="37">
        <f t="shared" si="7"/>
        <v>0</v>
      </c>
      <c r="K23" s="37">
        <f t="shared" si="7"/>
        <v>0</v>
      </c>
      <c r="L23" s="37">
        <f t="shared" si="7"/>
        <v>0</v>
      </c>
      <c r="M23" s="37">
        <f t="shared" si="7"/>
        <v>0</v>
      </c>
      <c r="N23" s="37">
        <f t="shared" si="7"/>
        <v>0</v>
      </c>
    </row>
    <row r="24" spans="1:14" s="38" customFormat="1" ht="18.75" customHeight="1">
      <c r="A24" s="52" t="s">
        <v>24</v>
      </c>
      <c r="B24" s="81" t="s">
        <v>11</v>
      </c>
      <c r="C24" s="82"/>
      <c r="D24" s="82"/>
      <c r="E24" s="83"/>
      <c r="F24" s="37">
        <v>0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7">
        <v>0</v>
      </c>
      <c r="M24" s="37">
        <v>0</v>
      </c>
      <c r="N24" s="37">
        <v>0</v>
      </c>
    </row>
    <row r="25" spans="1:14" s="38" customFormat="1" ht="18.75" customHeight="1">
      <c r="A25" s="52" t="s">
        <v>25</v>
      </c>
      <c r="B25" s="81" t="s">
        <v>13</v>
      </c>
      <c r="C25" s="82"/>
      <c r="D25" s="82"/>
      <c r="E25" s="83"/>
      <c r="F25" s="37">
        <v>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</row>
    <row r="26" spans="1:14" s="38" customFormat="1" ht="28.5" customHeight="1">
      <c r="A26" s="52" t="s">
        <v>26</v>
      </c>
      <c r="B26" s="81" t="s">
        <v>27</v>
      </c>
      <c r="C26" s="82"/>
      <c r="D26" s="82"/>
      <c r="E26" s="83"/>
      <c r="F26" s="37">
        <f t="shared" ref="F26:N26" si="8">SUM(F27,F33)</f>
        <v>117390587</v>
      </c>
      <c r="G26" s="37">
        <f t="shared" si="8"/>
        <v>16726752</v>
      </c>
      <c r="H26" s="37">
        <f t="shared" si="8"/>
        <v>54436704</v>
      </c>
      <c r="I26" s="37">
        <f t="shared" si="8"/>
        <v>27963269</v>
      </c>
      <c r="J26" s="37">
        <f t="shared" si="8"/>
        <v>2122180</v>
      </c>
      <c r="K26" s="37">
        <f t="shared" si="8"/>
        <v>2572180</v>
      </c>
      <c r="L26" s="37">
        <f t="shared" si="8"/>
        <v>2000000</v>
      </c>
      <c r="M26" s="37">
        <f t="shared" si="8"/>
        <v>3150000</v>
      </c>
      <c r="N26" s="37">
        <f t="shared" si="8"/>
        <v>108971085</v>
      </c>
    </row>
    <row r="27" spans="1:14" s="38" customFormat="1" ht="18.75" customHeight="1">
      <c r="A27" s="52" t="s">
        <v>28</v>
      </c>
      <c r="B27" s="81" t="s">
        <v>11</v>
      </c>
      <c r="C27" s="82"/>
      <c r="D27" s="82"/>
      <c r="E27" s="83"/>
      <c r="F27" s="37">
        <f>SUM(F28:F32)</f>
        <v>10081059</v>
      </c>
      <c r="G27" s="37">
        <f t="shared" ref="G27:N27" si="9">SUM(G28:G32)</f>
        <v>1994689</v>
      </c>
      <c r="H27" s="37">
        <f t="shared" si="9"/>
        <v>5097634</v>
      </c>
      <c r="I27" s="37">
        <f t="shared" si="9"/>
        <v>1196643</v>
      </c>
      <c r="J27" s="37">
        <f t="shared" si="9"/>
        <v>422180</v>
      </c>
      <c r="K27" s="37">
        <f t="shared" si="9"/>
        <v>422180</v>
      </c>
      <c r="L27" s="37">
        <f t="shared" si="9"/>
        <v>0</v>
      </c>
      <c r="M27" s="37">
        <f t="shared" si="9"/>
        <v>0</v>
      </c>
      <c r="N27" s="37">
        <f t="shared" si="9"/>
        <v>9133326</v>
      </c>
    </row>
    <row r="28" spans="1:14" s="22" customFormat="1" ht="36" customHeight="1">
      <c r="A28" s="18" t="s">
        <v>29</v>
      </c>
      <c r="B28" s="19" t="s">
        <v>30</v>
      </c>
      <c r="C28" s="20" t="s">
        <v>21</v>
      </c>
      <c r="D28" s="18">
        <v>2017</v>
      </c>
      <c r="E28" s="18">
        <v>2022</v>
      </c>
      <c r="F28" s="23">
        <f>240000+5000+100000+105000+110000+50000+52500+55400</f>
        <v>717900</v>
      </c>
      <c r="G28" s="21">
        <f>110000+55400</f>
        <v>165400</v>
      </c>
      <c r="H28" s="21"/>
      <c r="I28" s="21"/>
      <c r="J28" s="21"/>
      <c r="K28" s="21"/>
      <c r="L28" s="21"/>
      <c r="M28" s="21"/>
      <c r="N28" s="23">
        <f>SUM(G28:M28)</f>
        <v>165400</v>
      </c>
    </row>
    <row r="29" spans="1:14" s="22" customFormat="1" ht="70.5" customHeight="1">
      <c r="A29" s="18" t="s">
        <v>31</v>
      </c>
      <c r="B29" s="19" t="s">
        <v>87</v>
      </c>
      <c r="C29" s="20" t="s">
        <v>16</v>
      </c>
      <c r="D29" s="18">
        <v>2021</v>
      </c>
      <c r="E29" s="18">
        <v>2024</v>
      </c>
      <c r="F29" s="23">
        <f>2710622</f>
        <v>2710622</v>
      </c>
      <c r="G29" s="21">
        <v>774463</v>
      </c>
      <c r="H29" s="21">
        <v>774463</v>
      </c>
      <c r="I29" s="21">
        <v>774463</v>
      </c>
      <c r="J29" s="21"/>
      <c r="K29" s="21"/>
      <c r="L29" s="21"/>
      <c r="M29" s="21"/>
      <c r="N29" s="23">
        <f>SUM(G29:M29)</f>
        <v>2323389</v>
      </c>
    </row>
    <row r="30" spans="1:14" s="29" customFormat="1" ht="70.5" customHeight="1">
      <c r="A30" s="18" t="s">
        <v>73</v>
      </c>
      <c r="B30" s="27" t="s">
        <v>95</v>
      </c>
      <c r="C30" s="20" t="s">
        <v>21</v>
      </c>
      <c r="D30" s="18">
        <v>2021</v>
      </c>
      <c r="E30" s="18">
        <v>2023</v>
      </c>
      <c r="F30" s="23">
        <v>30000</v>
      </c>
      <c r="G30" s="21">
        <v>10000</v>
      </c>
      <c r="H30" s="21">
        <v>12000</v>
      </c>
      <c r="I30" s="21"/>
      <c r="J30" s="21"/>
      <c r="K30" s="21"/>
      <c r="L30" s="21"/>
      <c r="M30" s="23"/>
      <c r="N30" s="23">
        <f>SUM(G30:M30)</f>
        <v>22000</v>
      </c>
    </row>
    <row r="31" spans="1:14" s="29" customFormat="1" ht="60" customHeight="1">
      <c r="A31" s="18" t="s">
        <v>124</v>
      </c>
      <c r="B31" s="61" t="s">
        <v>122</v>
      </c>
      <c r="C31" s="33" t="s">
        <v>123</v>
      </c>
      <c r="D31" s="34">
        <v>2022</v>
      </c>
      <c r="E31" s="34">
        <v>2026</v>
      </c>
      <c r="F31" s="57">
        <v>2017752</v>
      </c>
      <c r="G31" s="35">
        <v>371250</v>
      </c>
      <c r="H31" s="35">
        <v>379962</v>
      </c>
      <c r="I31" s="35">
        <v>422180</v>
      </c>
      <c r="J31" s="35">
        <v>422180</v>
      </c>
      <c r="K31" s="35">
        <v>422180</v>
      </c>
      <c r="L31" s="35"/>
      <c r="M31" s="35"/>
      <c r="N31" s="23">
        <f>SUM(G31:M31)</f>
        <v>2017752</v>
      </c>
    </row>
    <row r="32" spans="1:14" s="29" customFormat="1" ht="60" customHeight="1">
      <c r="A32" s="18" t="s">
        <v>132</v>
      </c>
      <c r="B32" s="61" t="s">
        <v>133</v>
      </c>
      <c r="C32" s="40" t="s">
        <v>34</v>
      </c>
      <c r="D32" s="34">
        <v>2022</v>
      </c>
      <c r="E32" s="34">
        <v>2023</v>
      </c>
      <c r="F32" s="57">
        <v>4604785</v>
      </c>
      <c r="G32" s="35">
        <v>673576</v>
      </c>
      <c r="H32" s="35">
        <v>3931209</v>
      </c>
      <c r="I32" s="35"/>
      <c r="J32" s="35"/>
      <c r="K32" s="35"/>
      <c r="L32" s="35"/>
      <c r="M32" s="35"/>
      <c r="N32" s="23">
        <f>SUM(G32:M32)</f>
        <v>4604785</v>
      </c>
    </row>
    <row r="33" spans="1:14" s="38" customFormat="1" ht="27" customHeight="1">
      <c r="A33" s="52" t="s">
        <v>32</v>
      </c>
      <c r="B33" s="81" t="s">
        <v>13</v>
      </c>
      <c r="C33" s="82"/>
      <c r="D33" s="82"/>
      <c r="E33" s="83"/>
      <c r="F33" s="37">
        <f>SUM(F34:F66)</f>
        <v>107309528</v>
      </c>
      <c r="G33" s="37">
        <f t="shared" ref="G33:N33" si="10">SUM(G34:G66)</f>
        <v>14732063</v>
      </c>
      <c r="H33" s="37">
        <f t="shared" si="10"/>
        <v>49339070</v>
      </c>
      <c r="I33" s="37">
        <f t="shared" si="10"/>
        <v>26766626</v>
      </c>
      <c r="J33" s="37">
        <f t="shared" si="10"/>
        <v>1700000</v>
      </c>
      <c r="K33" s="37">
        <f t="shared" si="10"/>
        <v>2150000</v>
      </c>
      <c r="L33" s="37">
        <f t="shared" si="10"/>
        <v>2000000</v>
      </c>
      <c r="M33" s="37">
        <f t="shared" si="10"/>
        <v>3150000</v>
      </c>
      <c r="N33" s="37">
        <f t="shared" si="10"/>
        <v>99837759</v>
      </c>
    </row>
    <row r="34" spans="1:14" s="76" customFormat="1" ht="65.25" customHeight="1">
      <c r="A34" s="10" t="s">
        <v>33</v>
      </c>
      <c r="B34" s="9" t="s">
        <v>108</v>
      </c>
      <c r="C34" s="15" t="s">
        <v>21</v>
      </c>
      <c r="D34" s="14">
        <v>2021</v>
      </c>
      <c r="E34" s="14">
        <v>2024</v>
      </c>
      <c r="F34" s="28">
        <f>70000+240000+200000</f>
        <v>510000</v>
      </c>
      <c r="G34" s="16">
        <f>240000-80000</f>
        <v>160000</v>
      </c>
      <c r="H34" s="16">
        <f>100000+80000</f>
        <v>180000</v>
      </c>
      <c r="I34" s="16">
        <v>100000</v>
      </c>
      <c r="J34" s="16"/>
      <c r="K34" s="16"/>
      <c r="L34" s="16"/>
      <c r="M34" s="16"/>
      <c r="N34" s="11">
        <f t="shared" ref="N34:N42" si="11">SUM(G34:M34)</f>
        <v>440000</v>
      </c>
    </row>
    <row r="35" spans="1:14" s="30" customFormat="1" ht="46.5" customHeight="1">
      <c r="A35" s="112" t="s">
        <v>35</v>
      </c>
      <c r="B35" s="113" t="s">
        <v>109</v>
      </c>
      <c r="C35" s="114" t="s">
        <v>21</v>
      </c>
      <c r="D35" s="115">
        <v>2021</v>
      </c>
      <c r="E35" s="115">
        <v>2023</v>
      </c>
      <c r="F35" s="116">
        <v>5700000</v>
      </c>
      <c r="G35" s="117">
        <f>4490000-194776-2412513</f>
        <v>1882711</v>
      </c>
      <c r="H35" s="118">
        <v>2412513</v>
      </c>
      <c r="I35" s="118"/>
      <c r="J35" s="118"/>
      <c r="K35" s="118"/>
      <c r="L35" s="118"/>
      <c r="M35" s="118"/>
      <c r="N35" s="116">
        <f t="shared" si="11"/>
        <v>4295224</v>
      </c>
    </row>
    <row r="36" spans="1:14" s="30" customFormat="1" ht="45.75" customHeight="1">
      <c r="A36" s="10" t="s">
        <v>36</v>
      </c>
      <c r="B36" s="9" t="s">
        <v>110</v>
      </c>
      <c r="C36" s="25" t="s">
        <v>111</v>
      </c>
      <c r="D36" s="10">
        <v>2021</v>
      </c>
      <c r="E36" s="10">
        <v>2022</v>
      </c>
      <c r="F36" s="11">
        <f>720000+600000</f>
        <v>1320000</v>
      </c>
      <c r="G36" s="21">
        <v>600000</v>
      </c>
      <c r="H36" s="12"/>
      <c r="I36" s="12"/>
      <c r="J36" s="12"/>
      <c r="K36" s="12"/>
      <c r="L36" s="12"/>
      <c r="M36" s="12"/>
      <c r="N36" s="11">
        <f t="shared" si="11"/>
        <v>600000</v>
      </c>
    </row>
    <row r="37" spans="1:14" s="32" customFormat="1" ht="42" customHeight="1">
      <c r="A37" s="53" t="s">
        <v>84</v>
      </c>
      <c r="B37" s="119" t="s">
        <v>125</v>
      </c>
      <c r="C37" s="120" t="s">
        <v>62</v>
      </c>
      <c r="D37" s="10">
        <v>2018</v>
      </c>
      <c r="E37" s="10">
        <v>2024</v>
      </c>
      <c r="F37" s="11">
        <f>11000000+84332+323000+4500000+200000+1273800+86440</f>
        <v>17467572</v>
      </c>
      <c r="G37" s="23">
        <f>4000000-1077000-2000000+1273800-2176812</f>
        <v>19988</v>
      </c>
      <c r="H37" s="11">
        <f>5350000+3050000+200000+81626</f>
        <v>8681626</v>
      </c>
      <c r="I37" s="11">
        <f>4500000+2000000+2181626</f>
        <v>8681626</v>
      </c>
      <c r="J37" s="11"/>
      <c r="K37" s="111"/>
      <c r="L37" s="111"/>
      <c r="M37" s="111"/>
      <c r="N37" s="11">
        <f t="shared" si="11"/>
        <v>17383240</v>
      </c>
    </row>
    <row r="38" spans="1:14" s="39" customFormat="1" ht="45.75" customHeight="1">
      <c r="A38" s="10" t="s">
        <v>37</v>
      </c>
      <c r="B38" s="121" t="s">
        <v>66</v>
      </c>
      <c r="C38" s="122" t="s">
        <v>34</v>
      </c>
      <c r="D38" s="10">
        <v>2015</v>
      </c>
      <c r="E38" s="10">
        <v>2023</v>
      </c>
      <c r="F38" s="11">
        <f>1349861+500000-100000-8361+100000-150000</f>
        <v>1691500</v>
      </c>
      <c r="G38" s="21"/>
      <c r="H38" s="111">
        <v>350000</v>
      </c>
      <c r="I38" s="111"/>
      <c r="J38" s="111"/>
      <c r="K38" s="111"/>
      <c r="L38" s="111"/>
      <c r="M38" s="111"/>
      <c r="N38" s="11">
        <f t="shared" si="11"/>
        <v>350000</v>
      </c>
    </row>
    <row r="39" spans="1:14" s="31" customFormat="1" ht="46.5" customHeight="1">
      <c r="A39" s="53" t="s">
        <v>38</v>
      </c>
      <c r="B39" s="109" t="s">
        <v>41</v>
      </c>
      <c r="C39" s="123" t="s">
        <v>34</v>
      </c>
      <c r="D39" s="41">
        <v>2017</v>
      </c>
      <c r="E39" s="41">
        <v>2023</v>
      </c>
      <c r="F39" s="42">
        <f>248413</f>
        <v>248413</v>
      </c>
      <c r="G39" s="48"/>
      <c r="H39" s="124">
        <v>220000</v>
      </c>
      <c r="I39" s="124"/>
      <c r="J39" s="124"/>
      <c r="K39" s="124"/>
      <c r="L39" s="124"/>
      <c r="M39" s="124"/>
      <c r="N39" s="11">
        <f t="shared" si="11"/>
        <v>220000</v>
      </c>
    </row>
    <row r="40" spans="1:14" s="31" customFormat="1" ht="39.75" customHeight="1">
      <c r="A40" s="10" t="s">
        <v>39</v>
      </c>
      <c r="B40" s="121" t="s">
        <v>52</v>
      </c>
      <c r="C40" s="122" t="s">
        <v>34</v>
      </c>
      <c r="D40" s="10">
        <v>2017</v>
      </c>
      <c r="E40" s="10">
        <v>2028</v>
      </c>
      <c r="F40" s="11">
        <f>700000+500000-10396</f>
        <v>1189604</v>
      </c>
      <c r="G40" s="21"/>
      <c r="H40" s="111"/>
      <c r="I40" s="111">
        <v>150000</v>
      </c>
      <c r="J40" s="111">
        <v>150000</v>
      </c>
      <c r="K40" s="111">
        <v>150000</v>
      </c>
      <c r="L40" s="111"/>
      <c r="M40" s="111">
        <v>150000</v>
      </c>
      <c r="N40" s="11">
        <f t="shared" si="11"/>
        <v>600000</v>
      </c>
    </row>
    <row r="41" spans="1:14" s="31" customFormat="1" ht="36" customHeight="1">
      <c r="A41" s="53" t="s">
        <v>40</v>
      </c>
      <c r="B41" s="125" t="s">
        <v>60</v>
      </c>
      <c r="C41" s="126" t="s">
        <v>34</v>
      </c>
      <c r="D41" s="43">
        <v>2017</v>
      </c>
      <c r="E41" s="43">
        <v>2025</v>
      </c>
      <c r="F41" s="44">
        <v>845000</v>
      </c>
      <c r="G41" s="49"/>
      <c r="H41" s="127"/>
      <c r="I41" s="127">
        <v>300000</v>
      </c>
      <c r="J41" s="127">
        <v>250000</v>
      </c>
      <c r="K41" s="127"/>
      <c r="L41" s="127"/>
      <c r="M41" s="127"/>
      <c r="N41" s="11">
        <f t="shared" si="11"/>
        <v>550000</v>
      </c>
    </row>
    <row r="42" spans="1:14" s="31" customFormat="1" ht="36.75" customHeight="1">
      <c r="A42" s="10" t="s">
        <v>42</v>
      </c>
      <c r="B42" s="128" t="s">
        <v>65</v>
      </c>
      <c r="C42" s="110" t="s">
        <v>34</v>
      </c>
      <c r="D42" s="14">
        <v>2017</v>
      </c>
      <c r="E42" s="14">
        <v>2024</v>
      </c>
      <c r="F42" s="28">
        <v>850000</v>
      </c>
      <c r="G42" s="35"/>
      <c r="H42" s="129"/>
      <c r="I42" s="129">
        <v>550000</v>
      </c>
      <c r="J42" s="129"/>
      <c r="K42" s="129"/>
      <c r="L42" s="129"/>
      <c r="M42" s="129"/>
      <c r="N42" s="11">
        <f t="shared" si="11"/>
        <v>550000</v>
      </c>
    </row>
    <row r="43" spans="1:14" s="132" customFormat="1" ht="50.25" customHeight="1">
      <c r="A43" s="53" t="s">
        <v>43</v>
      </c>
      <c r="B43" s="130" t="s">
        <v>134</v>
      </c>
      <c r="C43" s="131" t="s">
        <v>34</v>
      </c>
      <c r="D43" s="10">
        <v>2018</v>
      </c>
      <c r="E43" s="10">
        <v>2025</v>
      </c>
      <c r="F43" s="11">
        <f>2818338+150000+35000</f>
        <v>3003338</v>
      </c>
      <c r="G43" s="21">
        <f>240000+60000</f>
        <v>300000</v>
      </c>
      <c r="H43" s="111">
        <f>2020000+90000+35000</f>
        <v>2145000</v>
      </c>
      <c r="I43" s="111">
        <v>0</v>
      </c>
      <c r="J43" s="111">
        <v>0</v>
      </c>
      <c r="K43" s="111"/>
      <c r="L43" s="111"/>
      <c r="M43" s="111"/>
      <c r="N43" s="11">
        <f t="shared" ref="N43:N44" si="12">SUM(G43:M43)</f>
        <v>2445000</v>
      </c>
    </row>
    <row r="44" spans="1:14" s="32" customFormat="1" ht="122.25" customHeight="1">
      <c r="A44" s="10" t="s">
        <v>44</v>
      </c>
      <c r="B44" s="27" t="s">
        <v>85</v>
      </c>
      <c r="C44" s="20" t="s">
        <v>92</v>
      </c>
      <c r="D44" s="18">
        <v>2020</v>
      </c>
      <c r="E44" s="18">
        <v>2024</v>
      </c>
      <c r="F44" s="23">
        <v>2500000</v>
      </c>
      <c r="G44" s="21">
        <v>0</v>
      </c>
      <c r="H44" s="21">
        <f>1000000+1000000</f>
        <v>2000000</v>
      </c>
      <c r="I44" s="74">
        <v>500000</v>
      </c>
      <c r="J44" s="75"/>
      <c r="K44" s="75"/>
      <c r="L44" s="75"/>
      <c r="M44" s="75"/>
      <c r="N44" s="23">
        <f t="shared" si="12"/>
        <v>2500000</v>
      </c>
    </row>
    <row r="45" spans="1:14" s="26" customFormat="1" ht="40.5" customHeight="1">
      <c r="A45" s="53" t="s">
        <v>45</v>
      </c>
      <c r="B45" s="133" t="s">
        <v>76</v>
      </c>
      <c r="C45" s="134" t="s">
        <v>75</v>
      </c>
      <c r="D45" s="45">
        <v>2020</v>
      </c>
      <c r="E45" s="45">
        <v>2024</v>
      </c>
      <c r="F45" s="46">
        <f>1500000+49765</f>
        <v>1549765</v>
      </c>
      <c r="G45" s="50">
        <f>80000+49765</f>
        <v>129765</v>
      </c>
      <c r="H45" s="135">
        <v>420000</v>
      </c>
      <c r="I45" s="135">
        <v>100000</v>
      </c>
      <c r="J45" s="135"/>
      <c r="K45" s="135"/>
      <c r="L45" s="135"/>
      <c r="M45" s="135"/>
      <c r="N45" s="11">
        <f>SUM(G45:M45)</f>
        <v>649765</v>
      </c>
    </row>
    <row r="46" spans="1:14" s="26" customFormat="1" ht="48.75" customHeight="1">
      <c r="A46" s="10" t="s">
        <v>46</v>
      </c>
      <c r="B46" s="133" t="s">
        <v>77</v>
      </c>
      <c r="C46" s="134" t="s">
        <v>75</v>
      </c>
      <c r="D46" s="45">
        <v>2020</v>
      </c>
      <c r="E46" s="45">
        <v>2028</v>
      </c>
      <c r="F46" s="46">
        <f>2252000+9000000-2252000</f>
        <v>9000000</v>
      </c>
      <c r="G46" s="50"/>
      <c r="H46" s="135"/>
      <c r="I46" s="135">
        <v>1000000</v>
      </c>
      <c r="J46" s="135">
        <v>1000000</v>
      </c>
      <c r="K46" s="135">
        <v>2000000</v>
      </c>
      <c r="L46" s="135">
        <v>2000000</v>
      </c>
      <c r="M46" s="135">
        <v>3000000</v>
      </c>
      <c r="N46" s="11">
        <f>SUM(G46:M46)</f>
        <v>9000000</v>
      </c>
    </row>
    <row r="47" spans="1:14" s="90" customFormat="1" ht="37.5" customHeight="1">
      <c r="A47" s="86" t="s">
        <v>47</v>
      </c>
      <c r="B47" s="136" t="s">
        <v>89</v>
      </c>
      <c r="C47" s="137" t="s">
        <v>75</v>
      </c>
      <c r="D47" s="87">
        <v>2020</v>
      </c>
      <c r="E47" s="87">
        <v>2024</v>
      </c>
      <c r="F47" s="138">
        <v>0</v>
      </c>
      <c r="G47" s="88"/>
      <c r="H47" s="138">
        <v>0</v>
      </c>
      <c r="I47" s="138">
        <v>0</v>
      </c>
      <c r="J47" s="138"/>
      <c r="K47" s="138"/>
      <c r="L47" s="138"/>
      <c r="M47" s="138"/>
      <c r="N47" s="89">
        <f>SUM(G47:M47)</f>
        <v>0</v>
      </c>
    </row>
    <row r="48" spans="1:14" s="90" customFormat="1" ht="51" customHeight="1">
      <c r="A48" s="97" t="s">
        <v>48</v>
      </c>
      <c r="B48" s="136" t="s">
        <v>78</v>
      </c>
      <c r="C48" s="137" t="s">
        <v>75</v>
      </c>
      <c r="D48" s="87">
        <v>2020</v>
      </c>
      <c r="E48" s="87">
        <v>2023</v>
      </c>
      <c r="F48" s="91">
        <f>350000-350000</f>
        <v>0</v>
      </c>
      <c r="G48" s="88"/>
      <c r="H48" s="91">
        <v>0</v>
      </c>
      <c r="I48" s="138"/>
      <c r="J48" s="138"/>
      <c r="K48" s="138"/>
      <c r="L48" s="138"/>
      <c r="M48" s="138"/>
      <c r="N48" s="89">
        <f>SUM(G48:M48)</f>
        <v>0</v>
      </c>
    </row>
    <row r="49" spans="1:14" s="90" customFormat="1" ht="32.25" customHeight="1">
      <c r="A49" s="86" t="s">
        <v>49</v>
      </c>
      <c r="B49" s="136" t="s">
        <v>79</v>
      </c>
      <c r="C49" s="137" t="s">
        <v>75</v>
      </c>
      <c r="D49" s="87">
        <v>2019</v>
      </c>
      <c r="E49" s="87">
        <v>2025</v>
      </c>
      <c r="F49" s="91">
        <v>350000</v>
      </c>
      <c r="G49" s="88"/>
      <c r="H49" s="138"/>
      <c r="I49" s="138">
        <v>100000</v>
      </c>
      <c r="J49" s="138">
        <v>100000</v>
      </c>
      <c r="K49" s="138"/>
      <c r="L49" s="138"/>
      <c r="M49" s="138"/>
      <c r="N49" s="89">
        <f t="shared" ref="N49:N66" si="13">SUM(G49:M49)</f>
        <v>200000</v>
      </c>
    </row>
    <row r="50" spans="1:14" s="92" customFormat="1" ht="39" customHeight="1">
      <c r="A50" s="97" t="s">
        <v>50</v>
      </c>
      <c r="B50" s="136" t="s">
        <v>80</v>
      </c>
      <c r="C50" s="137" t="s">
        <v>75</v>
      </c>
      <c r="D50" s="87">
        <v>2020</v>
      </c>
      <c r="E50" s="87">
        <v>2025</v>
      </c>
      <c r="F50" s="91">
        <f>700000+50000-200000</f>
        <v>550000</v>
      </c>
      <c r="G50" s="88"/>
      <c r="H50" s="138">
        <f>200000-200000</f>
        <v>0</v>
      </c>
      <c r="I50" s="138">
        <v>200000</v>
      </c>
      <c r="J50" s="138">
        <v>200000</v>
      </c>
      <c r="K50" s="138"/>
      <c r="L50" s="138"/>
      <c r="M50" s="138"/>
      <c r="N50" s="89">
        <f t="shared" si="13"/>
        <v>400000</v>
      </c>
    </row>
    <row r="51" spans="1:14" s="100" customFormat="1" ht="36.75" customHeight="1">
      <c r="A51" s="86" t="s">
        <v>51</v>
      </c>
      <c r="B51" s="139" t="s">
        <v>91</v>
      </c>
      <c r="C51" s="140" t="s">
        <v>75</v>
      </c>
      <c r="D51" s="93">
        <v>2020</v>
      </c>
      <c r="E51" s="93">
        <v>2022</v>
      </c>
      <c r="F51" s="94">
        <f>1000000-150000+56000-48723-305878+96465+3535+9730</f>
        <v>661129</v>
      </c>
      <c r="G51" s="95">
        <f>300000+9730</f>
        <v>309730</v>
      </c>
      <c r="H51" s="141"/>
      <c r="I51" s="141"/>
      <c r="J51" s="141"/>
      <c r="K51" s="96"/>
      <c r="L51" s="96"/>
      <c r="M51" s="96"/>
      <c r="N51" s="89">
        <f t="shared" si="13"/>
        <v>309730</v>
      </c>
    </row>
    <row r="52" spans="1:14" s="100" customFormat="1" ht="45.75" customHeight="1">
      <c r="A52" s="97" t="s">
        <v>53</v>
      </c>
      <c r="B52" s="139" t="s">
        <v>93</v>
      </c>
      <c r="C52" s="140" t="s">
        <v>75</v>
      </c>
      <c r="D52" s="93">
        <v>2020</v>
      </c>
      <c r="E52" s="93">
        <v>2023</v>
      </c>
      <c r="F52" s="94">
        <f>3659900+1000000</f>
        <v>4659900</v>
      </c>
      <c r="G52" s="95">
        <f>1000000-899001</f>
        <v>100999</v>
      </c>
      <c r="H52" s="142">
        <f>3500000+899001</f>
        <v>4399001</v>
      </c>
      <c r="I52" s="96"/>
      <c r="J52" s="96"/>
      <c r="K52" s="96"/>
      <c r="L52" s="96"/>
      <c r="M52" s="96"/>
      <c r="N52" s="89">
        <f t="shared" si="13"/>
        <v>4500000</v>
      </c>
    </row>
    <row r="53" spans="1:14" s="100" customFormat="1" ht="50.25" customHeight="1">
      <c r="A53" s="86" t="s">
        <v>54</v>
      </c>
      <c r="B53" s="143" t="s">
        <v>97</v>
      </c>
      <c r="C53" s="144" t="s">
        <v>75</v>
      </c>
      <c r="D53" s="97">
        <v>2019</v>
      </c>
      <c r="E53" s="97">
        <v>2022</v>
      </c>
      <c r="F53" s="89">
        <f>5500000+221775+15000+6000-8</f>
        <v>5742767</v>
      </c>
      <c r="G53" s="98">
        <f>4500000+6000+1000000</f>
        <v>5506000</v>
      </c>
      <c r="H53" s="99"/>
      <c r="I53" s="99"/>
      <c r="J53" s="99"/>
      <c r="K53" s="99"/>
      <c r="L53" s="99"/>
      <c r="M53" s="99"/>
      <c r="N53" s="89">
        <f t="shared" si="13"/>
        <v>5506000</v>
      </c>
    </row>
    <row r="54" spans="1:14" s="90" customFormat="1" ht="51.75" customHeight="1">
      <c r="A54" s="97" t="s">
        <v>55</v>
      </c>
      <c r="B54" s="145" t="s">
        <v>112</v>
      </c>
      <c r="C54" s="144" t="s">
        <v>75</v>
      </c>
      <c r="D54" s="97">
        <v>2021</v>
      </c>
      <c r="E54" s="97">
        <v>2023</v>
      </c>
      <c r="F54" s="89">
        <f>3500000+94400+4400</f>
        <v>3598800</v>
      </c>
      <c r="G54" s="98">
        <f>3300000+180000+94400-3244760</f>
        <v>329640</v>
      </c>
      <c r="H54" s="146">
        <f>4400+3244760</f>
        <v>3249160</v>
      </c>
      <c r="I54" s="146"/>
      <c r="J54" s="146"/>
      <c r="K54" s="146"/>
      <c r="L54" s="146"/>
      <c r="M54" s="146"/>
      <c r="N54" s="89">
        <f t="shared" si="13"/>
        <v>3578800</v>
      </c>
    </row>
    <row r="55" spans="1:14" s="92" customFormat="1" ht="45.75" customHeight="1">
      <c r="A55" s="86" t="s">
        <v>56</v>
      </c>
      <c r="B55" s="147" t="s">
        <v>100</v>
      </c>
      <c r="C55" s="144" t="s">
        <v>75</v>
      </c>
      <c r="D55" s="97">
        <v>2021</v>
      </c>
      <c r="E55" s="97">
        <v>2022</v>
      </c>
      <c r="F55" s="89">
        <v>246000</v>
      </c>
      <c r="G55" s="98">
        <f>150000+96000</f>
        <v>246000</v>
      </c>
      <c r="H55" s="101" t="s">
        <v>98</v>
      </c>
      <c r="I55" s="101"/>
      <c r="J55" s="101"/>
      <c r="K55" s="101"/>
      <c r="L55" s="101"/>
      <c r="M55" s="101"/>
      <c r="N55" s="89">
        <f t="shared" si="13"/>
        <v>246000</v>
      </c>
    </row>
    <row r="56" spans="1:14" s="90" customFormat="1" ht="46.5" customHeight="1">
      <c r="A56" s="97" t="s">
        <v>57</v>
      </c>
      <c r="B56" s="147" t="s">
        <v>101</v>
      </c>
      <c r="C56" s="144" t="s">
        <v>75</v>
      </c>
      <c r="D56" s="97">
        <v>2021</v>
      </c>
      <c r="E56" s="97">
        <v>2022</v>
      </c>
      <c r="F56" s="89">
        <f>200000+20539</f>
        <v>220539</v>
      </c>
      <c r="G56" s="98">
        <f>164170+30539</f>
        <v>194709</v>
      </c>
      <c r="H56" s="89"/>
      <c r="I56" s="89"/>
      <c r="J56" s="89"/>
      <c r="K56" s="89"/>
      <c r="L56" s="89"/>
      <c r="M56" s="89"/>
      <c r="N56" s="89">
        <f t="shared" si="13"/>
        <v>194709</v>
      </c>
    </row>
    <row r="57" spans="1:14" s="90" customFormat="1" ht="49.5" customHeight="1">
      <c r="A57" s="86" t="s">
        <v>58</v>
      </c>
      <c r="B57" s="148" t="s">
        <v>104</v>
      </c>
      <c r="C57" s="144" t="s">
        <v>75</v>
      </c>
      <c r="D57" s="97">
        <v>2021</v>
      </c>
      <c r="E57" s="97">
        <v>2022</v>
      </c>
      <c r="F57" s="89">
        <v>194710</v>
      </c>
      <c r="G57" s="98">
        <f>179090+15620</f>
        <v>194710</v>
      </c>
      <c r="H57" s="89"/>
      <c r="I57" s="89"/>
      <c r="J57" s="89"/>
      <c r="K57" s="89"/>
      <c r="L57" s="89"/>
      <c r="M57" s="89"/>
      <c r="N57" s="89">
        <f t="shared" si="13"/>
        <v>194710</v>
      </c>
    </row>
    <row r="58" spans="1:14" s="90" customFormat="1" ht="39.75" customHeight="1">
      <c r="A58" s="97" t="s">
        <v>59</v>
      </c>
      <c r="B58" s="147" t="s">
        <v>102</v>
      </c>
      <c r="C58" s="144" t="s">
        <v>75</v>
      </c>
      <c r="D58" s="97">
        <v>2021</v>
      </c>
      <c r="E58" s="97">
        <v>2022</v>
      </c>
      <c r="F58" s="89">
        <f>200000+15619</f>
        <v>215619</v>
      </c>
      <c r="G58" s="98">
        <f>179090+15619</f>
        <v>194709</v>
      </c>
      <c r="H58" s="89"/>
      <c r="I58" s="89"/>
      <c r="J58" s="89"/>
      <c r="K58" s="89"/>
      <c r="L58" s="89"/>
      <c r="M58" s="89"/>
      <c r="N58" s="89">
        <f t="shared" si="13"/>
        <v>194709</v>
      </c>
    </row>
    <row r="59" spans="1:14" s="92" customFormat="1" ht="47.25" customHeight="1">
      <c r="A59" s="86" t="s">
        <v>61</v>
      </c>
      <c r="B59" s="147" t="s">
        <v>103</v>
      </c>
      <c r="C59" s="144" t="s">
        <v>75</v>
      </c>
      <c r="D59" s="97">
        <v>2021</v>
      </c>
      <c r="E59" s="97">
        <v>2022</v>
      </c>
      <c r="F59" s="89">
        <f>200000-159090-9730-31180</f>
        <v>0</v>
      </c>
      <c r="G59" s="98">
        <f>179090-159090-9730-10270</f>
        <v>0</v>
      </c>
      <c r="H59" s="146"/>
      <c r="I59" s="146"/>
      <c r="J59" s="146"/>
      <c r="K59" s="146"/>
      <c r="L59" s="146"/>
      <c r="M59" s="146"/>
      <c r="N59" s="89">
        <f t="shared" si="13"/>
        <v>0</v>
      </c>
    </row>
    <row r="60" spans="1:14" s="92" customFormat="1" ht="54.75" customHeight="1">
      <c r="A60" s="97" t="s">
        <v>63</v>
      </c>
      <c r="B60" s="147" t="s">
        <v>106</v>
      </c>
      <c r="C60" s="144" t="s">
        <v>75</v>
      </c>
      <c r="D60" s="97">
        <v>2021</v>
      </c>
      <c r="E60" s="97">
        <v>2022</v>
      </c>
      <c r="F60" s="89">
        <v>287820</v>
      </c>
      <c r="G60" s="98">
        <f>249000+38820</f>
        <v>287820</v>
      </c>
      <c r="H60" s="89"/>
      <c r="I60" s="89"/>
      <c r="J60" s="89"/>
      <c r="K60" s="89"/>
      <c r="L60" s="89"/>
      <c r="M60" s="89"/>
      <c r="N60" s="89">
        <f t="shared" si="13"/>
        <v>287820</v>
      </c>
    </row>
    <row r="61" spans="1:14" s="92" customFormat="1" ht="72.75" customHeight="1">
      <c r="A61" s="86" t="s">
        <v>64</v>
      </c>
      <c r="B61" s="149" t="s">
        <v>107</v>
      </c>
      <c r="C61" s="144" t="s">
        <v>75</v>
      </c>
      <c r="D61" s="97">
        <v>2021</v>
      </c>
      <c r="E61" s="97">
        <v>2024</v>
      </c>
      <c r="F61" s="89">
        <f>10565000-2550000-35000</f>
        <v>7980000</v>
      </c>
      <c r="G61" s="98">
        <f>200000-60000</f>
        <v>140000</v>
      </c>
      <c r="H61" s="146">
        <f>3165000-2490000-35000</f>
        <v>640000</v>
      </c>
      <c r="I61" s="146">
        <v>7200000</v>
      </c>
      <c r="J61" s="146"/>
      <c r="K61" s="146"/>
      <c r="L61" s="146"/>
      <c r="M61" s="146"/>
      <c r="N61" s="89">
        <f t="shared" si="13"/>
        <v>7980000</v>
      </c>
    </row>
    <row r="62" spans="1:14" s="92" customFormat="1" ht="41.25" customHeight="1">
      <c r="A62" s="86" t="s">
        <v>114</v>
      </c>
      <c r="B62" s="73" t="s">
        <v>137</v>
      </c>
      <c r="C62" s="150" t="s">
        <v>75</v>
      </c>
      <c r="D62" s="97">
        <v>2021</v>
      </c>
      <c r="E62" s="97">
        <v>2023</v>
      </c>
      <c r="F62" s="94">
        <f>1365000+1400000</f>
        <v>2765000</v>
      </c>
      <c r="G62" s="95">
        <v>150000</v>
      </c>
      <c r="H62" s="141">
        <f>1150000+1400000</f>
        <v>2550000</v>
      </c>
      <c r="I62" s="102"/>
      <c r="J62" s="102"/>
      <c r="K62" s="102"/>
      <c r="L62" s="102"/>
      <c r="M62" s="102"/>
      <c r="N62" s="89">
        <f t="shared" si="13"/>
        <v>2700000</v>
      </c>
    </row>
    <row r="63" spans="1:14" s="92" customFormat="1" ht="60" customHeight="1">
      <c r="A63" s="86" t="s">
        <v>119</v>
      </c>
      <c r="B63" s="151" t="s">
        <v>120</v>
      </c>
      <c r="C63" s="150" t="s">
        <v>75</v>
      </c>
      <c r="D63" s="93">
        <v>2021</v>
      </c>
      <c r="E63" s="93">
        <v>2022</v>
      </c>
      <c r="F63" s="94">
        <v>0</v>
      </c>
      <c r="G63" s="141">
        <v>0</v>
      </c>
      <c r="H63" s="141"/>
      <c r="I63" s="141"/>
      <c r="J63" s="141"/>
      <c r="K63" s="141"/>
      <c r="L63" s="141"/>
      <c r="M63" s="141"/>
      <c r="N63" s="94">
        <f t="shared" si="13"/>
        <v>0</v>
      </c>
    </row>
    <row r="64" spans="1:14" s="92" customFormat="1" ht="36" customHeight="1">
      <c r="A64" s="86" t="s">
        <v>121</v>
      </c>
      <c r="B64" s="152" t="s">
        <v>126</v>
      </c>
      <c r="C64" s="150" t="s">
        <v>75</v>
      </c>
      <c r="D64" s="93">
        <v>2022</v>
      </c>
      <c r="E64" s="93">
        <v>2023</v>
      </c>
      <c r="F64" s="94">
        <f>10106105+6500000+705747</f>
        <v>17311852</v>
      </c>
      <c r="G64" s="141">
        <f>4000000+372501-1079919</f>
        <v>3292582</v>
      </c>
      <c r="H64" s="141">
        <f>5733604+1079919+6500000+705747</f>
        <v>14019270</v>
      </c>
      <c r="I64" s="141"/>
      <c r="J64" s="141"/>
      <c r="K64" s="141"/>
      <c r="L64" s="141"/>
      <c r="M64" s="141"/>
      <c r="N64" s="94">
        <f t="shared" si="13"/>
        <v>17311852</v>
      </c>
    </row>
    <row r="65" spans="1:14" s="92" customFormat="1" ht="48" customHeight="1">
      <c r="A65" s="93" t="s">
        <v>130</v>
      </c>
      <c r="B65" s="153" t="s">
        <v>131</v>
      </c>
      <c r="C65" s="150" t="s">
        <v>75</v>
      </c>
      <c r="D65" s="93">
        <v>2022</v>
      </c>
      <c r="E65" s="93">
        <v>2024</v>
      </c>
      <c r="F65" s="94">
        <f>3815000-14800</f>
        <v>3800200</v>
      </c>
      <c r="G65" s="103">
        <f>65000-14800</f>
        <v>50200</v>
      </c>
      <c r="H65" s="154">
        <v>1968750</v>
      </c>
      <c r="I65" s="154">
        <v>1781250</v>
      </c>
      <c r="J65" s="154"/>
      <c r="K65" s="154"/>
      <c r="L65" s="154"/>
      <c r="M65" s="154"/>
      <c r="N65" s="94">
        <f t="shared" ref="N65" si="14">SUM(G65:M65)</f>
        <v>3800200</v>
      </c>
    </row>
    <row r="66" spans="1:14" s="155" customFormat="1" ht="48.75" customHeight="1">
      <c r="A66" s="93" t="s">
        <v>135</v>
      </c>
      <c r="B66" s="153" t="s">
        <v>136</v>
      </c>
      <c r="C66" s="150" t="s">
        <v>75</v>
      </c>
      <c r="D66" s="93">
        <v>2022</v>
      </c>
      <c r="E66" s="93">
        <v>2024</v>
      </c>
      <c r="F66" s="94">
        <v>12850000</v>
      </c>
      <c r="G66" s="103">
        <v>642500</v>
      </c>
      <c r="H66" s="154">
        <v>6103750</v>
      </c>
      <c r="I66" s="154">
        <v>6103750</v>
      </c>
      <c r="J66" s="154"/>
      <c r="K66" s="154"/>
      <c r="L66" s="154"/>
      <c r="M66" s="154"/>
      <c r="N66" s="94">
        <f t="shared" si="13"/>
        <v>12850000</v>
      </c>
    </row>
    <row r="67" spans="1:14" s="104" customFormat="1">
      <c r="A67" s="105"/>
      <c r="C67" s="106"/>
      <c r="D67" s="105"/>
      <c r="E67" s="105"/>
      <c r="F67" s="107"/>
      <c r="G67" s="108"/>
      <c r="N67" s="107"/>
    </row>
    <row r="68" spans="1:14" s="104" customFormat="1">
      <c r="A68" s="105"/>
      <c r="C68" s="106"/>
      <c r="D68" s="105"/>
      <c r="E68" s="105"/>
      <c r="F68" s="107"/>
      <c r="G68" s="108"/>
      <c r="N68" s="107"/>
    </row>
  </sheetData>
  <autoFilter ref="B1:B157" xr:uid="{00000000-0001-0000-0100-000000000000}"/>
  <mergeCells count="20">
    <mergeCell ref="B33:E33"/>
    <mergeCell ref="B7:E7"/>
    <mergeCell ref="B8:E8"/>
    <mergeCell ref="B9:E9"/>
    <mergeCell ref="B10:E10"/>
    <mergeCell ref="B11:E11"/>
    <mergeCell ref="B21:E21"/>
    <mergeCell ref="B23:E23"/>
    <mergeCell ref="B24:E24"/>
    <mergeCell ref="B25:E25"/>
    <mergeCell ref="B26:E26"/>
    <mergeCell ref="B27:E27"/>
    <mergeCell ref="A1:N1"/>
    <mergeCell ref="A4:A5"/>
    <mergeCell ref="B4:B5"/>
    <mergeCell ref="C4:C5"/>
    <mergeCell ref="D4:E4"/>
    <mergeCell ref="F4:F5"/>
    <mergeCell ref="G4:M4"/>
    <mergeCell ref="N4:N5"/>
  </mergeCells>
  <phoneticPr fontId="118" type="noConversion"/>
  <pageMargins left="0.31496062992125984" right="0.31496062992125984" top="1.1417322834645669" bottom="0.55118110236220474" header="0.51181102362204722" footer="0.31496062992125984"/>
  <pageSetup paperSize="9" scale="59" fitToHeight="0" orientation="landscape" horizontalDpi="4294967293" verticalDpi="0" r:id="rId1"/>
  <headerFooter differentOddEven="1" differentFirst="1" alignWithMargins="0">
    <oddFooter>&amp;C&amp;P</oddFooter>
    <evenFooter>&amp;C&amp;P</evenFooter>
    <firstHeader>&amp;RZałącznik Nr 2
do uchwały Nr...............
Rady  Powiatu  Otwockiego
z dnia ..........................</firstHeader>
    <firstFooter>&amp;C&amp;P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Zał. 2 </vt:lpstr>
      <vt:lpstr>'Zał. 2 '!Obszar_wydruku</vt:lpstr>
      <vt:lpstr>'Zał. 2 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2022-12-20T09:34:30Z</dcterms:modified>
</cp:coreProperties>
</file>