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en_skoroszyt" defaultThemeVersion="124226"/>
  <xr:revisionPtr revIDLastSave="0" documentId="13_ncr:1_{CFA1FB3D-6414-41C2-9699-22EEDD637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" sheetId="70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'Zał. 2 '!$B$1:$B$157</definedName>
    <definedName name="IdRozp">[1]DaneZrodlowe!$N$3</definedName>
    <definedName name="IdWzor">[2]DaneZrodlowe!$N$3</definedName>
    <definedName name="KwartalRb">[3]definicja!$B$5</definedName>
    <definedName name="_xlnm.Print_Area" localSheetId="0">'Zał. 2 '!$A$1:$N$67</definedName>
    <definedName name="Ostatni_rok_analizy">[4]WPF_Analiza!$L$1</definedName>
    <definedName name="Rok_bazowy">[3]DaneZrodlowe!$O$1</definedName>
    <definedName name="RokBazowy">[4]DaneZrodlowe!$N$1</definedName>
    <definedName name="RokMaxProg">[4]DaneZrodlowe!$Q$1</definedName>
    <definedName name="RokRb">[3]definicja!$B$4</definedName>
    <definedName name="Srednia">[1]DaneZrodlowe!$N$4</definedName>
    <definedName name="_xlnm.Print_Titles" localSheetId="0">'Zał. 2 '!$4:$5</definedName>
    <definedName name="ver_raportu">#REF!</definedName>
    <definedName name="version">[4]definicja!$D$1</definedName>
    <definedName name="WydatkiPar">[3]definicja!$H$5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70" l="1"/>
  <c r="I37" i="70"/>
  <c r="H37" i="70"/>
  <c r="G37" i="70"/>
  <c r="G27" i="70"/>
  <c r="H27" i="70"/>
  <c r="I27" i="70"/>
  <c r="J27" i="70"/>
  <c r="K27" i="70"/>
  <c r="L27" i="70"/>
  <c r="M27" i="70"/>
  <c r="N27" i="70"/>
  <c r="F27" i="70"/>
  <c r="F33" i="70"/>
  <c r="N65" i="70"/>
  <c r="F52" i="70"/>
  <c r="N32" i="70"/>
  <c r="I33" i="70" l="1"/>
  <c r="J33" i="70"/>
  <c r="K33" i="70"/>
  <c r="L33" i="70"/>
  <c r="M33" i="70"/>
  <c r="N66" i="70"/>
  <c r="F54" i="70"/>
  <c r="G54" i="70"/>
  <c r="G64" i="70"/>
  <c r="F59" i="70"/>
  <c r="G59" i="70"/>
  <c r="F51" i="70"/>
  <c r="G51" i="70"/>
  <c r="H11" i="70"/>
  <c r="I11" i="70"/>
  <c r="J11" i="70"/>
  <c r="K11" i="70"/>
  <c r="L11" i="70"/>
  <c r="M11" i="70"/>
  <c r="N20" i="70"/>
  <c r="G45" i="70"/>
  <c r="G19" i="70"/>
  <c r="F45" i="70" l="1"/>
  <c r="N64" i="70"/>
  <c r="N31" i="70" l="1"/>
  <c r="H33" i="70" l="1"/>
  <c r="G35" i="70" l="1"/>
  <c r="N63" i="70"/>
  <c r="F53" i="70" l="1"/>
  <c r="F58" i="70"/>
  <c r="G58" i="70"/>
  <c r="G57" i="70"/>
  <c r="F56" i="70"/>
  <c r="G55" i="70"/>
  <c r="G53" i="70"/>
  <c r="G33" i="70" s="1"/>
  <c r="G56" i="70"/>
  <c r="G15" i="70"/>
  <c r="F15" i="70"/>
  <c r="G14" i="70"/>
  <c r="F13" i="70"/>
  <c r="F12" i="70"/>
  <c r="G13" i="70"/>
  <c r="G16" i="70"/>
  <c r="N17" i="70"/>
  <c r="G60" i="70"/>
  <c r="G11" i="70" l="1"/>
  <c r="F11" i="70"/>
  <c r="N62" i="70"/>
  <c r="F34" i="70" l="1"/>
  <c r="N61" i="70" l="1"/>
  <c r="N60" i="70"/>
  <c r="N59" i="70"/>
  <c r="N58" i="70"/>
  <c r="N57" i="70"/>
  <c r="N56" i="70"/>
  <c r="N55" i="70"/>
  <c r="N54" i="70"/>
  <c r="N53" i="70"/>
  <c r="N52" i="70"/>
  <c r="N51" i="70"/>
  <c r="N50" i="70"/>
  <c r="F50" i="70"/>
  <c r="N49" i="70"/>
  <c r="N48" i="70"/>
  <c r="N47" i="70"/>
  <c r="N46" i="70"/>
  <c r="F46" i="70"/>
  <c r="N45" i="70"/>
  <c r="N44" i="70"/>
  <c r="N43" i="70"/>
  <c r="N42" i="70"/>
  <c r="N41" i="70"/>
  <c r="N40" i="70"/>
  <c r="F40" i="70"/>
  <c r="N39" i="70"/>
  <c r="F39" i="70"/>
  <c r="N38" i="70"/>
  <c r="F38" i="70"/>
  <c r="N37" i="70"/>
  <c r="N36" i="70"/>
  <c r="F36" i="70"/>
  <c r="N35" i="70"/>
  <c r="N34" i="70"/>
  <c r="N30" i="70"/>
  <c r="N29" i="70"/>
  <c r="F29" i="70"/>
  <c r="G28" i="70"/>
  <c r="F28" i="70"/>
  <c r="M26" i="70"/>
  <c r="L26" i="70"/>
  <c r="K26" i="70"/>
  <c r="J26" i="70"/>
  <c r="I26" i="70"/>
  <c r="N23" i="70"/>
  <c r="M23" i="70"/>
  <c r="L23" i="70"/>
  <c r="K23" i="70"/>
  <c r="J23" i="70"/>
  <c r="I23" i="70"/>
  <c r="H23" i="70"/>
  <c r="G23" i="70"/>
  <c r="F23" i="70"/>
  <c r="G22" i="70"/>
  <c r="G21" i="70" s="1"/>
  <c r="G9" i="70" s="1"/>
  <c r="F22" i="70"/>
  <c r="F21" i="70" s="1"/>
  <c r="M21" i="70"/>
  <c r="L21" i="70"/>
  <c r="K21" i="70"/>
  <c r="K9" i="70" s="1"/>
  <c r="J21" i="70"/>
  <c r="J9" i="70" s="1"/>
  <c r="I21" i="70"/>
  <c r="H21" i="70"/>
  <c r="N19" i="70"/>
  <c r="N18" i="70"/>
  <c r="N16" i="70"/>
  <c r="N15" i="70"/>
  <c r="N14" i="70"/>
  <c r="N12" i="70"/>
  <c r="M10" i="70"/>
  <c r="N33" i="70" l="1"/>
  <c r="K10" i="70"/>
  <c r="K7" i="70" s="1"/>
  <c r="N28" i="70"/>
  <c r="G26" i="70"/>
  <c r="F9" i="70"/>
  <c r="I10" i="70"/>
  <c r="I7" i="70" s="1"/>
  <c r="H10" i="70"/>
  <c r="L10" i="70"/>
  <c r="L7" i="70" s="1"/>
  <c r="F8" i="70"/>
  <c r="K8" i="70"/>
  <c r="F10" i="70"/>
  <c r="H8" i="70"/>
  <c r="M7" i="70"/>
  <c r="J10" i="70"/>
  <c r="J7" i="70" s="1"/>
  <c r="J8" i="70"/>
  <c r="I8" i="70"/>
  <c r="M8" i="70"/>
  <c r="N22" i="70"/>
  <c r="N21" i="70" s="1"/>
  <c r="H26" i="70"/>
  <c r="L8" i="70"/>
  <c r="M9" i="70"/>
  <c r="L9" i="70"/>
  <c r="H9" i="70"/>
  <c r="I9" i="70"/>
  <c r="N13" i="70"/>
  <c r="N11" i="70" s="1"/>
  <c r="G8" i="70" l="1"/>
  <c r="H7" i="70"/>
  <c r="F26" i="70"/>
  <c r="F7" i="70" s="1"/>
  <c r="N9" i="70"/>
  <c r="G10" i="70"/>
  <c r="G7" i="70" s="1"/>
  <c r="N26" i="70"/>
  <c r="N8" i="70"/>
  <c r="N10" i="70"/>
  <c r="N7" i="70" l="1"/>
</calcChain>
</file>

<file path=xl/sharedStrings.xml><?xml version="1.0" encoding="utf-8"?>
<sst xmlns="http://schemas.openxmlformats.org/spreadsheetml/2006/main" count="179" uniqueCount="138">
  <si>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</si>
  <si>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</si>
  <si>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</si>
  <si>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</si>
  <si>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</si>
  <si>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</si>
  <si>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</si>
  <si>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</si>
  <si>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</si>
  <si>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</si>
  <si>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</si>
  <si>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</si>
  <si>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</si>
  <si>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</si>
  <si>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</si>
  <si>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</si>
  <si>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</si>
  <si>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</si>
  <si>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</si>
  <si>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</si>
  <si>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</si>
  <si>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</si>
  <si>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</si>
  <si>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</si>
  <si>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</si>
  <si>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</si>
  <si>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</si>
  <si>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</si>
  <si>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</si>
  <si>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</si>
  <si>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</si>
  <si>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</si>
  <si>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1.3.2.</t>
  </si>
  <si>
    <t>1.3.2.1</t>
  </si>
  <si>
    <t>Zarząd Dróg Powiatowych</t>
  </si>
  <si>
    <t>1.3.2.2</t>
  </si>
  <si>
    <t>1.3.2.3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</si>
  <si>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</si>
  <si>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</si>
  <si>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</si>
  <si>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</si>
  <si>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</si>
  <si>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</si>
  <si>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</si>
  <si>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1.3.2.11</t>
  </si>
  <si>
    <t>1.3.2.12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</si>
  <si>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</si>
  <si>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</si>
  <si>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</si>
  <si>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</si>
  <si>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</si>
  <si>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</si>
  <si>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</si>
  <si>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</si>
  <si>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</si>
  <si>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</si>
  <si>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</si>
  <si>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</si>
  <si>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</si>
  <si>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</si>
  <si>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</si>
  <si>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</si>
  <si>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</si>
  <si>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</si>
  <si>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</si>
  <si>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</si>
  <si>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Przebudowa drogi powiatowej Nr 2245 W m. Dobrzyniec, gmina Kołbiel</t>
  </si>
  <si>
    <t>1.1.1.2</t>
  </si>
  <si>
    <t>1.1.1.3</t>
  </si>
  <si>
    <t>1.1.1.6</t>
  </si>
  <si>
    <t>1.1.1.7</t>
  </si>
  <si>
    <t>Podniesienie jakości kształcenia zawodowego w Zespole Szkół Ekonomiczno-Gastronomicznych w Otwocku</t>
  </si>
  <si>
    <t>Zespół Szkół Nr 2</t>
  </si>
  <si>
    <t>1.3.1.3</t>
  </si>
  <si>
    <t>Mobilni w Europie</t>
  </si>
  <si>
    <t xml:space="preserve">Zarząd Dróg Powiatowych </t>
  </si>
  <si>
    <t>Przebudowa mostu w drodze powiatowej Nr 2722W w Pogorzeli</t>
  </si>
  <si>
    <t>Rozbudowa drogi powiatowej Nr 2765W ul. Staszica i ul. Kołłątaja w Otwocku na odcinku od ul. Karczewskiej do mostu na rzece Świder</t>
  </si>
  <si>
    <t xml:space="preserve">Budowa chodnika przy drodze powiatowej Nr 2743W w miejsc. Człekówka od drogi krajowej nr 50 do istniejącego chodnika </t>
  </si>
  <si>
    <t xml:space="preserve">Modernizacja drogi powiatowej Nr 2736W w miejsc. Teresin </t>
  </si>
  <si>
    <t xml:space="preserve">Budowa chodnika w drodze powiatowej Nr 2709W w  Bolesławowie </t>
  </si>
  <si>
    <t>Nauczyciele przyszłości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</si>
  <si>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</si>
  <si>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</si>
  <si>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</si>
  <si>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</si>
  <si>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</si>
  <si>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Utrzymanie ciągłości projektu pn. " Poprawa funkcjonowania osób niesamodzielnych z terenu powiatu otwockiego poprzez uruchomienie usług socjalnych świadczonych w formie wsparcia dziennego"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</si>
  <si>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</si>
  <si>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</si>
  <si>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>Rodzinne drogowskazy</t>
  </si>
  <si>
    <t>Budowa chodników w drogach powiatowych na terenie gminy Wiązowna - Majdan   ul. Widoczna</t>
  </si>
  <si>
    <t>Starostwo                                     Powiatowe</t>
  </si>
  <si>
    <t>Rozbudowa skrzyżowania dróg powiatowych Nr 2765W                 ul. Karczewskiej i Nr 2760W  ul.  Batorego i ul. Matejki w Otwocku</t>
  </si>
  <si>
    <t>Wydatki na programy, projekty lub zadania związane z programami realizowanymi z udziałem środków, o których mowa w art. 5 ust. 1 pkt 2 i 3 ustawy z dnia 27 sierpnia 2009 r. o finansach publicznych (tekst jedn. Dz. U.  z  2021 r. poz. 305), z tego:</t>
  </si>
  <si>
    <t>Rozwój elektronicznej administracji w samorządach województwa mazowieckiego wspomagającej niwelowanie dwudzielności potencjału województwa (EA)</t>
  </si>
  <si>
    <t>Życiowe i zawodowe drogowskazy</t>
  </si>
  <si>
    <t>Rozbudowa drogi powiatowej Nr 2713W w miejscowościach Stara Wieś, Dąbrówka i Celestynów</t>
  </si>
  <si>
    <t xml:space="preserve"> </t>
  </si>
  <si>
    <t>1.1.1.1</t>
  </si>
  <si>
    <t>Poprawa bezpieczeństwa ruchu drogowego na przejściu dla pieszych w Józefowie na ul. Granicznej na drodze nr 2768W</t>
  </si>
  <si>
    <t>Poprawa bezpieczeństwa ruchu drogowego na  przejściu dla pieszych w Pogorzeli na ul. Warszawskiej na drodze Nr 2715W</t>
  </si>
  <si>
    <t>Poprawa bezpieczeństwa ruchu drogowego na  przejściu dla pieszych w Sobiekursku na drodze Nr 2726W</t>
  </si>
  <si>
    <t>Poprawa bezpieczeństwa ruchu drogowego na  przejściu dla pieszych w Kątach na ul. Królewskiej na drodze Nr 2745W</t>
  </si>
  <si>
    <t>Poprawa bezpieczeństwa ruchu drogowego na  przejściu dla pieszych w Otwocku na ul. Narutowicza na drodze Nr 2759W</t>
  </si>
  <si>
    <t>Wykaz przedsięwzięć wieloletnich 2022</t>
  </si>
  <si>
    <t>Poprawa bezpieczeństwa ruchu drogowego w obszarze oddziaływania przejścia dla pieszych w Karczewie na ul. Mickiewicza na drodze nr 2771W</t>
  </si>
  <si>
    <t>Modernizacja infrastruktury drogowej dróg powiatowych Powiatu Otwockiego polegająca na modernizacji przepraw przez cieki (mosty w m. Glinianka, Kąty, Grabianka, Janów, Nadbrzeż, Brzezinka)</t>
  </si>
  <si>
    <t>Budowa budynku siedziby Starostwa Powiatowego w Otwocku oraz wybranych powiatowych jednostek organizacyjnych i wybranych służb powiatowych wraz z zagospodarowaniem terenu</t>
  </si>
  <si>
    <t>Dotacja dla Powiatowego Centrum Zdrowia Sp. z o.o. w Otwocku na przebudowę  i modernizację podziemia szpitala oraz modernizację przychodni specjalistycznej</t>
  </si>
  <si>
    <t>Modernizacja budynku Specjalnego Ośrodka Szkolno-Wychowawczego Nr 1 - wzmocnienie stropów, dostosowanie budynku do zaleceń  ppoż.</t>
  </si>
  <si>
    <t>Ośrodek Szkolno-Wychowawczy Nr 1</t>
  </si>
  <si>
    <t>Poprawa bezpieczeństwa ruchu poprzez budowę ciągów pieszych i rowerowych na ul. Warszawskiej, ul. Jana Pawła II   i ul. Poniatowskiego</t>
  </si>
  <si>
    <t>Limity wydatków w poszczególnych latach</t>
  </si>
  <si>
    <t>1.3.2.29</t>
  </si>
  <si>
    <t>Szkoła otwarta na świat</t>
  </si>
  <si>
    <t>Specjalny                    Ośrodek Szkolno - Wychowawczy Nr 2</t>
  </si>
  <si>
    <t>1.1.1.8</t>
  </si>
  <si>
    <t>Podniesienie jakości kształcenia zawodowego w Zespole Szkół nr 2 w Otwocku</t>
  </si>
  <si>
    <t>1.3.2.30</t>
  </si>
  <si>
    <t>Projekt i budowa brakującego ciągu pieszo-rowerowego i odwodnienia w drodze powiatowej Nr 2759W – ul. Narutowicza w Otwocku na wysokości OSP Jabłonna i dalej w kierunku Świerku</t>
  </si>
  <si>
    <t>1.3.2.31</t>
  </si>
  <si>
    <t>Ośrodek koordynacyjno-rehabilitacyjno-opiekuńczy w ramach programu "Za życiem"</t>
  </si>
  <si>
    <t>Powiatowa Poradnia Psychologiczno-Pedagogiczna</t>
  </si>
  <si>
    <t>1.3.1.4</t>
  </si>
  <si>
    <t>Rozbudowa i modernizacja Domu Pomocy Społecznej Wrzos w Otwocku</t>
  </si>
  <si>
    <t xml:space="preserve">Rozbudowa drogi powiatowej Nr 2715W </t>
  </si>
  <si>
    <t>1.1.1.9</t>
  </si>
  <si>
    <t>Języki obce naszą siłą</t>
  </si>
  <si>
    <t>Liceum Ogólnokształcace Nr I</t>
  </si>
  <si>
    <t>1.3.2.32</t>
  </si>
  <si>
    <t>Modernizacja infrastruktury drogowej Powiatu Otwockiego polegająca na modernizacji przepraw przez cieki wodne  - etap II</t>
  </si>
  <si>
    <t>1.3.1.5</t>
  </si>
  <si>
    <t>Remont drogi powiatowej Nr 2710W na odcinku od drogi krajowej S17 do mostu na rzece Świder</t>
  </si>
  <si>
    <t>Rozbudowa skrzyżowania ul. Napoleońskiej i Łąkowej w Gliniance</t>
  </si>
  <si>
    <t>1.3.2.33</t>
  </si>
  <si>
    <t xml:space="preserve">Modernizacja infrastruktury drogowej i mostowej na terenie powiatu Otwockiego </t>
  </si>
  <si>
    <t>Poprawa bezpieczeństwa na drodze powiatowej 2739W w m. Gadka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</si>
</sst>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2" tint="-0.499984740745262"/>
      <name val="Arial"/>
      <family val="2"/>
      <charset val="238"/>
    </font>
    <font>
      <sz val="8"/>
      <name val="Calibri"/>
      <family val="2"/>
      <scheme val="minor"/>
    </font>
    <font>
      <b/>
      <i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0">
    <xf numFmtId="0" fontId="0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1" fillId="0" borderId="0"/>
    <xf numFmtId="9" fontId="72" fillId="0" borderId="0" applyFont="0" applyFill="0" applyBorder="0" applyAlignment="0" applyProtection="0"/>
    <xf numFmtId="0" fontId="69" fillId="0" borderId="0"/>
    <xf numFmtId="0" fontId="68" fillId="0" borderId="0"/>
    <xf numFmtId="0" fontId="67" fillId="0" borderId="0"/>
    <xf numFmtId="0" fontId="66" fillId="0" borderId="0"/>
    <xf numFmtId="0" fontId="73" fillId="0" borderId="0" applyNumberFormat="0" applyFill="0" applyBorder="0" applyAlignment="0" applyProtection="0">
      <alignment vertical="top"/>
    </xf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7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72" fillId="35" borderId="0" applyNumberFormat="0" applyBorder="0" applyAlignment="0" applyProtection="0"/>
    <xf numFmtId="0" fontId="36" fillId="12" borderId="0" applyNumberFormat="0" applyBorder="0" applyAlignment="0" applyProtection="0"/>
    <xf numFmtId="0" fontId="72" fillId="36" borderId="0" applyNumberFormat="0" applyBorder="0" applyAlignment="0" applyProtection="0"/>
    <xf numFmtId="0" fontId="36" fillId="16" borderId="0" applyNumberFormat="0" applyBorder="0" applyAlignment="0" applyProtection="0"/>
    <xf numFmtId="0" fontId="72" fillId="37" borderId="0" applyNumberFormat="0" applyBorder="0" applyAlignment="0" applyProtection="0"/>
    <xf numFmtId="0" fontId="36" fillId="20" borderId="0" applyNumberFormat="0" applyBorder="0" applyAlignment="0" applyProtection="0"/>
    <xf numFmtId="0" fontId="72" fillId="38" borderId="0" applyNumberFormat="0" applyBorder="0" applyAlignment="0" applyProtection="0"/>
    <xf numFmtId="0" fontId="36" fillId="24" borderId="0" applyNumberFormat="0" applyBorder="0" applyAlignment="0" applyProtection="0"/>
    <xf numFmtId="0" fontId="72" fillId="39" borderId="0" applyNumberFormat="0" applyBorder="0" applyAlignment="0" applyProtection="0"/>
    <xf numFmtId="0" fontId="36" fillId="28" borderId="0" applyNumberFormat="0" applyBorder="0" applyAlignment="0" applyProtection="0"/>
    <xf numFmtId="0" fontId="72" fillId="40" borderId="0" applyNumberFormat="0" applyBorder="0" applyAlignment="0" applyProtection="0"/>
    <xf numFmtId="0" fontId="36" fillId="32" borderId="0" applyNumberFormat="0" applyBorder="0" applyAlignment="0" applyProtection="0"/>
    <xf numFmtId="0" fontId="72" fillId="41" borderId="0" applyNumberFormat="0" applyBorder="0" applyAlignment="0" applyProtection="0"/>
    <xf numFmtId="0" fontId="36" fillId="13" borderId="0" applyNumberFormat="0" applyBorder="0" applyAlignment="0" applyProtection="0"/>
    <xf numFmtId="0" fontId="72" fillId="42" borderId="0" applyNumberFormat="0" applyBorder="0" applyAlignment="0" applyProtection="0"/>
    <xf numFmtId="0" fontId="36" fillId="17" borderId="0" applyNumberFormat="0" applyBorder="0" applyAlignment="0" applyProtection="0"/>
    <xf numFmtId="0" fontId="72" fillId="43" borderId="0" applyNumberFormat="0" applyBorder="0" applyAlignment="0" applyProtection="0"/>
    <xf numFmtId="0" fontId="36" fillId="21" borderId="0" applyNumberFormat="0" applyBorder="0" applyAlignment="0" applyProtection="0"/>
    <xf numFmtId="0" fontId="72" fillId="38" borderId="0" applyNumberFormat="0" applyBorder="0" applyAlignment="0" applyProtection="0"/>
    <xf numFmtId="0" fontId="36" fillId="25" borderId="0" applyNumberFormat="0" applyBorder="0" applyAlignment="0" applyProtection="0"/>
    <xf numFmtId="0" fontId="72" fillId="41" borderId="0" applyNumberFormat="0" applyBorder="0" applyAlignment="0" applyProtection="0"/>
    <xf numFmtId="0" fontId="36" fillId="29" borderId="0" applyNumberFormat="0" applyBorder="0" applyAlignment="0" applyProtection="0"/>
    <xf numFmtId="0" fontId="72" fillId="44" borderId="0" applyNumberFormat="0" applyBorder="0" applyAlignment="0" applyProtection="0"/>
    <xf numFmtId="0" fontId="36" fillId="33" borderId="0" applyNumberFormat="0" applyBorder="0" applyAlignment="0" applyProtection="0"/>
    <xf numFmtId="0" fontId="96" fillId="45" borderId="0" applyNumberFormat="0" applyBorder="0" applyAlignment="0" applyProtection="0"/>
    <xf numFmtId="0" fontId="94" fillId="14" borderId="0" applyNumberFormat="0" applyBorder="0" applyAlignment="0" applyProtection="0"/>
    <xf numFmtId="0" fontId="96" fillId="42" borderId="0" applyNumberFormat="0" applyBorder="0" applyAlignment="0" applyProtection="0"/>
    <xf numFmtId="0" fontId="94" fillId="18" borderId="0" applyNumberFormat="0" applyBorder="0" applyAlignment="0" applyProtection="0"/>
    <xf numFmtId="0" fontId="96" fillId="43" borderId="0" applyNumberFormat="0" applyBorder="0" applyAlignment="0" applyProtection="0"/>
    <xf numFmtId="0" fontId="94" fillId="22" borderId="0" applyNumberFormat="0" applyBorder="0" applyAlignment="0" applyProtection="0"/>
    <xf numFmtId="0" fontId="96" fillId="46" borderId="0" applyNumberFormat="0" applyBorder="0" applyAlignment="0" applyProtection="0"/>
    <xf numFmtId="0" fontId="94" fillId="26" borderId="0" applyNumberFormat="0" applyBorder="0" applyAlignment="0" applyProtection="0"/>
    <xf numFmtId="0" fontId="96" fillId="47" borderId="0" applyNumberFormat="0" applyBorder="0" applyAlignment="0" applyProtection="0"/>
    <xf numFmtId="0" fontId="94" fillId="30" borderId="0" applyNumberFormat="0" applyBorder="0" applyAlignment="0" applyProtection="0"/>
    <xf numFmtId="0" fontId="96" fillId="48" borderId="0" applyNumberFormat="0" applyBorder="0" applyAlignment="0" applyProtection="0"/>
    <xf numFmtId="0" fontId="94" fillId="34" borderId="0" applyNumberFormat="0" applyBorder="0" applyAlignment="0" applyProtection="0"/>
    <xf numFmtId="0" fontId="96" fillId="49" borderId="0" applyNumberFormat="0" applyBorder="0" applyAlignment="0" applyProtection="0"/>
    <xf numFmtId="0" fontId="94" fillId="11" borderId="0" applyNumberFormat="0" applyBorder="0" applyAlignment="0" applyProtection="0"/>
    <xf numFmtId="0" fontId="96" fillId="50" borderId="0" applyNumberFormat="0" applyBorder="0" applyAlignment="0" applyProtection="0"/>
    <xf numFmtId="0" fontId="94" fillId="15" borderId="0" applyNumberFormat="0" applyBorder="0" applyAlignment="0" applyProtection="0"/>
    <xf numFmtId="0" fontId="96" fillId="51" borderId="0" applyNumberFormat="0" applyBorder="0" applyAlignment="0" applyProtection="0"/>
    <xf numFmtId="0" fontId="94" fillId="19" borderId="0" applyNumberFormat="0" applyBorder="0" applyAlignment="0" applyProtection="0"/>
    <xf numFmtId="0" fontId="96" fillId="46" borderId="0" applyNumberFormat="0" applyBorder="0" applyAlignment="0" applyProtection="0"/>
    <xf numFmtId="0" fontId="94" fillId="23" borderId="0" applyNumberFormat="0" applyBorder="0" applyAlignment="0" applyProtection="0"/>
    <xf numFmtId="0" fontId="96" fillId="47" borderId="0" applyNumberFormat="0" applyBorder="0" applyAlignment="0" applyProtection="0"/>
    <xf numFmtId="0" fontId="94" fillId="27" borderId="0" applyNumberFormat="0" applyBorder="0" applyAlignment="0" applyProtection="0"/>
    <xf numFmtId="0" fontId="96" fillId="52" borderId="0" applyNumberFormat="0" applyBorder="0" applyAlignment="0" applyProtection="0"/>
    <xf numFmtId="0" fontId="94" fillId="31" borderId="0" applyNumberFormat="0" applyBorder="0" applyAlignment="0" applyProtection="0"/>
    <xf numFmtId="0" fontId="97" fillId="40" borderId="19" applyNumberFormat="0" applyAlignment="0" applyProtection="0"/>
    <xf numFmtId="0" fontId="87" fillId="7" borderId="13" applyNumberFormat="0" applyAlignment="0" applyProtection="0"/>
    <xf numFmtId="0" fontId="98" fillId="53" borderId="20" applyNumberFormat="0" applyAlignment="0" applyProtection="0"/>
    <xf numFmtId="0" fontId="88" fillId="8" borderId="14" applyNumberFormat="0" applyAlignment="0" applyProtection="0"/>
    <xf numFmtId="0" fontId="99" fillId="37" borderId="0" applyNumberFormat="0" applyBorder="0" applyAlignment="0" applyProtection="0"/>
    <xf numFmtId="0" fontId="84" fillId="4" borderId="0" applyNumberFormat="0" applyBorder="0" applyAlignment="0" applyProtection="0"/>
    <xf numFmtId="0" fontId="100" fillId="0" borderId="21" applyNumberFormat="0" applyFill="0" applyAlignment="0" applyProtection="0"/>
    <xf numFmtId="0" fontId="90" fillId="0" borderId="15" applyNumberFormat="0" applyFill="0" applyAlignment="0" applyProtection="0"/>
    <xf numFmtId="0" fontId="101" fillId="54" borderId="22" applyNumberFormat="0" applyAlignment="0" applyProtection="0"/>
    <xf numFmtId="0" fontId="91" fillId="9" borderId="16" applyNumberFormat="0" applyAlignment="0" applyProtection="0"/>
    <xf numFmtId="0" fontId="102" fillId="0" borderId="23" applyNumberFormat="0" applyFill="0" applyAlignment="0" applyProtection="0"/>
    <xf numFmtId="0" fontId="81" fillId="0" borderId="10" applyNumberFormat="0" applyFill="0" applyAlignment="0" applyProtection="0"/>
    <xf numFmtId="0" fontId="103" fillId="0" borderId="24" applyNumberFormat="0" applyFill="0" applyAlignment="0" applyProtection="0"/>
    <xf numFmtId="0" fontId="82" fillId="0" borderId="11" applyNumberFormat="0" applyFill="0" applyAlignment="0" applyProtection="0"/>
    <xf numFmtId="0" fontId="104" fillId="0" borderId="25" applyNumberFormat="0" applyFill="0" applyAlignment="0" applyProtection="0"/>
    <xf numFmtId="0" fontId="83" fillId="0" borderId="12" applyNumberFormat="0" applyFill="0" applyAlignment="0" applyProtection="0"/>
    <xf numFmtId="0" fontId="10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55" borderId="0" applyNumberFormat="0" applyBorder="0" applyAlignment="0" applyProtection="0"/>
    <xf numFmtId="0" fontId="86" fillId="6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5" fillId="0" borderId="0"/>
    <xf numFmtId="0" fontId="70" fillId="0" borderId="0"/>
    <xf numFmtId="0" fontId="70" fillId="0" borderId="0"/>
    <xf numFmtId="0" fontId="95" fillId="0" borderId="0" applyProtection="0"/>
    <xf numFmtId="0" fontId="72" fillId="0" borderId="0"/>
    <xf numFmtId="0" fontId="70" fillId="0" borderId="0"/>
    <xf numFmtId="0" fontId="70" fillId="0" borderId="0"/>
    <xf numFmtId="0" fontId="36" fillId="0" borderId="0"/>
    <xf numFmtId="0" fontId="106" fillId="53" borderId="19" applyNumberFormat="0" applyAlignment="0" applyProtection="0"/>
    <xf numFmtId="0" fontId="89" fillId="8" borderId="13" applyNumberFormat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07" fillId="0" borderId="26" applyNumberFormat="0" applyFill="0" applyAlignment="0" applyProtection="0"/>
    <xf numFmtId="0" fontId="80" fillId="0" borderId="18" applyNumberFormat="0" applyFill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5" fillId="56" borderId="27" applyNumberFormat="0" applyFont="0" applyAlignment="0" applyProtection="0"/>
    <xf numFmtId="0" fontId="36" fillId="10" borderId="17" applyNumberFormat="0" applyFont="0" applyAlignment="0" applyProtection="0"/>
    <xf numFmtId="0" fontId="111" fillId="36" borderId="0" applyNumberFormat="0" applyBorder="0" applyAlignment="0" applyProtection="0"/>
    <xf numFmtId="0" fontId="85" fillId="5" borderId="0" applyNumberFormat="0" applyBorder="0" applyAlignment="0" applyProtection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73" fillId="0" borderId="0" applyNumberFormat="0" applyFill="0" applyBorder="0" applyAlignment="0" applyProtection="0">
      <alignment vertical="top"/>
    </xf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5">
    <xf numFmtId="0" fontId="0" fillId="0" borderId="0" xfId="0"/>
    <xf numFmtId="0" fontId="70" fillId="0" borderId="0" xfId="1" applyFont="1"/>
    <xf numFmtId="0" fontId="76" fillId="0" borderId="0" xfId="1" applyFont="1" applyAlignment="1">
      <alignment vertical="center"/>
    </xf>
    <xf numFmtId="0" fontId="70" fillId="0" borderId="0" xfId="1" applyFont="1" applyAlignment="1">
      <alignment horizontal="center"/>
    </xf>
    <xf numFmtId="0" fontId="77" fillId="0" borderId="0" xfId="1" applyFont="1"/>
    <xf numFmtId="0" fontId="78" fillId="0" borderId="1" xfId="1" applyFont="1" applyFill="1" applyBorder="1" applyAlignment="1">
      <alignment horizontal="center" vertical="center" wrapText="1"/>
    </xf>
    <xf numFmtId="4" fontId="77" fillId="3" borderId="1" xfId="1" applyNumberFormat="1" applyFont="1" applyFill="1" applyBorder="1" applyAlignment="1">
      <alignment horizontal="right" vertical="center" wrapText="1"/>
    </xf>
    <xf numFmtId="0" fontId="77" fillId="0" borderId="0" xfId="1" applyFont="1" applyFill="1"/>
    <xf numFmtId="4" fontId="77" fillId="3" borderId="1" xfId="1" applyNumberFormat="1" applyFont="1" applyFill="1" applyBorder="1" applyAlignment="1"/>
    <xf numFmtId="0" fontId="77" fillId="0" borderId="0" xfId="1" applyFont="1" applyAlignment="1">
      <alignment vertical="center"/>
    </xf>
    <xf numFmtId="0" fontId="70" fillId="0" borderId="1" xfId="1" applyFont="1" applyFill="1" applyBorder="1" applyAlignment="1">
      <alignment horizontal="left" vertical="center" wrapText="1"/>
    </xf>
    <xf numFmtId="0" fontId="77" fillId="0" borderId="1" xfId="1" applyFont="1" applyFill="1" applyBorder="1" applyAlignment="1">
      <alignment horizontal="center" vertical="center"/>
    </xf>
    <xf numFmtId="4" fontId="77" fillId="0" borderId="1" xfId="1" applyNumberFormat="1" applyFont="1" applyFill="1" applyBorder="1" applyAlignment="1"/>
    <xf numFmtId="4" fontId="70" fillId="0" borderId="1" xfId="1" applyNumberFormat="1" applyFont="1" applyFill="1" applyBorder="1" applyAlignment="1"/>
    <xf numFmtId="0" fontId="70" fillId="0" borderId="0" xfId="1" applyFont="1" applyFill="1"/>
    <xf numFmtId="0" fontId="77" fillId="0" borderId="0" xfId="1" applyFont="1" applyAlignment="1">
      <alignment horizontal="center"/>
    </xf>
    <xf numFmtId="0" fontId="77" fillId="0" borderId="7" xfId="1" applyFont="1" applyFill="1" applyBorder="1" applyAlignment="1">
      <alignment horizontal="center" vertical="center"/>
    </xf>
    <xf numFmtId="0" fontId="70" fillId="0" borderId="7" xfId="1" applyFont="1" applyFill="1" applyBorder="1" applyAlignment="1">
      <alignment horizontal="center" vertical="center" wrapText="1"/>
    </xf>
    <xf numFmtId="4" fontId="70" fillId="0" borderId="7" xfId="1" applyNumberFormat="1" applyFont="1" applyFill="1" applyBorder="1" applyAlignment="1"/>
    <xf numFmtId="0" fontId="77" fillId="2" borderId="1" xfId="1" applyFont="1" applyFill="1" applyBorder="1" applyAlignment="1">
      <alignment horizontal="center" vertical="center"/>
    </xf>
    <xf numFmtId="0" fontId="76" fillId="0" borderId="0" xfId="1" applyFont="1" applyFill="1" applyAlignment="1">
      <alignment vertical="center"/>
    </xf>
    <xf numFmtId="0" fontId="70" fillId="0" borderId="0" xfId="1" applyFont="1" applyFill="1" applyAlignment="1">
      <alignment horizontal="center"/>
    </xf>
    <xf numFmtId="0" fontId="77" fillId="0" borderId="0" xfId="1" applyFont="1" applyFill="1" applyAlignment="1">
      <alignment vertical="center"/>
    </xf>
    <xf numFmtId="0" fontId="113" fillId="0" borderId="1" xfId="1" applyFont="1" applyFill="1" applyBorder="1" applyAlignment="1">
      <alignment horizontal="center" vertical="center"/>
    </xf>
    <xf numFmtId="0" fontId="77" fillId="0" borderId="0" xfId="1" applyFont="1" applyFill="1" applyAlignment="1">
      <alignment horizontal="center"/>
    </xf>
    <xf numFmtId="0" fontId="79" fillId="0" borderId="1" xfId="1" applyFont="1" applyFill="1" applyBorder="1" applyAlignment="1">
      <alignment horizontal="left" vertical="center" wrapText="1"/>
    </xf>
    <xf numFmtId="0" fontId="79" fillId="0" borderId="1" xfId="1" applyFont="1" applyFill="1" applyBorder="1" applyAlignment="1">
      <alignment horizontal="center" vertical="center" wrapText="1"/>
    </xf>
    <xf numFmtId="4" fontId="79" fillId="0" borderId="1" xfId="1" applyNumberFormat="1" applyFont="1" applyFill="1" applyBorder="1" applyAlignment="1"/>
    <xf numFmtId="0" fontId="79" fillId="0" borderId="0" xfId="1" applyFont="1" applyFill="1" applyAlignment="1">
      <alignment vertical="center"/>
    </xf>
    <xf numFmtId="4" fontId="113" fillId="0" borderId="1" xfId="1" applyNumberFormat="1" applyFont="1" applyFill="1" applyBorder="1" applyAlignment="1"/>
    <xf numFmtId="0" fontId="113" fillId="0" borderId="0" xfId="1" applyFont="1" applyFill="1"/>
    <xf numFmtId="0" fontId="70" fillId="0" borderId="2" xfId="1" applyFont="1" applyFill="1" applyBorder="1" applyAlignment="1">
      <alignment horizontal="center" vertical="center" wrapText="1"/>
    </xf>
    <xf numFmtId="0" fontId="115" fillId="0" borderId="0" xfId="1" applyFont="1" applyFill="1"/>
    <xf numFmtId="0" fontId="79" fillId="0" borderId="1" xfId="0" applyFont="1" applyFill="1" applyBorder="1" applyAlignment="1">
      <alignment horizontal="left" vertical="center" wrapText="1"/>
    </xf>
    <xf numFmtId="4" fontId="77" fillId="0" borderId="7" xfId="1" applyNumberFormat="1" applyFont="1" applyFill="1" applyBorder="1" applyAlignment="1"/>
    <xf numFmtId="0" fontId="70" fillId="0" borderId="3" xfId="1" applyFont="1" applyFill="1" applyBorder="1" applyAlignment="1">
      <alignment horizontal="left" vertical="center" wrapText="1"/>
    </xf>
    <xf numFmtId="0" fontId="116" fillId="0" borderId="0" xfId="1" applyFont="1" applyFill="1" applyAlignment="1">
      <alignment vertical="center"/>
    </xf>
    <xf numFmtId="0" fontId="115" fillId="0" borderId="0" xfId="1" applyFont="1" applyFill="1" applyAlignment="1">
      <alignment vertical="center"/>
    </xf>
    <xf numFmtId="0" fontId="114" fillId="0" borderId="0" xfId="1" applyFont="1" applyFill="1"/>
    <xf numFmtId="0" fontId="117" fillId="0" borderId="0" xfId="0" applyFont="1" applyFill="1"/>
    <xf numFmtId="4" fontId="79" fillId="0" borderId="1" xfId="1" applyNumberFormat="1" applyFont="1" applyFill="1" applyBorder="1" applyAlignment="1">
      <alignment horizontal="right" vertical="center"/>
    </xf>
    <xf numFmtId="0" fontId="79" fillId="0" borderId="0" xfId="1" applyFont="1" applyFill="1"/>
    <xf numFmtId="0" fontId="79" fillId="0" borderId="8" xfId="1" applyFont="1" applyFill="1" applyBorder="1" applyAlignment="1">
      <alignment vertical="center" wrapText="1"/>
    </xf>
    <xf numFmtId="0" fontId="79" fillId="0" borderId="7" xfId="1" applyFont="1" applyFill="1" applyBorder="1" applyAlignment="1">
      <alignment horizontal="center" vertical="center" wrapText="1"/>
    </xf>
    <xf numFmtId="4" fontId="79" fillId="0" borderId="7" xfId="1" applyNumberFormat="1" applyFont="1" applyFill="1" applyBorder="1" applyAlignment="1">
      <alignment horizontal="right" vertical="center" wrapText="1"/>
    </xf>
    <xf numFmtId="0" fontId="113" fillId="0" borderId="7" xfId="1" applyFont="1" applyFill="1" applyBorder="1" applyAlignment="1">
      <alignment horizontal="center" vertical="center"/>
    </xf>
    <xf numFmtId="4" fontId="79" fillId="0" borderId="7" xfId="1" applyNumberFormat="1" applyFont="1" applyFill="1" applyBorder="1" applyAlignment="1"/>
    <xf numFmtId="4" fontId="113" fillId="3" borderId="1" xfId="1" applyNumberFormat="1" applyFont="1" applyFill="1" applyBorder="1" applyAlignment="1">
      <alignment horizontal="right" vertical="center" wrapText="1"/>
    </xf>
    <xf numFmtId="0" fontId="113" fillId="0" borderId="7" xfId="1" applyFont="1" applyFill="1" applyBorder="1" applyAlignment="1">
      <alignment horizontal="center" vertical="center" wrapText="1"/>
    </xf>
    <xf numFmtId="4" fontId="113" fillId="3" borderId="1" xfId="1" applyNumberFormat="1" applyFont="1" applyFill="1" applyBorder="1" applyAlignment="1"/>
    <xf numFmtId="0" fontId="113" fillId="0" borderId="0" xfId="1" applyFont="1" applyFill="1" applyAlignment="1">
      <alignment vertical="center"/>
    </xf>
    <xf numFmtId="0" fontId="113" fillId="0" borderId="0" xfId="1" applyFont="1" applyAlignment="1">
      <alignment vertical="center"/>
    </xf>
    <xf numFmtId="0" fontId="118" fillId="0" borderId="0" xfId="1" applyFont="1" applyFill="1" applyAlignment="1">
      <alignment vertical="center"/>
    </xf>
    <xf numFmtId="4" fontId="113" fillId="0" borderId="7" xfId="1" applyNumberFormat="1" applyFont="1" applyFill="1" applyBorder="1" applyAlignment="1">
      <alignment horizontal="right" vertical="center" wrapText="1"/>
    </xf>
    <xf numFmtId="0" fontId="70" fillId="0" borderId="1" xfId="1" applyFont="1" applyFill="1" applyBorder="1" applyAlignment="1">
      <alignment vertical="center" wrapText="1"/>
    </xf>
    <xf numFmtId="0" fontId="70" fillId="0" borderId="1" xfId="2" applyFont="1" applyFill="1" applyBorder="1" applyAlignment="1">
      <alignment horizontal="center" vertical="center" wrapText="1"/>
    </xf>
    <xf numFmtId="4" fontId="70" fillId="0" borderId="1" xfId="1" applyNumberFormat="1" applyFont="1" applyFill="1" applyBorder="1"/>
    <xf numFmtId="4" fontId="77" fillId="0" borderId="1" xfId="1" applyNumberFormat="1" applyFont="1" applyFill="1" applyBorder="1"/>
    <xf numFmtId="4" fontId="70" fillId="0" borderId="4" xfId="2" applyNumberFormat="1" applyFont="1" applyFill="1" applyBorder="1" applyAlignment="1"/>
    <xf numFmtId="0" fontId="70" fillId="0" borderId="1" xfId="1" applyFont="1" applyFill="1" applyBorder="1" applyAlignment="1">
      <alignment horizontal="center" vertical="center" wrapText="1"/>
    </xf>
    <xf numFmtId="0" fontId="70" fillId="0" borderId="3" xfId="1" applyFont="1" applyFill="1" applyBorder="1" applyAlignment="1">
      <alignment horizontal="center" vertical="center" wrapText="1"/>
    </xf>
    <xf numFmtId="0" fontId="77" fillId="0" borderId="3" xfId="1" applyFont="1" applyFill="1" applyBorder="1" applyAlignment="1">
      <alignment horizontal="center" vertical="center"/>
    </xf>
    <xf numFmtId="4" fontId="77" fillId="0" borderId="3" xfId="1" applyNumberFormat="1" applyFont="1" applyFill="1" applyBorder="1" applyAlignment="1"/>
    <xf numFmtId="4" fontId="70" fillId="0" borderId="3" xfId="1" applyNumberFormat="1" applyFont="1" applyFill="1" applyBorder="1" applyAlignment="1"/>
    <xf numFmtId="0" fontId="70" fillId="0" borderId="5" xfId="1" applyFont="1" applyFill="1" applyBorder="1" applyAlignment="1">
      <alignment horizontal="left" vertical="center" wrapText="1"/>
    </xf>
    <xf numFmtId="0" fontId="70" fillId="0" borderId="5" xfId="1" applyFont="1" applyFill="1" applyBorder="1" applyAlignment="1">
      <alignment horizontal="center" vertical="center" wrapText="1"/>
    </xf>
    <xf numFmtId="0" fontId="77" fillId="0" borderId="5" xfId="1" applyFont="1" applyFill="1" applyBorder="1" applyAlignment="1">
      <alignment horizontal="center" vertical="center"/>
    </xf>
    <xf numFmtId="4" fontId="77" fillId="0" borderId="5" xfId="1" applyNumberFormat="1" applyFont="1" applyFill="1" applyBorder="1" applyAlignment="1"/>
    <xf numFmtId="4" fontId="70" fillId="0" borderId="5" xfId="1" applyNumberFormat="1" applyFont="1" applyFill="1" applyBorder="1" applyAlignment="1"/>
    <xf numFmtId="0" fontId="70" fillId="0" borderId="7" xfId="1" applyFont="1" applyFill="1" applyBorder="1" applyAlignment="1">
      <alignment horizontal="left" vertical="center" wrapText="1"/>
    </xf>
    <xf numFmtId="0" fontId="70" fillId="0" borderId="4" xfId="2" applyFont="1" applyFill="1" applyBorder="1" applyAlignment="1">
      <alignment horizontal="left" vertical="center" wrapText="1"/>
    </xf>
    <xf numFmtId="0" fontId="70" fillId="0" borderId="4" xfId="2" applyFont="1" applyFill="1" applyBorder="1" applyAlignment="1">
      <alignment horizontal="center" vertical="center" wrapText="1"/>
    </xf>
    <xf numFmtId="0" fontId="77" fillId="0" borderId="4" xfId="2" applyFont="1" applyFill="1" applyBorder="1" applyAlignment="1">
      <alignment horizontal="center" vertical="center"/>
    </xf>
    <xf numFmtId="4" fontId="77" fillId="0" borderId="4" xfId="2" applyNumberFormat="1" applyFont="1" applyFill="1" applyBorder="1" applyAlignment="1"/>
    <xf numFmtId="4" fontId="70" fillId="0" borderId="7" xfId="1" applyNumberFormat="1" applyFont="1" applyFill="1" applyBorder="1"/>
    <xf numFmtId="4" fontId="77" fillId="0" borderId="7" xfId="1" applyNumberFormat="1" applyFont="1" applyFill="1" applyBorder="1"/>
    <xf numFmtId="0" fontId="113" fillId="2" borderId="1" xfId="1" applyFont="1" applyFill="1" applyBorder="1" applyAlignment="1">
      <alignment horizontal="center" vertical="center"/>
    </xf>
    <xf numFmtId="0" fontId="79" fillId="0" borderId="0" xfId="1" applyFont="1"/>
    <xf numFmtId="4" fontId="79" fillId="0" borderId="3" xfId="1" applyNumberFormat="1" applyFont="1" applyFill="1" applyBorder="1" applyAlignment="1"/>
    <xf numFmtId="4" fontId="79" fillId="0" borderId="5" xfId="1" applyNumberFormat="1" applyFont="1" applyFill="1" applyBorder="1" applyAlignment="1"/>
    <xf numFmtId="4" fontId="79" fillId="0" borderId="1" xfId="1" applyNumberFormat="1" applyFont="1" applyFill="1" applyBorder="1"/>
    <xf numFmtId="4" fontId="79" fillId="0" borderId="4" xfId="2" applyNumberFormat="1" applyFont="1" applyFill="1" applyBorder="1" applyAlignment="1"/>
    <xf numFmtId="0" fontId="77" fillId="3" borderId="1" xfId="1" applyFont="1" applyFill="1" applyBorder="1" applyAlignment="1">
      <alignment horizontal="center" vertical="center"/>
    </xf>
    <xf numFmtId="0" fontId="113" fillId="3" borderId="1" xfId="1" applyFont="1" applyFill="1" applyBorder="1" applyAlignment="1">
      <alignment horizontal="center" vertical="center"/>
    </xf>
    <xf numFmtId="0" fontId="77" fillId="0" borderId="8" xfId="1" applyFont="1" applyFill="1" applyBorder="1" applyAlignment="1">
      <alignment horizontal="center" vertical="center"/>
    </xf>
    <xf numFmtId="0" fontId="70" fillId="0" borderId="6" xfId="2" applyFont="1" applyFill="1" applyBorder="1" applyAlignment="1">
      <alignment horizontal="center" vertical="center" wrapText="1"/>
    </xf>
    <xf numFmtId="0" fontId="77" fillId="2" borderId="1" xfId="1" applyFont="1" applyFill="1" applyBorder="1" applyAlignment="1">
      <alignment horizontal="center" vertical="center" wrapText="1"/>
    </xf>
    <xf numFmtId="0" fontId="113" fillId="0" borderId="4" xfId="1" applyFont="1" applyFill="1" applyBorder="1" applyAlignment="1">
      <alignment horizontal="center" vertical="center"/>
    </xf>
    <xf numFmtId="4" fontId="113" fillId="0" borderId="4" xfId="1" applyNumberFormat="1" applyFont="1" applyFill="1" applyBorder="1" applyAlignment="1"/>
    <xf numFmtId="4" fontId="113" fillId="0" borderId="7" xfId="1" applyNumberFormat="1" applyFont="1" applyFill="1" applyBorder="1" applyAlignment="1"/>
    <xf numFmtId="0" fontId="79" fillId="0" borderId="4" xfId="1" applyFont="1" applyFill="1" applyBorder="1" applyAlignment="1">
      <alignment horizontal="left" vertical="center" wrapText="1"/>
    </xf>
    <xf numFmtId="4" fontId="79" fillId="0" borderId="4" xfId="1" applyNumberFormat="1" applyFont="1" applyFill="1" applyBorder="1" applyAlignment="1"/>
    <xf numFmtId="0" fontId="79" fillId="0" borderId="7" xfId="1" applyFont="1" applyFill="1" applyBorder="1" applyAlignment="1">
      <alignment horizontal="left" vertical="center" wrapText="1"/>
    </xf>
    <xf numFmtId="4" fontId="121" fillId="0" borderId="1" xfId="0" applyNumberFormat="1" applyFont="1" applyFill="1" applyBorder="1"/>
    <xf numFmtId="0" fontId="92" fillId="0" borderId="0" xfId="0" applyFont="1" applyFill="1"/>
    <xf numFmtId="0" fontId="77" fillId="0" borderId="1" xfId="1" applyFont="1" applyFill="1" applyBorder="1"/>
    <xf numFmtId="0" fontId="70" fillId="0" borderId="1" xfId="2" applyFont="1" applyFill="1" applyBorder="1" applyAlignment="1">
      <alignment horizontal="left" vertical="center" wrapText="1"/>
    </xf>
    <xf numFmtId="0" fontId="79" fillId="0" borderId="7" xfId="0" applyFont="1" applyFill="1" applyBorder="1" applyAlignment="1">
      <alignment horizontal="left" vertical="center" wrapText="1"/>
    </xf>
    <xf numFmtId="4" fontId="120" fillId="57" borderId="1" xfId="1" applyNumberFormat="1" applyFont="1" applyFill="1" applyBorder="1" applyAlignment="1"/>
    <xf numFmtId="0" fontId="120" fillId="57" borderId="8" xfId="1" applyFont="1" applyFill="1" applyBorder="1" applyAlignment="1">
      <alignment horizontal="center" vertical="center"/>
    </xf>
    <xf numFmtId="0" fontId="120" fillId="57" borderId="1" xfId="1" applyFont="1" applyFill="1" applyBorder="1" applyAlignment="1">
      <alignment horizontal="center" vertical="center"/>
    </xf>
    <xf numFmtId="0" fontId="122" fillId="0" borderId="1" xfId="1" applyFont="1" applyFill="1" applyBorder="1" applyAlignment="1">
      <alignment horizontal="center" vertical="center" wrapText="1"/>
    </xf>
    <xf numFmtId="0" fontId="78" fillId="0" borderId="0" xfId="1" applyFont="1" applyFill="1" applyAlignment="1">
      <alignment horizontal="center"/>
    </xf>
    <xf numFmtId="4" fontId="113" fillId="3" borderId="7" xfId="1" applyNumberFormat="1" applyFont="1" applyFill="1" applyBorder="1" applyAlignment="1">
      <alignment horizontal="right" vertical="center" wrapText="1"/>
    </xf>
    <xf numFmtId="0" fontId="79" fillId="0" borderId="0" xfId="1" applyFont="1" applyFill="1" applyBorder="1"/>
    <xf numFmtId="0" fontId="120" fillId="57" borderId="1" xfId="1" applyFont="1" applyFill="1" applyBorder="1" applyAlignment="1">
      <alignment vertical="center" wrapText="1"/>
    </xf>
    <xf numFmtId="0" fontId="120" fillId="57" borderId="1" xfId="2" applyFont="1" applyFill="1" applyBorder="1" applyAlignment="1">
      <alignment horizontal="center" vertical="center" wrapText="1"/>
    </xf>
    <xf numFmtId="4" fontId="120" fillId="57" borderId="1" xfId="1" applyNumberFormat="1" applyFont="1" applyFill="1" applyBorder="1"/>
    <xf numFmtId="4" fontId="116" fillId="57" borderId="1" xfId="1" applyNumberFormat="1" applyFont="1" applyFill="1" applyBorder="1"/>
    <xf numFmtId="0" fontId="120" fillId="57" borderId="7" xfId="1" applyFont="1" applyFill="1" applyBorder="1" applyAlignment="1">
      <alignment horizontal="center" vertical="center"/>
    </xf>
    <xf numFmtId="4" fontId="120" fillId="57" borderId="7" xfId="1" applyNumberFormat="1" applyFont="1" applyFill="1" applyBorder="1"/>
    <xf numFmtId="0" fontId="79" fillId="58" borderId="7" xfId="1" applyFont="1" applyFill="1" applyBorder="1" applyAlignment="1">
      <alignment horizontal="left" vertical="center" wrapText="1"/>
    </xf>
    <xf numFmtId="0" fontId="79" fillId="58" borderId="7" xfId="1" applyFont="1" applyFill="1" applyBorder="1" applyAlignment="1">
      <alignment horizontal="center" vertical="center" wrapText="1"/>
    </xf>
    <xf numFmtId="4" fontId="79" fillId="58" borderId="7" xfId="1" applyNumberFormat="1" applyFont="1" applyFill="1" applyBorder="1" applyAlignment="1"/>
    <xf numFmtId="4" fontId="79" fillId="58" borderId="1" xfId="1" applyNumberFormat="1" applyFont="1" applyFill="1" applyBorder="1" applyAlignment="1"/>
    <xf numFmtId="0" fontId="79" fillId="58" borderId="0" xfId="1" applyFont="1" applyFill="1" applyAlignment="1">
      <alignment vertical="center"/>
    </xf>
    <xf numFmtId="0" fontId="113" fillId="58" borderId="7" xfId="1" applyFont="1" applyFill="1" applyBorder="1" applyAlignment="1">
      <alignment horizontal="center" vertical="center"/>
    </xf>
    <xf numFmtId="0" fontId="113" fillId="58" borderId="1" xfId="1" applyFont="1" applyFill="1" applyBorder="1" applyAlignment="1">
      <alignment horizontal="center" vertical="center"/>
    </xf>
    <xf numFmtId="0" fontId="77" fillId="58" borderId="8" xfId="1" applyFont="1" applyFill="1" applyBorder="1" applyAlignment="1">
      <alignment horizontal="center" vertical="center"/>
    </xf>
    <xf numFmtId="0" fontId="77" fillId="58" borderId="7" xfId="1" applyFont="1" applyFill="1" applyBorder="1" applyAlignment="1">
      <alignment horizontal="center" vertical="center"/>
    </xf>
    <xf numFmtId="4" fontId="77" fillId="58" borderId="1" xfId="1" applyNumberFormat="1" applyFont="1" applyFill="1" applyBorder="1" applyAlignment="1"/>
    <xf numFmtId="0" fontId="70" fillId="58" borderId="7" xfId="2" applyFont="1" applyFill="1" applyBorder="1" applyAlignment="1">
      <alignment horizontal="left" vertical="center" wrapText="1"/>
    </xf>
    <xf numFmtId="0" fontId="70" fillId="58" borderId="7" xfId="2" applyFont="1" applyFill="1" applyBorder="1" applyAlignment="1">
      <alignment horizontal="center" vertical="center" wrapText="1"/>
    </xf>
    <xf numFmtId="4" fontId="70" fillId="58" borderId="7" xfId="1" applyNumberFormat="1" applyFont="1" applyFill="1" applyBorder="1"/>
    <xf numFmtId="4" fontId="79" fillId="58" borderId="7" xfId="1" applyNumberFormat="1" applyFont="1" applyFill="1" applyBorder="1"/>
    <xf numFmtId="4" fontId="123" fillId="58" borderId="7" xfId="0" applyNumberFormat="1" applyFont="1" applyFill="1" applyBorder="1"/>
    <xf numFmtId="0" fontId="120" fillId="57" borderId="4" xfId="2" applyFont="1" applyFill="1" applyBorder="1" applyAlignment="1">
      <alignment horizontal="center" vertical="center"/>
    </xf>
    <xf numFmtId="4" fontId="120" fillId="57" borderId="4" xfId="2" applyNumberFormat="1" applyFont="1" applyFill="1" applyBorder="1" applyAlignment="1"/>
    <xf numFmtId="0" fontId="120" fillId="57" borderId="4" xfId="2" applyFont="1" applyFill="1" applyBorder="1" applyAlignment="1">
      <alignment horizontal="left" vertical="center" wrapText="1"/>
    </xf>
    <xf numFmtId="0" fontId="120" fillId="57" borderId="4" xfId="2" applyFont="1" applyFill="1" applyBorder="1" applyAlignment="1">
      <alignment horizontal="center" vertical="center" wrapText="1"/>
    </xf>
    <xf numFmtId="4" fontId="116" fillId="57" borderId="4" xfId="2" applyNumberFormat="1" applyFont="1" applyFill="1" applyBorder="1" applyAlignment="1"/>
    <xf numFmtId="0" fontId="70" fillId="0" borderId="1" xfId="0" applyFont="1" applyFill="1" applyBorder="1" applyAlignment="1">
      <alignment vertical="center" wrapText="1"/>
    </xf>
    <xf numFmtId="0" fontId="120" fillId="57" borderId="7" xfId="2" applyFont="1" applyFill="1" applyBorder="1" applyAlignment="1">
      <alignment horizontal="left" vertical="center" wrapText="1"/>
    </xf>
    <xf numFmtId="0" fontId="120" fillId="57" borderId="7" xfId="2" applyFont="1" applyFill="1" applyBorder="1" applyAlignment="1">
      <alignment horizontal="center" vertical="center" wrapText="1"/>
    </xf>
    <xf numFmtId="4" fontId="116" fillId="57" borderId="7" xfId="1" applyNumberFormat="1" applyFont="1" applyFill="1" applyBorder="1"/>
    <xf numFmtId="4" fontId="120" fillId="57" borderId="7" xfId="0" applyNumberFormat="1" applyFont="1" applyFill="1" applyBorder="1"/>
    <xf numFmtId="4" fontId="124" fillId="57" borderId="7" xfId="0" applyNumberFormat="1" applyFont="1" applyFill="1" applyBorder="1"/>
    <xf numFmtId="0" fontId="120" fillId="57" borderId="5" xfId="1" applyFont="1" applyFill="1" applyBorder="1" applyAlignment="1">
      <alignment vertical="center" wrapText="1"/>
    </xf>
    <xf numFmtId="0" fontId="70" fillId="0" borderId="7" xfId="1" applyFont="1" applyFill="1" applyBorder="1" applyAlignment="1">
      <alignment vertical="center"/>
    </xf>
    <xf numFmtId="164" fontId="79" fillId="0" borderId="7" xfId="1" applyNumberFormat="1" applyFont="1" applyFill="1" applyBorder="1"/>
    <xf numFmtId="164" fontId="70" fillId="0" borderId="7" xfId="1" applyNumberFormat="1" applyFont="1" applyFill="1" applyBorder="1"/>
    <xf numFmtId="0" fontId="120" fillId="57" borderId="7" xfId="1" applyFont="1" applyFill="1" applyBorder="1" applyAlignment="1">
      <alignment horizontal="left" vertical="center" wrapText="1"/>
    </xf>
    <xf numFmtId="0" fontId="120" fillId="57" borderId="6" xfId="2" applyFont="1" applyFill="1" applyBorder="1" applyAlignment="1">
      <alignment horizontal="center" vertical="center" wrapText="1"/>
    </xf>
    <xf numFmtId="164" fontId="116" fillId="57" borderId="7" xfId="1" applyNumberFormat="1" applyFont="1" applyFill="1" applyBorder="1"/>
    <xf numFmtId="164" fontId="120" fillId="57" borderId="7" xfId="1" applyNumberFormat="1" applyFont="1" applyFill="1" applyBorder="1"/>
    <xf numFmtId="0" fontId="116" fillId="57" borderId="1" xfId="1" applyFont="1" applyFill="1" applyBorder="1" applyAlignment="1">
      <alignment horizontal="center" vertical="center"/>
    </xf>
    <xf numFmtId="0" fontId="116" fillId="57" borderId="7" xfId="1" applyFont="1" applyFill="1" applyBorder="1" applyAlignment="1">
      <alignment horizontal="center" vertical="center"/>
    </xf>
    <xf numFmtId="4" fontId="116" fillId="57" borderId="7" xfId="1" applyNumberFormat="1" applyFont="1" applyFill="1" applyBorder="1" applyAlignment="1"/>
    <xf numFmtId="4" fontId="116" fillId="57" borderId="1" xfId="1" applyNumberFormat="1" applyFont="1" applyFill="1" applyBorder="1" applyAlignment="1"/>
    <xf numFmtId="0" fontId="116" fillId="57" borderId="7" xfId="0" applyFont="1" applyFill="1" applyBorder="1" applyAlignment="1">
      <alignment horizontal="left" vertical="center" wrapText="1"/>
    </xf>
    <xf numFmtId="0" fontId="120" fillId="57" borderId="1" xfId="1" applyFont="1" applyFill="1" applyBorder="1" applyAlignment="1">
      <alignment horizontal="center" vertical="center" wrapText="1"/>
    </xf>
    <xf numFmtId="0" fontId="125" fillId="57" borderId="7" xfId="11" applyFont="1" applyFill="1" applyBorder="1" applyAlignment="1">
      <alignment horizontal="left" vertical="center" wrapText="1"/>
    </xf>
    <xf numFmtId="4" fontId="126" fillId="57" borderId="7" xfId="1" applyNumberFormat="1" applyFont="1" applyFill="1" applyBorder="1"/>
    <xf numFmtId="0" fontId="120" fillId="57" borderId="7" xfId="1" applyFont="1" applyFill="1" applyBorder="1" applyAlignment="1">
      <alignment vertical="center" wrapText="1"/>
    </xf>
    <xf numFmtId="0" fontId="120" fillId="57" borderId="7" xfId="2" applyFont="1" applyFill="1" applyBorder="1" applyAlignment="1" applyProtection="1">
      <alignment vertical="center" wrapText="1"/>
    </xf>
    <xf numFmtId="0" fontId="120" fillId="57" borderId="6" xfId="1" applyFont="1" applyFill="1" applyBorder="1" applyAlignment="1">
      <alignment horizontal="center" vertical="center" wrapText="1"/>
    </xf>
    <xf numFmtId="0" fontId="75" fillId="0" borderId="0" xfId="1" applyFont="1" applyAlignment="1">
      <alignment horizontal="center" vertical="center"/>
    </xf>
    <xf numFmtId="0" fontId="77" fillId="2" borderId="1" xfId="1" applyFont="1" applyFill="1" applyBorder="1" applyAlignment="1">
      <alignment horizontal="center" vertical="center" wrapText="1"/>
    </xf>
    <xf numFmtId="0" fontId="77" fillId="2" borderId="9" xfId="1" applyFont="1" applyFill="1" applyBorder="1" applyAlignment="1">
      <alignment horizontal="center" vertical="center"/>
    </xf>
    <xf numFmtId="0" fontId="77" fillId="2" borderId="6" xfId="1" applyFont="1" applyFill="1" applyBorder="1" applyAlignment="1">
      <alignment horizontal="center" vertical="center"/>
    </xf>
    <xf numFmtId="0" fontId="113" fillId="3" borderId="8" xfId="1" applyFont="1" applyFill="1" applyBorder="1" applyAlignment="1">
      <alignment horizontal="left" vertical="center" wrapText="1"/>
    </xf>
    <xf numFmtId="0" fontId="113" fillId="3" borderId="9" xfId="1" applyFont="1" applyFill="1" applyBorder="1" applyAlignment="1">
      <alignment horizontal="left" vertical="center" wrapText="1"/>
    </xf>
    <xf numFmtId="0" fontId="113" fillId="3" borderId="6" xfId="1" applyFont="1" applyFill="1" applyBorder="1" applyAlignment="1">
      <alignment horizontal="left" vertical="center" wrapText="1"/>
    </xf>
    <xf numFmtId="0" fontId="77" fillId="3" borderId="1" xfId="1" applyFont="1" applyFill="1" applyBorder="1" applyAlignment="1">
      <alignment horizontal="left" vertical="center" wrapText="1"/>
    </xf>
    <xf numFmtId="0" fontId="113" fillId="3" borderId="7" xfId="1" applyFont="1" applyFill="1" applyBorder="1" applyAlignment="1">
      <alignment horizontal="left" vertical="center" wrapText="1"/>
    </xf>
  </cellXfs>
  <cellStyles count="180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F47C5265-3B15-4CF1-8EBC-21B64CDE624A}"/>
    <cellStyle name="Normalny 8 69" xfId="179" xr:uid="{BE820684-B4E3-4224-868C-C216DEDC5145}"/>
    <cellStyle name="Normalny 8 7" xfId="14" xr:uid="{00000000-0005-0000-0000-000098000000}"/>
    <cellStyle name="Normalny 8 8" xfId="15" xr:uid="{00000000-0005-0000-0000-000099000000}"/>
    <cellStyle name="Normalny 8 9" xfId="16" xr:uid="{00000000-0005-0000-0000-00009A000000}"/>
    <cellStyle name="Normalny 9" xfId="5" xr:uid="{00000000-0005-0000-0000-00009B000000}"/>
    <cellStyle name="Obliczenia 2" xfId="123" xr:uid="{00000000-0005-0000-0000-00009C000000}"/>
    <cellStyle name="Obliczenia 3" xfId="124" xr:uid="{00000000-0005-0000-0000-00009D000000}"/>
    <cellStyle name="Procentowy 2" xfId="125" xr:uid="{00000000-0005-0000-0000-00009E000000}"/>
    <cellStyle name="Procentowy 2 2" xfId="6" xr:uid="{00000000-0005-0000-0000-00009F000000}"/>
    <cellStyle name="Procentowy 2 3" xfId="126" xr:uid="{00000000-0005-0000-0000-0000A0000000}"/>
    <cellStyle name="Procentowy 3" xfId="127" xr:uid="{00000000-0005-0000-0000-0000A1000000}"/>
    <cellStyle name="Procentowy 3 2" xfId="128" xr:uid="{00000000-0005-0000-0000-0000A2000000}"/>
    <cellStyle name="Procentowy 4" xfId="129" xr:uid="{00000000-0005-0000-0000-0000A3000000}"/>
    <cellStyle name="Procentowy 5" xfId="130" xr:uid="{00000000-0005-0000-0000-0000A4000000}"/>
    <cellStyle name="Procentowy 6" xfId="131" xr:uid="{00000000-0005-0000-0000-0000A5000000}"/>
    <cellStyle name="Suma 2" xfId="132" xr:uid="{00000000-0005-0000-0000-0000A6000000}"/>
    <cellStyle name="Suma 3" xfId="133" xr:uid="{00000000-0005-0000-0000-0000A7000000}"/>
    <cellStyle name="Tekst objaśnienia 2" xfId="134" xr:uid="{00000000-0005-0000-0000-0000A8000000}"/>
    <cellStyle name="Tekst objaśnienia 3" xfId="135" xr:uid="{00000000-0005-0000-0000-0000A9000000}"/>
    <cellStyle name="Tekst ostrzeżenia 2" xfId="136" xr:uid="{00000000-0005-0000-0000-0000AA000000}"/>
    <cellStyle name="Tekst ostrzeżenia 3" xfId="137" xr:uid="{00000000-0005-0000-0000-0000AB000000}"/>
    <cellStyle name="Tytuł 2" xfId="139" xr:uid="{00000000-0005-0000-0000-0000AC000000}"/>
    <cellStyle name="Tytuł 3" xfId="138" xr:uid="{00000000-0005-0000-0000-0000AD000000}"/>
    <cellStyle name="Uwaga 2" xfId="140" xr:uid="{00000000-0005-0000-0000-0000AE000000}"/>
    <cellStyle name="Uwaga 3" xfId="141" xr:uid="{00000000-0005-0000-0000-0000AF000000}"/>
    <cellStyle name="Złe 2" xfId="142" xr:uid="{00000000-0005-0000-0000-0000B0000000}"/>
    <cellStyle name="Złe 3" xfId="143" xr:uid="{00000000-0005-0000-0000-0000B1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C157"/>
  <sheetViews>
    <sheetView tabSelected="1" zoomScale="96" zoomScaleNormal="96" workbookViewId="0">
      <pane ySplit="5" topLeftCell="A66" activePane="bottomLeft" state="frozen"/>
      <selection pane="bottomLeft" activeCell="B62" sqref="B62"/>
    </sheetView>
  </sheetViews>
  <sheetFormatPr defaultRowHeight="12.75"/>
  <cols>
    <col min="1" max="1" width="10.7109375" style="15" customWidth="1"/>
    <col min="2" max="2" width="53" style="1" customWidth="1"/>
    <col min="3" max="3" width="19.42578125" style="3" customWidth="1"/>
    <col min="4" max="5" width="7.42578125" style="15" customWidth="1"/>
    <col min="6" max="6" width="16.5703125" style="4" customWidth="1"/>
    <col min="7" max="7" width="15.7109375" style="77" customWidth="1"/>
    <col min="8" max="13" width="15.7109375" style="1" customWidth="1"/>
    <col min="14" max="14" width="15.85546875" style="4" customWidth="1"/>
    <col min="15" max="211" width="9.140625" style="14"/>
    <col min="212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211" s="2" customFormat="1" ht="22.5" customHeight="1">
      <c r="A1" s="156" t="s">
        <v>105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</row>
    <row r="2" spans="1:211" ht="12.75" customHeight="1"/>
    <row r="3" spans="1:211" ht="12.75" customHeight="1">
      <c r="B3" s="14"/>
    </row>
    <row r="4" spans="1:211" ht="42" customHeight="1">
      <c r="A4" s="157" t="s">
        <v>0</v>
      </c>
      <c r="B4" s="157" t="s">
        <v>1</v>
      </c>
      <c r="C4" s="157" t="s">
        <v>2</v>
      </c>
      <c r="D4" s="157" t="s">
        <v>3</v>
      </c>
      <c r="E4" s="157"/>
      <c r="F4" s="157" t="s">
        <v>4</v>
      </c>
      <c r="G4" s="158" t="s">
        <v>113</v>
      </c>
      <c r="H4" s="158"/>
      <c r="I4" s="158"/>
      <c r="J4" s="158"/>
      <c r="K4" s="158"/>
      <c r="L4" s="158"/>
      <c r="M4" s="159"/>
      <c r="N4" s="157" t="s">
        <v>5</v>
      </c>
    </row>
    <row r="5" spans="1:211" s="15" customFormat="1" ht="23.25" customHeight="1">
      <c r="A5" s="157"/>
      <c r="B5" s="157"/>
      <c r="C5" s="157"/>
      <c r="D5" s="86" t="s">
        <v>6</v>
      </c>
      <c r="E5" s="86" t="s">
        <v>7</v>
      </c>
      <c r="F5" s="157"/>
      <c r="G5" s="76">
        <v>2022</v>
      </c>
      <c r="H5" s="19">
        <v>2023</v>
      </c>
      <c r="I5" s="19">
        <v>2024</v>
      </c>
      <c r="J5" s="19">
        <v>2025</v>
      </c>
      <c r="K5" s="19">
        <v>2026</v>
      </c>
      <c r="L5" s="19">
        <v>2027</v>
      </c>
      <c r="M5" s="19">
        <v>2028</v>
      </c>
      <c r="N5" s="157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</row>
    <row r="6" spans="1:211" s="102" customFormat="1" ht="1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101">
        <v>9</v>
      </c>
      <c r="H6" s="5">
        <v>10</v>
      </c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</row>
    <row r="7" spans="1:211" s="7" customFormat="1" ht="18.75" customHeight="1">
      <c r="A7" s="82" t="s">
        <v>8</v>
      </c>
      <c r="B7" s="163" t="s">
        <v>9</v>
      </c>
      <c r="C7" s="163"/>
      <c r="D7" s="163"/>
      <c r="E7" s="163"/>
      <c r="F7" s="6">
        <f t="shared" ref="F7:N7" si="0">SUM(F10,F23,F26)</f>
        <v>116095311</v>
      </c>
      <c r="G7" s="47">
        <f t="shared" si="0"/>
        <v>29689604</v>
      </c>
      <c r="H7" s="6">
        <f t="shared" si="0"/>
        <v>40384327</v>
      </c>
      <c r="I7" s="6">
        <f t="shared" si="0"/>
        <v>25281643</v>
      </c>
      <c r="J7" s="6">
        <f t="shared" si="0"/>
        <v>2122180</v>
      </c>
      <c r="K7" s="6">
        <f t="shared" si="0"/>
        <v>2572180</v>
      </c>
      <c r="L7" s="6">
        <f t="shared" si="0"/>
        <v>2000000</v>
      </c>
      <c r="M7" s="6">
        <f t="shared" si="0"/>
        <v>3150000</v>
      </c>
      <c r="N7" s="6">
        <f t="shared" si="0"/>
        <v>105199934</v>
      </c>
    </row>
    <row r="8" spans="1:211" s="7" customFormat="1" ht="18.75" customHeight="1">
      <c r="A8" s="82" t="s">
        <v>10</v>
      </c>
      <c r="B8" s="163" t="s">
        <v>11</v>
      </c>
      <c r="C8" s="163"/>
      <c r="D8" s="163"/>
      <c r="E8" s="163"/>
      <c r="F8" s="6">
        <f t="shared" ref="F8:N8" si="1">SUM(F11,F24,F27)</f>
        <v>14199530</v>
      </c>
      <c r="G8" s="47">
        <f t="shared" si="1"/>
        <v>3496118</v>
      </c>
      <c r="H8" s="6">
        <f t="shared" si="1"/>
        <v>5498823</v>
      </c>
      <c r="I8" s="6">
        <f t="shared" si="1"/>
        <v>1196643</v>
      </c>
      <c r="J8" s="6">
        <f t="shared" si="1"/>
        <v>422180</v>
      </c>
      <c r="K8" s="6">
        <f t="shared" si="1"/>
        <v>422180</v>
      </c>
      <c r="L8" s="6">
        <f t="shared" si="1"/>
        <v>0</v>
      </c>
      <c r="M8" s="6">
        <f t="shared" si="1"/>
        <v>0</v>
      </c>
      <c r="N8" s="6">
        <f t="shared" si="1"/>
        <v>11035944</v>
      </c>
    </row>
    <row r="9" spans="1:211" s="7" customFormat="1" ht="18.75" customHeight="1">
      <c r="A9" s="82" t="s">
        <v>12</v>
      </c>
      <c r="B9" s="163" t="s">
        <v>13</v>
      </c>
      <c r="C9" s="163"/>
      <c r="D9" s="163"/>
      <c r="E9" s="163"/>
      <c r="F9" s="6">
        <f>SUM(F21,F25,F33)</f>
        <v>101895781</v>
      </c>
      <c r="G9" s="47">
        <f t="shared" ref="G9:N9" si="2">SUM(G21,G25,G33)</f>
        <v>26193486</v>
      </c>
      <c r="H9" s="6">
        <f t="shared" si="2"/>
        <v>34885504</v>
      </c>
      <c r="I9" s="6">
        <f t="shared" si="2"/>
        <v>24085000</v>
      </c>
      <c r="J9" s="6">
        <f t="shared" si="2"/>
        <v>1700000</v>
      </c>
      <c r="K9" s="6">
        <f t="shared" si="2"/>
        <v>2150000</v>
      </c>
      <c r="L9" s="6">
        <f t="shared" si="2"/>
        <v>2000000</v>
      </c>
      <c r="M9" s="6">
        <f t="shared" si="2"/>
        <v>3150000</v>
      </c>
      <c r="N9" s="6">
        <f t="shared" si="2"/>
        <v>94163990</v>
      </c>
    </row>
    <row r="10" spans="1:211" s="9" customFormat="1" ht="54.75" customHeight="1">
      <c r="A10" s="82" t="s">
        <v>14</v>
      </c>
      <c r="B10" s="163" t="s">
        <v>94</v>
      </c>
      <c r="C10" s="163"/>
      <c r="D10" s="163"/>
      <c r="E10" s="163"/>
      <c r="F10" s="8">
        <f t="shared" ref="F10:N10" si="3">SUM(F11,F21)</f>
        <v>4432111</v>
      </c>
      <c r="G10" s="49">
        <f t="shared" si="3"/>
        <v>1555047</v>
      </c>
      <c r="H10" s="8">
        <f t="shared" si="3"/>
        <v>401189</v>
      </c>
      <c r="I10" s="8">
        <f t="shared" si="3"/>
        <v>0</v>
      </c>
      <c r="J10" s="8">
        <f t="shared" si="3"/>
        <v>0</v>
      </c>
      <c r="K10" s="8">
        <f t="shared" si="3"/>
        <v>0</v>
      </c>
      <c r="L10" s="8">
        <f t="shared" si="3"/>
        <v>0</v>
      </c>
      <c r="M10" s="8">
        <f t="shared" si="3"/>
        <v>0</v>
      </c>
      <c r="N10" s="8">
        <f t="shared" si="3"/>
        <v>1956236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</row>
    <row r="11" spans="1:211" s="7" customFormat="1" ht="18.75" customHeight="1">
      <c r="A11" s="82" t="s">
        <v>15</v>
      </c>
      <c r="B11" s="163" t="s">
        <v>11</v>
      </c>
      <c r="C11" s="163"/>
      <c r="D11" s="163"/>
      <c r="E11" s="163"/>
      <c r="F11" s="47">
        <f>SUM(F12:F20)</f>
        <v>4118471</v>
      </c>
      <c r="G11" s="47">
        <f t="shared" ref="G11:N11" si="4">SUM(G12:G20)</f>
        <v>1501429</v>
      </c>
      <c r="H11" s="47">
        <f t="shared" si="4"/>
        <v>401189</v>
      </c>
      <c r="I11" s="47">
        <f t="shared" si="4"/>
        <v>0</v>
      </c>
      <c r="J11" s="47">
        <f t="shared" si="4"/>
        <v>0</v>
      </c>
      <c r="K11" s="47">
        <f t="shared" si="4"/>
        <v>0</v>
      </c>
      <c r="L11" s="47">
        <f t="shared" si="4"/>
        <v>0</v>
      </c>
      <c r="M11" s="47">
        <f t="shared" si="4"/>
        <v>0</v>
      </c>
      <c r="N11" s="47">
        <f t="shared" si="4"/>
        <v>1902618</v>
      </c>
    </row>
    <row r="12" spans="1:211" s="28" customFormat="1" ht="42" customHeight="1">
      <c r="A12" s="23" t="s">
        <v>99</v>
      </c>
      <c r="B12" s="25" t="s">
        <v>118</v>
      </c>
      <c r="C12" s="26" t="s">
        <v>72</v>
      </c>
      <c r="D12" s="23">
        <v>2019</v>
      </c>
      <c r="E12" s="23">
        <v>2022</v>
      </c>
      <c r="F12" s="29">
        <f>805245+4</f>
        <v>805249</v>
      </c>
      <c r="G12" s="27">
        <v>174224</v>
      </c>
      <c r="H12" s="27"/>
      <c r="I12" s="27"/>
      <c r="J12" s="27"/>
      <c r="K12" s="27"/>
      <c r="L12" s="27"/>
      <c r="M12" s="27"/>
      <c r="N12" s="29">
        <f t="shared" ref="N12:N20" si="5">SUM(G12:L12)</f>
        <v>174224</v>
      </c>
    </row>
    <row r="13" spans="1:211" s="28" customFormat="1" ht="42" customHeight="1">
      <c r="A13" s="23" t="s">
        <v>67</v>
      </c>
      <c r="B13" s="25" t="s">
        <v>71</v>
      </c>
      <c r="C13" s="26" t="s">
        <v>17</v>
      </c>
      <c r="D13" s="23">
        <v>2019</v>
      </c>
      <c r="E13" s="23">
        <v>2022</v>
      </c>
      <c r="F13" s="29">
        <f>830404+2</f>
        <v>830406</v>
      </c>
      <c r="G13" s="27">
        <f>59621+5331+116214</f>
        <v>181166</v>
      </c>
      <c r="H13" s="27"/>
      <c r="I13" s="27"/>
      <c r="J13" s="27"/>
      <c r="K13" s="27"/>
      <c r="L13" s="27"/>
      <c r="M13" s="27"/>
      <c r="N13" s="29">
        <f t="shared" si="5"/>
        <v>181166</v>
      </c>
    </row>
    <row r="14" spans="1:211" s="28" customFormat="1" ht="42.75" customHeight="1">
      <c r="A14" s="23" t="s">
        <v>68</v>
      </c>
      <c r="B14" s="25" t="s">
        <v>74</v>
      </c>
      <c r="C14" s="26" t="s">
        <v>17</v>
      </c>
      <c r="D14" s="23">
        <v>2019</v>
      </c>
      <c r="E14" s="23">
        <v>2022</v>
      </c>
      <c r="F14" s="29">
        <v>641116</v>
      </c>
      <c r="G14" s="27">
        <f>133226+4771</f>
        <v>137997</v>
      </c>
      <c r="H14" s="27"/>
      <c r="I14" s="27"/>
      <c r="J14" s="27"/>
      <c r="K14" s="27"/>
      <c r="L14" s="27"/>
      <c r="M14" s="27"/>
      <c r="N14" s="29">
        <f t="shared" si="5"/>
        <v>137997</v>
      </c>
    </row>
    <row r="15" spans="1:211" s="28" customFormat="1" ht="42" customHeight="1">
      <c r="A15" s="23" t="s">
        <v>18</v>
      </c>
      <c r="B15" s="90" t="s">
        <v>81</v>
      </c>
      <c r="C15" s="26" t="s">
        <v>17</v>
      </c>
      <c r="D15" s="87">
        <v>2020</v>
      </c>
      <c r="E15" s="87">
        <v>2022</v>
      </c>
      <c r="F15" s="88">
        <f>256153+1</f>
        <v>256154</v>
      </c>
      <c r="G15" s="91">
        <f>51231+48489</f>
        <v>99720</v>
      </c>
      <c r="H15" s="91"/>
      <c r="I15" s="91"/>
      <c r="J15" s="91"/>
      <c r="K15" s="91"/>
      <c r="L15" s="91"/>
      <c r="M15" s="91"/>
      <c r="N15" s="29">
        <f t="shared" si="5"/>
        <v>99720</v>
      </c>
    </row>
    <row r="16" spans="1:211" s="28" customFormat="1" ht="47.25" customHeight="1">
      <c r="A16" s="23" t="s">
        <v>19</v>
      </c>
      <c r="B16" s="92" t="s">
        <v>82</v>
      </c>
      <c r="C16" s="43" t="s">
        <v>83</v>
      </c>
      <c r="D16" s="45">
        <v>2020</v>
      </c>
      <c r="E16" s="45">
        <v>2022</v>
      </c>
      <c r="F16" s="89">
        <v>132789</v>
      </c>
      <c r="G16" s="46">
        <f>27864+71853</f>
        <v>99717</v>
      </c>
      <c r="H16" s="46"/>
      <c r="I16" s="46"/>
      <c r="J16" s="46"/>
      <c r="K16" s="46"/>
      <c r="L16" s="46"/>
      <c r="M16" s="46"/>
      <c r="N16" s="29">
        <f t="shared" si="5"/>
        <v>99717</v>
      </c>
    </row>
    <row r="17" spans="1:211" s="28" customFormat="1" ht="47.25" customHeight="1">
      <c r="A17" s="23" t="s">
        <v>69</v>
      </c>
      <c r="B17" s="92" t="s">
        <v>115</v>
      </c>
      <c r="C17" s="43" t="s">
        <v>116</v>
      </c>
      <c r="D17" s="45">
        <v>2020</v>
      </c>
      <c r="E17" s="45">
        <v>2022</v>
      </c>
      <c r="F17" s="89">
        <v>96733</v>
      </c>
      <c r="G17" s="46">
        <v>31220</v>
      </c>
      <c r="H17" s="46"/>
      <c r="I17" s="46"/>
      <c r="J17" s="46"/>
      <c r="K17" s="46"/>
      <c r="L17" s="46"/>
      <c r="M17" s="46"/>
      <c r="N17" s="89">
        <f t="shared" si="5"/>
        <v>31220</v>
      </c>
    </row>
    <row r="18" spans="1:211" s="28" customFormat="1" ht="35.25" customHeight="1">
      <c r="A18" s="23" t="s">
        <v>70</v>
      </c>
      <c r="B18" s="25" t="s">
        <v>90</v>
      </c>
      <c r="C18" s="26" t="s">
        <v>16</v>
      </c>
      <c r="D18" s="23">
        <v>2020</v>
      </c>
      <c r="E18" s="23">
        <v>2022</v>
      </c>
      <c r="F18" s="29">
        <v>526702</v>
      </c>
      <c r="G18" s="27">
        <v>366616</v>
      </c>
      <c r="H18" s="27"/>
      <c r="I18" s="27"/>
      <c r="J18" s="27"/>
      <c r="K18" s="27"/>
      <c r="L18" s="27"/>
      <c r="M18" s="27"/>
      <c r="N18" s="29">
        <f t="shared" si="5"/>
        <v>366616</v>
      </c>
    </row>
    <row r="19" spans="1:211" s="28" customFormat="1" ht="42.75" customHeight="1">
      <c r="A19" s="23" t="s">
        <v>117</v>
      </c>
      <c r="B19" s="25" t="s">
        <v>96</v>
      </c>
      <c r="C19" s="26" t="s">
        <v>16</v>
      </c>
      <c r="D19" s="23">
        <v>2021</v>
      </c>
      <c r="E19" s="23">
        <v>2023</v>
      </c>
      <c r="F19" s="29">
        <v>687736</v>
      </c>
      <c r="G19" s="27">
        <f>243333+56230</f>
        <v>299563</v>
      </c>
      <c r="H19" s="27">
        <v>370809</v>
      </c>
      <c r="I19" s="27"/>
      <c r="J19" s="27"/>
      <c r="K19" s="27"/>
      <c r="L19" s="27"/>
      <c r="M19" s="27"/>
      <c r="N19" s="29">
        <f t="shared" si="5"/>
        <v>670372</v>
      </c>
    </row>
    <row r="20" spans="1:211" s="115" customFormat="1" ht="42.75" customHeight="1">
      <c r="A20" s="117" t="s">
        <v>127</v>
      </c>
      <c r="B20" s="111" t="s">
        <v>128</v>
      </c>
      <c r="C20" s="112" t="s">
        <v>129</v>
      </c>
      <c r="D20" s="116">
        <v>2022</v>
      </c>
      <c r="E20" s="116">
        <v>2023</v>
      </c>
      <c r="F20" s="113">
        <v>141586</v>
      </c>
      <c r="G20" s="113">
        <v>111206</v>
      </c>
      <c r="H20" s="113">
        <v>30380</v>
      </c>
      <c r="I20" s="113"/>
      <c r="J20" s="113"/>
      <c r="K20" s="113"/>
      <c r="L20" s="113"/>
      <c r="M20" s="113"/>
      <c r="N20" s="114">
        <f t="shared" si="5"/>
        <v>141586</v>
      </c>
    </row>
    <row r="21" spans="1:211" s="30" customFormat="1" ht="22.5" customHeight="1">
      <c r="A21" s="83" t="s">
        <v>20</v>
      </c>
      <c r="B21" s="164" t="s">
        <v>13</v>
      </c>
      <c r="C21" s="164"/>
      <c r="D21" s="164"/>
      <c r="E21" s="164"/>
      <c r="F21" s="103">
        <f t="shared" ref="F21:N21" si="6">SUM(F22:F22)</f>
        <v>313640</v>
      </c>
      <c r="G21" s="103">
        <f t="shared" si="6"/>
        <v>53618</v>
      </c>
      <c r="H21" s="47">
        <f t="shared" si="6"/>
        <v>0</v>
      </c>
      <c r="I21" s="47">
        <f t="shared" si="6"/>
        <v>0</v>
      </c>
      <c r="J21" s="47">
        <f t="shared" si="6"/>
        <v>0</v>
      </c>
      <c r="K21" s="47">
        <f t="shared" si="6"/>
        <v>0</v>
      </c>
      <c r="L21" s="47">
        <f t="shared" si="6"/>
        <v>0</v>
      </c>
      <c r="M21" s="47">
        <f t="shared" si="6"/>
        <v>0</v>
      </c>
      <c r="N21" s="47">
        <f t="shared" si="6"/>
        <v>53618</v>
      </c>
    </row>
    <row r="22" spans="1:211" s="41" customFormat="1" ht="53.25" customHeight="1">
      <c r="A22" s="45" t="s">
        <v>86</v>
      </c>
      <c r="B22" s="42" t="s">
        <v>88</v>
      </c>
      <c r="C22" s="43" t="s">
        <v>21</v>
      </c>
      <c r="D22" s="48">
        <v>2016</v>
      </c>
      <c r="E22" s="48">
        <v>2022</v>
      </c>
      <c r="F22" s="53">
        <f>322117+15179+5285+19885-8000+21733+1-62560</f>
        <v>313640</v>
      </c>
      <c r="G22" s="44">
        <f>21733+1+31884</f>
        <v>53618</v>
      </c>
      <c r="H22" s="44"/>
      <c r="I22" s="44"/>
      <c r="J22" s="44"/>
      <c r="K22" s="44"/>
      <c r="L22" s="44"/>
      <c r="M22" s="44"/>
      <c r="N22" s="53">
        <f>SUM(G22:M22)</f>
        <v>53618</v>
      </c>
    </row>
    <row r="23" spans="1:211" s="51" customFormat="1" ht="33.75" customHeight="1">
      <c r="A23" s="83" t="s">
        <v>22</v>
      </c>
      <c r="B23" s="160" t="s">
        <v>23</v>
      </c>
      <c r="C23" s="161"/>
      <c r="D23" s="161"/>
      <c r="E23" s="162"/>
      <c r="F23" s="49">
        <f t="shared" ref="F23:N23" si="7">SUM(F24:F25)</f>
        <v>0</v>
      </c>
      <c r="G23" s="49">
        <f t="shared" si="7"/>
        <v>0</v>
      </c>
      <c r="H23" s="49">
        <f t="shared" si="7"/>
        <v>0</v>
      </c>
      <c r="I23" s="49">
        <f t="shared" si="7"/>
        <v>0</v>
      </c>
      <c r="J23" s="49">
        <f t="shared" si="7"/>
        <v>0</v>
      </c>
      <c r="K23" s="49">
        <f t="shared" si="7"/>
        <v>0</v>
      </c>
      <c r="L23" s="49">
        <f t="shared" si="7"/>
        <v>0</v>
      </c>
      <c r="M23" s="49">
        <f t="shared" si="7"/>
        <v>0</v>
      </c>
      <c r="N23" s="49">
        <f t="shared" si="7"/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</row>
    <row r="24" spans="1:211" s="51" customFormat="1" ht="18.75" customHeight="1">
      <c r="A24" s="83" t="s">
        <v>24</v>
      </c>
      <c r="B24" s="160" t="s">
        <v>11</v>
      </c>
      <c r="C24" s="161"/>
      <c r="D24" s="161"/>
      <c r="E24" s="162"/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</row>
    <row r="25" spans="1:211" s="51" customFormat="1" ht="18.75" customHeight="1">
      <c r="A25" s="83" t="s">
        <v>25</v>
      </c>
      <c r="B25" s="160" t="s">
        <v>13</v>
      </c>
      <c r="C25" s="161"/>
      <c r="D25" s="161"/>
      <c r="E25" s="162"/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</row>
    <row r="26" spans="1:211" s="51" customFormat="1" ht="28.5" customHeight="1">
      <c r="A26" s="83" t="s">
        <v>26</v>
      </c>
      <c r="B26" s="160" t="s">
        <v>27</v>
      </c>
      <c r="C26" s="161"/>
      <c r="D26" s="161"/>
      <c r="E26" s="162"/>
      <c r="F26" s="49">
        <f t="shared" ref="F26:N26" si="8">SUM(F27,F33)</f>
        <v>111663200</v>
      </c>
      <c r="G26" s="49">
        <f t="shared" si="8"/>
        <v>28134557</v>
      </c>
      <c r="H26" s="49">
        <f t="shared" si="8"/>
        <v>39983138</v>
      </c>
      <c r="I26" s="49">
        <f t="shared" si="8"/>
        <v>25281643</v>
      </c>
      <c r="J26" s="49">
        <f t="shared" si="8"/>
        <v>2122180</v>
      </c>
      <c r="K26" s="49">
        <f t="shared" si="8"/>
        <v>2572180</v>
      </c>
      <c r="L26" s="49">
        <f t="shared" si="8"/>
        <v>2000000</v>
      </c>
      <c r="M26" s="49">
        <f t="shared" si="8"/>
        <v>3150000</v>
      </c>
      <c r="N26" s="49">
        <f t="shared" si="8"/>
        <v>103243698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</row>
    <row r="27" spans="1:211" s="51" customFormat="1" ht="18.75" customHeight="1">
      <c r="A27" s="83" t="s">
        <v>28</v>
      </c>
      <c r="B27" s="160" t="s">
        <v>11</v>
      </c>
      <c r="C27" s="161"/>
      <c r="D27" s="161"/>
      <c r="E27" s="162"/>
      <c r="F27" s="49">
        <f>SUM(F28:F32)</f>
        <v>10081059</v>
      </c>
      <c r="G27" s="49">
        <f t="shared" ref="G27:N27" si="9">SUM(G28:G32)</f>
        <v>1994689</v>
      </c>
      <c r="H27" s="49">
        <f t="shared" si="9"/>
        <v>5097634</v>
      </c>
      <c r="I27" s="49">
        <f t="shared" si="9"/>
        <v>1196643</v>
      </c>
      <c r="J27" s="49">
        <f t="shared" si="9"/>
        <v>422180</v>
      </c>
      <c r="K27" s="49">
        <f t="shared" si="9"/>
        <v>422180</v>
      </c>
      <c r="L27" s="49">
        <f t="shared" si="9"/>
        <v>0</v>
      </c>
      <c r="M27" s="49">
        <f t="shared" si="9"/>
        <v>0</v>
      </c>
      <c r="N27" s="49">
        <f t="shared" si="9"/>
        <v>9133326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</row>
    <row r="28" spans="1:211" s="28" customFormat="1" ht="36" customHeight="1">
      <c r="A28" s="23" t="s">
        <v>29</v>
      </c>
      <c r="B28" s="25" t="s">
        <v>30</v>
      </c>
      <c r="C28" s="26" t="s">
        <v>21</v>
      </c>
      <c r="D28" s="23">
        <v>2017</v>
      </c>
      <c r="E28" s="23">
        <v>2022</v>
      </c>
      <c r="F28" s="29">
        <f>240000+5000+100000+105000+110000+50000+52500+55400</f>
        <v>717900</v>
      </c>
      <c r="G28" s="27">
        <f>110000+55400</f>
        <v>165400</v>
      </c>
      <c r="H28" s="27"/>
      <c r="I28" s="27"/>
      <c r="J28" s="27"/>
      <c r="K28" s="27"/>
      <c r="L28" s="27"/>
      <c r="M28" s="27"/>
      <c r="N28" s="29">
        <f>SUM(G28:M28)</f>
        <v>165400</v>
      </c>
    </row>
    <row r="29" spans="1:211" s="28" customFormat="1" ht="70.5" customHeight="1">
      <c r="A29" s="23" t="s">
        <v>31</v>
      </c>
      <c r="B29" s="25" t="s">
        <v>87</v>
      </c>
      <c r="C29" s="26" t="s">
        <v>16</v>
      </c>
      <c r="D29" s="23">
        <v>2021</v>
      </c>
      <c r="E29" s="23">
        <v>2024</v>
      </c>
      <c r="F29" s="29">
        <f>2710622</f>
        <v>2710622</v>
      </c>
      <c r="G29" s="27">
        <v>774463</v>
      </c>
      <c r="H29" s="27">
        <v>774463</v>
      </c>
      <c r="I29" s="27">
        <v>774463</v>
      </c>
      <c r="J29" s="27"/>
      <c r="K29" s="27"/>
      <c r="L29" s="27"/>
      <c r="M29" s="27"/>
      <c r="N29" s="29">
        <f>SUM(G29:M29)</f>
        <v>2323389</v>
      </c>
    </row>
    <row r="30" spans="1:211" s="36" customFormat="1" ht="70.5" customHeight="1">
      <c r="A30" s="23" t="s">
        <v>73</v>
      </c>
      <c r="B30" s="33" t="s">
        <v>95</v>
      </c>
      <c r="C30" s="26" t="s">
        <v>21</v>
      </c>
      <c r="D30" s="23">
        <v>2021</v>
      </c>
      <c r="E30" s="23">
        <v>2023</v>
      </c>
      <c r="F30" s="29">
        <v>30000</v>
      </c>
      <c r="G30" s="27">
        <v>10000</v>
      </c>
      <c r="H30" s="27">
        <v>12000</v>
      </c>
      <c r="I30" s="27"/>
      <c r="J30" s="27"/>
      <c r="K30" s="27"/>
      <c r="L30" s="27"/>
      <c r="M30" s="29"/>
      <c r="N30" s="29">
        <f>SUM(G30:M30)</f>
        <v>22000</v>
      </c>
    </row>
    <row r="31" spans="1:211" s="36" customFormat="1" ht="60" customHeight="1">
      <c r="A31" s="23" t="s">
        <v>124</v>
      </c>
      <c r="B31" s="97" t="s">
        <v>122</v>
      </c>
      <c r="C31" s="43" t="s">
        <v>123</v>
      </c>
      <c r="D31" s="45">
        <v>2022</v>
      </c>
      <c r="E31" s="45">
        <v>2026</v>
      </c>
      <c r="F31" s="89">
        <v>2017752</v>
      </c>
      <c r="G31" s="46">
        <v>371250</v>
      </c>
      <c r="H31" s="46">
        <v>379962</v>
      </c>
      <c r="I31" s="46">
        <v>422180</v>
      </c>
      <c r="J31" s="46">
        <v>422180</v>
      </c>
      <c r="K31" s="46">
        <v>422180</v>
      </c>
      <c r="L31" s="46"/>
      <c r="M31" s="46"/>
      <c r="N31" s="29">
        <f>SUM(G31:M31)</f>
        <v>2017752</v>
      </c>
    </row>
    <row r="32" spans="1:211" s="36" customFormat="1" ht="60" customHeight="1">
      <c r="A32" s="145" t="s">
        <v>132</v>
      </c>
      <c r="B32" s="149" t="s">
        <v>133</v>
      </c>
      <c r="C32" s="150" t="s">
        <v>34</v>
      </c>
      <c r="D32" s="146">
        <v>2022</v>
      </c>
      <c r="E32" s="146">
        <v>2023</v>
      </c>
      <c r="F32" s="147">
        <v>4604785</v>
      </c>
      <c r="G32" s="147">
        <v>673576</v>
      </c>
      <c r="H32" s="147">
        <v>3931209</v>
      </c>
      <c r="I32" s="147"/>
      <c r="J32" s="147"/>
      <c r="K32" s="147"/>
      <c r="L32" s="147"/>
      <c r="M32" s="147"/>
      <c r="N32" s="148">
        <f>SUM(G32:M32)</f>
        <v>4604785</v>
      </c>
    </row>
    <row r="33" spans="1:211" s="51" customFormat="1" ht="27" customHeight="1">
      <c r="A33" s="83" t="s">
        <v>32</v>
      </c>
      <c r="B33" s="160" t="s">
        <v>13</v>
      </c>
      <c r="C33" s="161"/>
      <c r="D33" s="161"/>
      <c r="E33" s="162"/>
      <c r="F33" s="49">
        <f>SUM(F34:F66)</f>
        <v>101582141</v>
      </c>
      <c r="G33" s="49">
        <f t="shared" ref="G33:N33" si="10">SUM(G34:G66)</f>
        <v>26139868</v>
      </c>
      <c r="H33" s="49">
        <f t="shared" si="10"/>
        <v>34885504</v>
      </c>
      <c r="I33" s="49">
        <f t="shared" si="10"/>
        <v>24085000</v>
      </c>
      <c r="J33" s="49">
        <f t="shared" si="10"/>
        <v>1700000</v>
      </c>
      <c r="K33" s="49">
        <f t="shared" si="10"/>
        <v>2150000</v>
      </c>
      <c r="L33" s="49">
        <f t="shared" si="10"/>
        <v>2000000</v>
      </c>
      <c r="M33" s="49">
        <f t="shared" si="10"/>
        <v>3150000</v>
      </c>
      <c r="N33" s="49">
        <f t="shared" si="10"/>
        <v>94110372</v>
      </c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</row>
    <row r="34" spans="1:211" s="37" customFormat="1" ht="65.25" customHeight="1">
      <c r="A34" s="11" t="s">
        <v>33</v>
      </c>
      <c r="B34" s="10" t="s">
        <v>108</v>
      </c>
      <c r="C34" s="17" t="s">
        <v>21</v>
      </c>
      <c r="D34" s="16">
        <v>2021</v>
      </c>
      <c r="E34" s="16">
        <v>2024</v>
      </c>
      <c r="F34" s="34">
        <f>70000+240000+200000</f>
        <v>510000</v>
      </c>
      <c r="G34" s="46">
        <v>240000</v>
      </c>
      <c r="H34" s="18">
        <v>100000</v>
      </c>
      <c r="I34" s="18">
        <v>100000</v>
      </c>
      <c r="J34" s="18"/>
      <c r="K34" s="18"/>
      <c r="L34" s="18"/>
      <c r="M34" s="18"/>
      <c r="N34" s="12">
        <f t="shared" ref="N34:N42" si="11">SUM(G34:M34)</f>
        <v>440000</v>
      </c>
    </row>
    <row r="35" spans="1:211" s="37" customFormat="1" ht="46.5" customHeight="1">
      <c r="A35" s="84" t="s">
        <v>35</v>
      </c>
      <c r="B35" s="35" t="s">
        <v>109</v>
      </c>
      <c r="C35" s="17" t="s">
        <v>21</v>
      </c>
      <c r="D35" s="11">
        <v>2021</v>
      </c>
      <c r="E35" s="11">
        <v>2022</v>
      </c>
      <c r="F35" s="12">
        <v>5700000</v>
      </c>
      <c r="G35" s="27">
        <f>4490000-194776</f>
        <v>4295224</v>
      </c>
      <c r="H35" s="13"/>
      <c r="I35" s="13"/>
      <c r="J35" s="13"/>
      <c r="K35" s="13"/>
      <c r="L35" s="13"/>
      <c r="M35" s="13"/>
      <c r="N35" s="12">
        <f t="shared" si="11"/>
        <v>4295224</v>
      </c>
    </row>
    <row r="36" spans="1:211" s="37" customFormat="1" ht="45.75" customHeight="1">
      <c r="A36" s="11" t="s">
        <v>36</v>
      </c>
      <c r="B36" s="10" t="s">
        <v>110</v>
      </c>
      <c r="C36" s="31" t="s">
        <v>111</v>
      </c>
      <c r="D36" s="11">
        <v>2021</v>
      </c>
      <c r="E36" s="11">
        <v>2022</v>
      </c>
      <c r="F36" s="12">
        <f>720000+600000</f>
        <v>1320000</v>
      </c>
      <c r="G36" s="27">
        <v>600000</v>
      </c>
      <c r="H36" s="13"/>
      <c r="I36" s="13"/>
      <c r="J36" s="13"/>
      <c r="K36" s="13"/>
      <c r="L36" s="13"/>
      <c r="M36" s="13"/>
      <c r="N36" s="12">
        <f t="shared" si="11"/>
        <v>600000</v>
      </c>
    </row>
    <row r="37" spans="1:211" s="104" customFormat="1" ht="42" customHeight="1">
      <c r="A37" s="99" t="s">
        <v>84</v>
      </c>
      <c r="B37" s="154" t="s">
        <v>125</v>
      </c>
      <c r="C37" s="155" t="s">
        <v>62</v>
      </c>
      <c r="D37" s="100">
        <v>2018</v>
      </c>
      <c r="E37" s="100">
        <v>2024</v>
      </c>
      <c r="F37" s="98">
        <f>11000000+84332+323000+4500000+200000+1273800</f>
        <v>17381132</v>
      </c>
      <c r="G37" s="148">
        <f>4000000-1077000-2000000+1273800</f>
        <v>2196800</v>
      </c>
      <c r="H37" s="98">
        <f>5350000+3050000+200000</f>
        <v>8600000</v>
      </c>
      <c r="I37" s="98">
        <f>4500000+2000000</f>
        <v>6500000</v>
      </c>
      <c r="J37" s="98"/>
      <c r="K37" s="98"/>
      <c r="L37" s="98"/>
      <c r="M37" s="98"/>
      <c r="N37" s="98">
        <f t="shared" si="11"/>
        <v>17296800</v>
      </c>
    </row>
    <row r="38" spans="1:211" s="52" customFormat="1" ht="45.75" customHeight="1">
      <c r="A38" s="11" t="s">
        <v>37</v>
      </c>
      <c r="B38" s="10" t="s">
        <v>66</v>
      </c>
      <c r="C38" s="59" t="s">
        <v>34</v>
      </c>
      <c r="D38" s="11">
        <v>2015</v>
      </c>
      <c r="E38" s="11">
        <v>2023</v>
      </c>
      <c r="F38" s="12">
        <f>1349861+500000-100000-8361+100000-150000</f>
        <v>1691500</v>
      </c>
      <c r="G38" s="27"/>
      <c r="H38" s="13">
        <v>350000</v>
      </c>
      <c r="I38" s="13"/>
      <c r="J38" s="13"/>
      <c r="K38" s="13"/>
      <c r="L38" s="13"/>
      <c r="M38" s="13"/>
      <c r="N38" s="12">
        <f t="shared" si="11"/>
        <v>350000</v>
      </c>
    </row>
    <row r="39" spans="1:211" s="38" customFormat="1" ht="46.5" customHeight="1">
      <c r="A39" s="84" t="s">
        <v>38</v>
      </c>
      <c r="B39" s="35" t="s">
        <v>41</v>
      </c>
      <c r="C39" s="60" t="s">
        <v>34</v>
      </c>
      <c r="D39" s="61">
        <v>2017</v>
      </c>
      <c r="E39" s="61">
        <v>2023</v>
      </c>
      <c r="F39" s="62">
        <f>248413</f>
        <v>248413</v>
      </c>
      <c r="G39" s="78"/>
      <c r="H39" s="63">
        <v>220000</v>
      </c>
      <c r="I39" s="63"/>
      <c r="J39" s="63"/>
      <c r="K39" s="63"/>
      <c r="L39" s="63"/>
      <c r="M39" s="63"/>
      <c r="N39" s="12">
        <f t="shared" si="11"/>
        <v>220000</v>
      </c>
    </row>
    <row r="40" spans="1:211" s="38" customFormat="1" ht="39.75" customHeight="1">
      <c r="A40" s="11" t="s">
        <v>39</v>
      </c>
      <c r="B40" s="10" t="s">
        <v>52</v>
      </c>
      <c r="C40" s="59" t="s">
        <v>34</v>
      </c>
      <c r="D40" s="11">
        <v>2017</v>
      </c>
      <c r="E40" s="11">
        <v>2028</v>
      </c>
      <c r="F40" s="12">
        <f>700000+500000-10396</f>
        <v>1189604</v>
      </c>
      <c r="G40" s="27"/>
      <c r="H40" s="13"/>
      <c r="I40" s="13">
        <v>150000</v>
      </c>
      <c r="J40" s="13">
        <v>150000</v>
      </c>
      <c r="K40" s="13">
        <v>150000</v>
      </c>
      <c r="L40" s="13"/>
      <c r="M40" s="13">
        <v>150000</v>
      </c>
      <c r="N40" s="12">
        <f t="shared" si="11"/>
        <v>600000</v>
      </c>
    </row>
    <row r="41" spans="1:211" s="38" customFormat="1" ht="36" customHeight="1">
      <c r="A41" s="84" t="s">
        <v>40</v>
      </c>
      <c r="B41" s="64" t="s">
        <v>60</v>
      </c>
      <c r="C41" s="65" t="s">
        <v>34</v>
      </c>
      <c r="D41" s="66">
        <v>2017</v>
      </c>
      <c r="E41" s="66">
        <v>2025</v>
      </c>
      <c r="F41" s="67">
        <v>845000</v>
      </c>
      <c r="G41" s="79"/>
      <c r="H41" s="68"/>
      <c r="I41" s="68">
        <v>300000</v>
      </c>
      <c r="J41" s="68">
        <v>250000</v>
      </c>
      <c r="K41" s="68"/>
      <c r="L41" s="68"/>
      <c r="M41" s="68"/>
      <c r="N41" s="12">
        <f t="shared" si="11"/>
        <v>550000</v>
      </c>
    </row>
    <row r="42" spans="1:211" s="38" customFormat="1" ht="36.75" customHeight="1">
      <c r="A42" s="11" t="s">
        <v>42</v>
      </c>
      <c r="B42" s="69" t="s">
        <v>65</v>
      </c>
      <c r="C42" s="17" t="s">
        <v>34</v>
      </c>
      <c r="D42" s="16">
        <v>2017</v>
      </c>
      <c r="E42" s="16">
        <v>2024</v>
      </c>
      <c r="F42" s="34">
        <v>850000</v>
      </c>
      <c r="G42" s="46"/>
      <c r="H42" s="18"/>
      <c r="I42" s="18">
        <v>550000</v>
      </c>
      <c r="J42" s="18"/>
      <c r="K42" s="18"/>
      <c r="L42" s="18"/>
      <c r="M42" s="18"/>
      <c r="N42" s="12">
        <f t="shared" si="11"/>
        <v>550000</v>
      </c>
    </row>
    <row r="43" spans="1:211" s="14" customFormat="1" ht="50.25" customHeight="1">
      <c r="A43" s="99" t="s">
        <v>43</v>
      </c>
      <c r="B43" s="105" t="s">
        <v>134</v>
      </c>
      <c r="C43" s="106" t="s">
        <v>34</v>
      </c>
      <c r="D43" s="100">
        <v>2018</v>
      </c>
      <c r="E43" s="100">
        <v>2025</v>
      </c>
      <c r="F43" s="107">
        <v>2818338</v>
      </c>
      <c r="G43" s="108">
        <v>240000</v>
      </c>
      <c r="H43" s="107">
        <v>2020000</v>
      </c>
      <c r="I43" s="107">
        <v>0</v>
      </c>
      <c r="J43" s="107">
        <v>0</v>
      </c>
      <c r="K43" s="107"/>
      <c r="L43" s="107"/>
      <c r="M43" s="107"/>
      <c r="N43" s="98">
        <f t="shared" ref="N43:N44" si="12">SUM(G43:M43)</f>
        <v>2260000</v>
      </c>
    </row>
    <row r="44" spans="1:211" s="41" customFormat="1" ht="122.25" customHeight="1">
      <c r="A44" s="11" t="s">
        <v>44</v>
      </c>
      <c r="B44" s="33" t="s">
        <v>85</v>
      </c>
      <c r="C44" s="26" t="s">
        <v>92</v>
      </c>
      <c r="D44" s="23">
        <v>2020</v>
      </c>
      <c r="E44" s="23">
        <v>2023</v>
      </c>
      <c r="F44" s="29">
        <v>2500000</v>
      </c>
      <c r="G44" s="27">
        <v>1500000</v>
      </c>
      <c r="H44" s="27">
        <v>1000000</v>
      </c>
      <c r="I44" s="40"/>
      <c r="J44" s="40"/>
      <c r="K44" s="40"/>
      <c r="L44" s="40"/>
      <c r="M44" s="40"/>
      <c r="N44" s="29">
        <f t="shared" si="12"/>
        <v>2500000</v>
      </c>
    </row>
    <row r="45" spans="1:211" s="32" customFormat="1" ht="40.5" customHeight="1">
      <c r="A45" s="84" t="s">
        <v>45</v>
      </c>
      <c r="B45" s="70" t="s">
        <v>76</v>
      </c>
      <c r="C45" s="71" t="s">
        <v>75</v>
      </c>
      <c r="D45" s="72">
        <v>2020</v>
      </c>
      <c r="E45" s="72">
        <v>2024</v>
      </c>
      <c r="F45" s="73">
        <f>1500000+49765</f>
        <v>1549765</v>
      </c>
      <c r="G45" s="81">
        <f>80000+49765</f>
        <v>129765</v>
      </c>
      <c r="H45" s="58">
        <v>420000</v>
      </c>
      <c r="I45" s="58">
        <v>100000</v>
      </c>
      <c r="J45" s="58"/>
      <c r="K45" s="58"/>
      <c r="L45" s="58"/>
      <c r="M45" s="58"/>
      <c r="N45" s="12">
        <f>SUM(G45:M45)</f>
        <v>649765</v>
      </c>
    </row>
    <row r="46" spans="1:211" s="32" customFormat="1" ht="48.75" customHeight="1">
      <c r="A46" s="11" t="s">
        <v>46</v>
      </c>
      <c r="B46" s="70" t="s">
        <v>77</v>
      </c>
      <c r="C46" s="71" t="s">
        <v>75</v>
      </c>
      <c r="D46" s="72">
        <v>2020</v>
      </c>
      <c r="E46" s="72">
        <v>2028</v>
      </c>
      <c r="F46" s="73">
        <f>2252000+9000000-2252000</f>
        <v>9000000</v>
      </c>
      <c r="G46" s="81"/>
      <c r="H46" s="58"/>
      <c r="I46" s="58">
        <v>1000000</v>
      </c>
      <c r="J46" s="58">
        <v>1000000</v>
      </c>
      <c r="K46" s="58">
        <v>2000000</v>
      </c>
      <c r="L46" s="58">
        <v>2000000</v>
      </c>
      <c r="M46" s="58">
        <v>3000000</v>
      </c>
      <c r="N46" s="12">
        <f>SUM(G46:M46)</f>
        <v>9000000</v>
      </c>
    </row>
    <row r="47" spans="1:211" s="38" customFormat="1" ht="37.5" customHeight="1">
      <c r="A47" s="99" t="s">
        <v>47</v>
      </c>
      <c r="B47" s="128" t="s">
        <v>89</v>
      </c>
      <c r="C47" s="129" t="s">
        <v>75</v>
      </c>
      <c r="D47" s="126">
        <v>2020</v>
      </c>
      <c r="E47" s="126">
        <v>2024</v>
      </c>
      <c r="F47" s="127">
        <v>0</v>
      </c>
      <c r="G47" s="130"/>
      <c r="H47" s="127">
        <v>0</v>
      </c>
      <c r="I47" s="127">
        <v>0</v>
      </c>
      <c r="J47" s="127"/>
      <c r="K47" s="127"/>
      <c r="L47" s="127"/>
      <c r="M47" s="127"/>
      <c r="N47" s="98">
        <f>SUM(G47:M47)</f>
        <v>0</v>
      </c>
    </row>
    <row r="48" spans="1:211" s="38" customFormat="1" ht="51" customHeight="1">
      <c r="A48" s="11" t="s">
        <v>48</v>
      </c>
      <c r="B48" s="70" t="s">
        <v>78</v>
      </c>
      <c r="C48" s="71" t="s">
        <v>75</v>
      </c>
      <c r="D48" s="72">
        <v>2020</v>
      </c>
      <c r="E48" s="72">
        <v>2023</v>
      </c>
      <c r="F48" s="73">
        <v>350000</v>
      </c>
      <c r="G48" s="81"/>
      <c r="H48" s="58">
        <v>350000</v>
      </c>
      <c r="I48" s="58"/>
      <c r="J48" s="58"/>
      <c r="K48" s="58"/>
      <c r="L48" s="58"/>
      <c r="M48" s="58"/>
      <c r="N48" s="12">
        <f>SUM(G48:M48)</f>
        <v>350000</v>
      </c>
    </row>
    <row r="49" spans="1:14" s="38" customFormat="1" ht="32.25" customHeight="1">
      <c r="A49" s="84" t="s">
        <v>49</v>
      </c>
      <c r="B49" s="70" t="s">
        <v>79</v>
      </c>
      <c r="C49" s="71" t="s">
        <v>75</v>
      </c>
      <c r="D49" s="72">
        <v>2019</v>
      </c>
      <c r="E49" s="72">
        <v>2025</v>
      </c>
      <c r="F49" s="73">
        <v>350000</v>
      </c>
      <c r="G49" s="81"/>
      <c r="H49" s="58"/>
      <c r="I49" s="58">
        <v>100000</v>
      </c>
      <c r="J49" s="58">
        <v>100000</v>
      </c>
      <c r="K49" s="58"/>
      <c r="L49" s="58"/>
      <c r="M49" s="58"/>
      <c r="N49" s="12">
        <f t="shared" ref="N49:N66" si="13">SUM(G49:M49)</f>
        <v>200000</v>
      </c>
    </row>
    <row r="50" spans="1:14" s="32" customFormat="1" ht="39" customHeight="1">
      <c r="A50" s="11" t="s">
        <v>50</v>
      </c>
      <c r="B50" s="70" t="s">
        <v>80</v>
      </c>
      <c r="C50" s="71" t="s">
        <v>75</v>
      </c>
      <c r="D50" s="72">
        <v>2020</v>
      </c>
      <c r="E50" s="72">
        <v>2025</v>
      </c>
      <c r="F50" s="73">
        <f>700000+50000</f>
        <v>750000</v>
      </c>
      <c r="G50" s="81"/>
      <c r="H50" s="58">
        <v>200000</v>
      </c>
      <c r="I50" s="58">
        <v>200000</v>
      </c>
      <c r="J50" s="58">
        <v>200000</v>
      </c>
      <c r="K50" s="58"/>
      <c r="L50" s="58"/>
      <c r="M50" s="58"/>
      <c r="N50" s="12">
        <f t="shared" si="13"/>
        <v>600000</v>
      </c>
    </row>
    <row r="51" spans="1:14" s="39" customFormat="1" ht="36.75" customHeight="1">
      <c r="A51" s="118" t="s">
        <v>51</v>
      </c>
      <c r="B51" s="121" t="s">
        <v>91</v>
      </c>
      <c r="C51" s="122" t="s">
        <v>75</v>
      </c>
      <c r="D51" s="119">
        <v>2020</v>
      </c>
      <c r="E51" s="119">
        <v>2022</v>
      </c>
      <c r="F51" s="123">
        <f>1000000-150000+56000-48723-305878+96465+3535+9730</f>
        <v>661129</v>
      </c>
      <c r="G51" s="124">
        <f>300000+9730</f>
        <v>309730</v>
      </c>
      <c r="H51" s="123"/>
      <c r="I51" s="123"/>
      <c r="J51" s="123"/>
      <c r="K51" s="125"/>
      <c r="L51" s="125"/>
      <c r="M51" s="125"/>
      <c r="N51" s="120">
        <f t="shared" si="13"/>
        <v>309730</v>
      </c>
    </row>
    <row r="52" spans="1:14" s="39" customFormat="1" ht="45.75" customHeight="1">
      <c r="A52" s="100" t="s">
        <v>53</v>
      </c>
      <c r="B52" s="132" t="s">
        <v>93</v>
      </c>
      <c r="C52" s="133" t="s">
        <v>75</v>
      </c>
      <c r="D52" s="109">
        <v>2020</v>
      </c>
      <c r="E52" s="109">
        <v>2023</v>
      </c>
      <c r="F52" s="110">
        <f>3659900+1000000</f>
        <v>4659900</v>
      </c>
      <c r="G52" s="134">
        <v>1000000</v>
      </c>
      <c r="H52" s="135">
        <v>3500000</v>
      </c>
      <c r="I52" s="136"/>
      <c r="J52" s="136"/>
      <c r="K52" s="136"/>
      <c r="L52" s="136"/>
      <c r="M52" s="136"/>
      <c r="N52" s="98">
        <f t="shared" si="13"/>
        <v>4500000</v>
      </c>
    </row>
    <row r="53" spans="1:14" s="94" customFormat="1" ht="50.25" customHeight="1">
      <c r="A53" s="84" t="s">
        <v>54</v>
      </c>
      <c r="B53" s="96" t="s">
        <v>97</v>
      </c>
      <c r="C53" s="55" t="s">
        <v>75</v>
      </c>
      <c r="D53" s="11">
        <v>2019</v>
      </c>
      <c r="E53" s="11">
        <v>2022</v>
      </c>
      <c r="F53" s="57">
        <f>5500000+221775+15000+6000-8</f>
        <v>5742767</v>
      </c>
      <c r="G53" s="80">
        <f>4500000+6000+1000000</f>
        <v>5506000</v>
      </c>
      <c r="H53" s="93"/>
      <c r="I53" s="93"/>
      <c r="J53" s="93"/>
      <c r="K53" s="93"/>
      <c r="L53" s="93"/>
      <c r="M53" s="93"/>
      <c r="N53" s="12">
        <f t="shared" si="13"/>
        <v>5506000</v>
      </c>
    </row>
    <row r="54" spans="1:14" s="38" customFormat="1" ht="51.75" customHeight="1">
      <c r="A54" s="11" t="s">
        <v>55</v>
      </c>
      <c r="B54" s="131" t="s">
        <v>112</v>
      </c>
      <c r="C54" s="55" t="s">
        <v>75</v>
      </c>
      <c r="D54" s="11">
        <v>2021</v>
      </c>
      <c r="E54" s="11">
        <v>2023</v>
      </c>
      <c r="F54" s="57">
        <f>3500000+94400+4400</f>
        <v>3598800</v>
      </c>
      <c r="G54" s="80">
        <f>3300000+180000+94400</f>
        <v>3574400</v>
      </c>
      <c r="H54" s="56">
        <v>4400</v>
      </c>
      <c r="I54" s="56"/>
      <c r="J54" s="56"/>
      <c r="K54" s="56"/>
      <c r="L54" s="56"/>
      <c r="M54" s="56"/>
      <c r="N54" s="13">
        <f t="shared" si="13"/>
        <v>3578800</v>
      </c>
    </row>
    <row r="55" spans="1:14" s="32" customFormat="1" ht="45.75" customHeight="1">
      <c r="A55" s="84" t="s">
        <v>56</v>
      </c>
      <c r="B55" s="54" t="s">
        <v>100</v>
      </c>
      <c r="C55" s="55" t="s">
        <v>75</v>
      </c>
      <c r="D55" s="11">
        <v>2021</v>
      </c>
      <c r="E55" s="11">
        <v>2022</v>
      </c>
      <c r="F55" s="12">
        <v>246000</v>
      </c>
      <c r="G55" s="80">
        <f>150000+96000</f>
        <v>246000</v>
      </c>
      <c r="H55" s="95" t="s">
        <v>98</v>
      </c>
      <c r="I55" s="95"/>
      <c r="J55" s="95"/>
      <c r="K55" s="95"/>
      <c r="L55" s="95"/>
      <c r="M55" s="95"/>
      <c r="N55" s="12">
        <f t="shared" si="13"/>
        <v>246000</v>
      </c>
    </row>
    <row r="56" spans="1:14" s="38" customFormat="1" ht="46.5" customHeight="1">
      <c r="A56" s="11" t="s">
        <v>57</v>
      </c>
      <c r="B56" s="54" t="s">
        <v>101</v>
      </c>
      <c r="C56" s="55" t="s">
        <v>75</v>
      </c>
      <c r="D56" s="11">
        <v>2021</v>
      </c>
      <c r="E56" s="11">
        <v>2022</v>
      </c>
      <c r="F56" s="57">
        <f>200000+20539</f>
        <v>220539</v>
      </c>
      <c r="G56" s="80">
        <f>164170+30539</f>
        <v>194709</v>
      </c>
      <c r="H56" s="57"/>
      <c r="I56" s="57"/>
      <c r="J56" s="57"/>
      <c r="K56" s="57"/>
      <c r="L56" s="57"/>
      <c r="M56" s="57"/>
      <c r="N56" s="12">
        <f t="shared" si="13"/>
        <v>194709</v>
      </c>
    </row>
    <row r="57" spans="1:14" s="38" customFormat="1" ht="49.5" customHeight="1">
      <c r="A57" s="84" t="s">
        <v>58</v>
      </c>
      <c r="B57" s="10" t="s">
        <v>104</v>
      </c>
      <c r="C57" s="55" t="s">
        <v>75</v>
      </c>
      <c r="D57" s="11">
        <v>2021</v>
      </c>
      <c r="E57" s="11">
        <v>2022</v>
      </c>
      <c r="F57" s="57">
        <v>194710</v>
      </c>
      <c r="G57" s="80">
        <f>179090+15620</f>
        <v>194710</v>
      </c>
      <c r="H57" s="57"/>
      <c r="I57" s="57"/>
      <c r="J57" s="57"/>
      <c r="K57" s="57"/>
      <c r="L57" s="57"/>
      <c r="M57" s="57"/>
      <c r="N57" s="12">
        <f t="shared" si="13"/>
        <v>194710</v>
      </c>
    </row>
    <row r="58" spans="1:14" s="38" customFormat="1" ht="39.75" customHeight="1">
      <c r="A58" s="11" t="s">
        <v>59</v>
      </c>
      <c r="B58" s="54" t="s">
        <v>102</v>
      </c>
      <c r="C58" s="55" t="s">
        <v>75</v>
      </c>
      <c r="D58" s="11">
        <v>2021</v>
      </c>
      <c r="E58" s="11">
        <v>2022</v>
      </c>
      <c r="F58" s="57">
        <f>200000+15619</f>
        <v>215619</v>
      </c>
      <c r="G58" s="80">
        <f>179090+15619</f>
        <v>194709</v>
      </c>
      <c r="H58" s="57"/>
      <c r="I58" s="57"/>
      <c r="J58" s="57"/>
      <c r="K58" s="57"/>
      <c r="L58" s="57"/>
      <c r="M58" s="57"/>
      <c r="N58" s="12">
        <f t="shared" si="13"/>
        <v>194709</v>
      </c>
    </row>
    <row r="59" spans="1:14" s="32" customFormat="1" ht="47.25" customHeight="1">
      <c r="A59" s="84" t="s">
        <v>61</v>
      </c>
      <c r="B59" s="54" t="s">
        <v>103</v>
      </c>
      <c r="C59" s="55" t="s">
        <v>75</v>
      </c>
      <c r="D59" s="11">
        <v>2021</v>
      </c>
      <c r="E59" s="11">
        <v>2022</v>
      </c>
      <c r="F59" s="57">
        <f>200000-159090-9730-31180</f>
        <v>0</v>
      </c>
      <c r="G59" s="80">
        <f>179090-159090-9730-10270</f>
        <v>0</v>
      </c>
      <c r="H59" s="56"/>
      <c r="I59" s="56"/>
      <c r="J59" s="56"/>
      <c r="K59" s="56"/>
      <c r="L59" s="56"/>
      <c r="M59" s="56"/>
      <c r="N59" s="13">
        <f t="shared" si="13"/>
        <v>0</v>
      </c>
    </row>
    <row r="60" spans="1:14" s="32" customFormat="1" ht="54.75" customHeight="1">
      <c r="A60" s="11" t="s">
        <v>63</v>
      </c>
      <c r="B60" s="54" t="s">
        <v>106</v>
      </c>
      <c r="C60" s="55" t="s">
        <v>75</v>
      </c>
      <c r="D60" s="11">
        <v>2021</v>
      </c>
      <c r="E60" s="11">
        <v>2022</v>
      </c>
      <c r="F60" s="57">
        <v>287820</v>
      </c>
      <c r="G60" s="80">
        <f>249000+38820</f>
        <v>287820</v>
      </c>
      <c r="H60" s="57"/>
      <c r="I60" s="57"/>
      <c r="J60" s="57"/>
      <c r="K60" s="57"/>
      <c r="L60" s="57"/>
      <c r="M60" s="57"/>
      <c r="N60" s="12">
        <f t="shared" si="13"/>
        <v>287820</v>
      </c>
    </row>
    <row r="61" spans="1:14" s="32" customFormat="1" ht="72.75" customHeight="1">
      <c r="A61" s="99" t="s">
        <v>64</v>
      </c>
      <c r="B61" s="137" t="s">
        <v>107</v>
      </c>
      <c r="C61" s="106" t="s">
        <v>75</v>
      </c>
      <c r="D61" s="100">
        <v>2021</v>
      </c>
      <c r="E61" s="100">
        <v>2024</v>
      </c>
      <c r="F61" s="107">
        <v>10565000</v>
      </c>
      <c r="G61" s="108">
        <v>200000</v>
      </c>
      <c r="H61" s="107">
        <v>3165000</v>
      </c>
      <c r="I61" s="98">
        <v>7200000</v>
      </c>
      <c r="J61" s="98"/>
      <c r="K61" s="98"/>
      <c r="L61" s="98"/>
      <c r="M61" s="98"/>
      <c r="N61" s="98">
        <f t="shared" si="13"/>
        <v>10565000</v>
      </c>
    </row>
    <row r="62" spans="1:14" s="32" customFormat="1" ht="41.25" customHeight="1">
      <c r="A62" s="99" t="s">
        <v>114</v>
      </c>
      <c r="B62" s="151" t="s">
        <v>137</v>
      </c>
      <c r="C62" s="142" t="s">
        <v>75</v>
      </c>
      <c r="D62" s="100">
        <v>2021</v>
      </c>
      <c r="E62" s="100">
        <v>2023</v>
      </c>
      <c r="F62" s="110">
        <v>1365000</v>
      </c>
      <c r="G62" s="134">
        <v>150000</v>
      </c>
      <c r="H62" s="110">
        <v>1150000</v>
      </c>
      <c r="I62" s="152"/>
      <c r="J62" s="152"/>
      <c r="K62" s="152"/>
      <c r="L62" s="152"/>
      <c r="M62" s="152"/>
      <c r="N62" s="98">
        <f t="shared" si="13"/>
        <v>1300000</v>
      </c>
    </row>
    <row r="63" spans="1:14" s="32" customFormat="1" ht="60" customHeight="1">
      <c r="A63" s="99" t="s">
        <v>119</v>
      </c>
      <c r="B63" s="153" t="s">
        <v>120</v>
      </c>
      <c r="C63" s="142" t="s">
        <v>75</v>
      </c>
      <c r="D63" s="109">
        <v>2021</v>
      </c>
      <c r="E63" s="109">
        <v>2022</v>
      </c>
      <c r="F63" s="110">
        <v>0</v>
      </c>
      <c r="G63" s="110">
        <v>0</v>
      </c>
      <c r="H63" s="110"/>
      <c r="I63" s="110"/>
      <c r="J63" s="110"/>
      <c r="K63" s="110"/>
      <c r="L63" s="110"/>
      <c r="M63" s="110"/>
      <c r="N63" s="110">
        <f t="shared" si="13"/>
        <v>0</v>
      </c>
    </row>
    <row r="64" spans="1:14" s="32" customFormat="1" ht="36" customHeight="1">
      <c r="A64" s="84" t="s">
        <v>121</v>
      </c>
      <c r="B64" s="138" t="s">
        <v>126</v>
      </c>
      <c r="C64" s="85" t="s">
        <v>75</v>
      </c>
      <c r="D64" s="16">
        <v>2022</v>
      </c>
      <c r="E64" s="16">
        <v>2023</v>
      </c>
      <c r="F64" s="75">
        <v>10106105</v>
      </c>
      <c r="G64" s="74">
        <f>4000000+372501</f>
        <v>4372501</v>
      </c>
      <c r="H64" s="74">
        <v>5733604</v>
      </c>
      <c r="I64" s="74"/>
      <c r="J64" s="74"/>
      <c r="K64" s="74"/>
      <c r="L64" s="74"/>
      <c r="M64" s="74"/>
      <c r="N64" s="74">
        <f t="shared" si="13"/>
        <v>10106105</v>
      </c>
    </row>
    <row r="65" spans="1:14" s="32" customFormat="1" ht="42" customHeight="1">
      <c r="A65" s="16" t="s">
        <v>130</v>
      </c>
      <c r="B65" s="69" t="s">
        <v>131</v>
      </c>
      <c r="C65" s="85" t="s">
        <v>75</v>
      </c>
      <c r="D65" s="16">
        <v>2022</v>
      </c>
      <c r="E65" s="16">
        <v>2024</v>
      </c>
      <c r="F65" s="75">
        <v>3815000</v>
      </c>
      <c r="G65" s="139">
        <v>65000</v>
      </c>
      <c r="H65" s="140">
        <v>1968750</v>
      </c>
      <c r="I65" s="140">
        <v>1781250</v>
      </c>
      <c r="J65" s="140"/>
      <c r="K65" s="140"/>
      <c r="L65" s="140"/>
      <c r="M65" s="140"/>
      <c r="N65" s="74">
        <f t="shared" ref="N65" si="14">SUM(G65:M65)</f>
        <v>3815000</v>
      </c>
    </row>
    <row r="66" spans="1:14" s="14" customFormat="1" ht="48.75" customHeight="1">
      <c r="A66" s="109" t="s">
        <v>135</v>
      </c>
      <c r="B66" s="141" t="s">
        <v>136</v>
      </c>
      <c r="C66" s="142" t="s">
        <v>75</v>
      </c>
      <c r="D66" s="109">
        <v>2022</v>
      </c>
      <c r="E66" s="109">
        <v>2024</v>
      </c>
      <c r="F66" s="110">
        <v>12850000</v>
      </c>
      <c r="G66" s="143">
        <v>642500</v>
      </c>
      <c r="H66" s="144">
        <v>6103750</v>
      </c>
      <c r="I66" s="144">
        <v>6103750</v>
      </c>
      <c r="J66" s="144"/>
      <c r="K66" s="144"/>
      <c r="L66" s="144"/>
      <c r="M66" s="144"/>
      <c r="N66" s="110">
        <f t="shared" si="13"/>
        <v>12850000</v>
      </c>
    </row>
    <row r="67" spans="1:14" s="14" customFormat="1">
      <c r="A67" s="24"/>
      <c r="C67" s="21"/>
      <c r="D67" s="24"/>
      <c r="E67" s="24"/>
      <c r="F67" s="7"/>
      <c r="G67" s="41"/>
      <c r="N67" s="7"/>
    </row>
    <row r="68" spans="1:14" s="14" customFormat="1">
      <c r="A68" s="24"/>
      <c r="C68" s="21"/>
      <c r="D68" s="24"/>
      <c r="E68" s="24"/>
      <c r="F68" s="7"/>
      <c r="G68" s="41"/>
      <c r="N68" s="7"/>
    </row>
    <row r="69" spans="1:14" s="14" customFormat="1">
      <c r="A69" s="24"/>
      <c r="C69" s="21"/>
      <c r="D69" s="24"/>
      <c r="E69" s="24"/>
      <c r="F69" s="7"/>
      <c r="G69" s="41"/>
      <c r="N69" s="7"/>
    </row>
    <row r="70" spans="1:14" s="14" customFormat="1">
      <c r="A70" s="24"/>
      <c r="C70" s="21"/>
      <c r="D70" s="24"/>
      <c r="E70" s="24"/>
      <c r="F70" s="7"/>
      <c r="G70" s="41"/>
      <c r="N70" s="7"/>
    </row>
    <row r="71" spans="1:14" s="14" customFormat="1">
      <c r="A71" s="24"/>
      <c r="C71" s="21"/>
      <c r="D71" s="24"/>
      <c r="E71" s="24"/>
      <c r="F71" s="7"/>
      <c r="G71" s="41"/>
      <c r="N71" s="7"/>
    </row>
    <row r="72" spans="1:14" s="14" customFormat="1">
      <c r="A72" s="24"/>
      <c r="C72" s="21"/>
      <c r="D72" s="24"/>
      <c r="E72" s="24"/>
      <c r="F72" s="7"/>
      <c r="G72" s="41"/>
      <c r="N72" s="7"/>
    </row>
    <row r="73" spans="1:14" s="14" customFormat="1">
      <c r="A73" s="24"/>
      <c r="C73" s="21"/>
      <c r="D73" s="24"/>
      <c r="E73" s="24"/>
      <c r="F73" s="7"/>
      <c r="G73" s="41"/>
      <c r="N73" s="7"/>
    </row>
    <row r="74" spans="1:14" s="14" customFormat="1">
      <c r="A74" s="24"/>
      <c r="C74" s="21"/>
      <c r="D74" s="24"/>
      <c r="E74" s="24"/>
      <c r="F74" s="7"/>
      <c r="G74" s="41"/>
      <c r="N74" s="7"/>
    </row>
    <row r="75" spans="1:14" s="14" customFormat="1">
      <c r="A75" s="24"/>
      <c r="C75" s="21"/>
      <c r="D75" s="24"/>
      <c r="E75" s="24"/>
      <c r="F75" s="7"/>
      <c r="G75" s="41"/>
      <c r="N75" s="7"/>
    </row>
    <row r="76" spans="1:14" s="14" customFormat="1">
      <c r="A76" s="24"/>
      <c r="C76" s="21"/>
      <c r="D76" s="24"/>
      <c r="E76" s="24"/>
      <c r="F76" s="7"/>
      <c r="G76" s="41"/>
      <c r="N76" s="7"/>
    </row>
    <row r="77" spans="1:14" s="14" customFormat="1">
      <c r="A77" s="24"/>
      <c r="C77" s="21"/>
      <c r="D77" s="24"/>
      <c r="E77" s="24"/>
      <c r="F77" s="7"/>
      <c r="G77" s="41"/>
      <c r="N77" s="7"/>
    </row>
    <row r="78" spans="1:14" s="14" customFormat="1">
      <c r="A78" s="24"/>
      <c r="C78" s="21"/>
      <c r="D78" s="24"/>
      <c r="E78" s="24"/>
      <c r="F78" s="7"/>
      <c r="G78" s="41"/>
      <c r="N78" s="7"/>
    </row>
    <row r="79" spans="1:14" s="14" customFormat="1">
      <c r="A79" s="24"/>
      <c r="C79" s="21"/>
      <c r="D79" s="24"/>
      <c r="E79" s="24"/>
      <c r="F79" s="7"/>
      <c r="G79" s="41"/>
      <c r="N79" s="7"/>
    </row>
    <row r="80" spans="1:14" s="14" customFormat="1">
      <c r="A80" s="24"/>
      <c r="C80" s="21"/>
      <c r="D80" s="24"/>
      <c r="E80" s="24"/>
      <c r="F80" s="7"/>
      <c r="G80" s="41"/>
      <c r="N80" s="7"/>
    </row>
    <row r="81" spans="1:14" s="14" customFormat="1">
      <c r="A81" s="24"/>
      <c r="C81" s="21"/>
      <c r="D81" s="24"/>
      <c r="E81" s="24"/>
      <c r="F81" s="7"/>
      <c r="G81" s="41"/>
      <c r="N81" s="7"/>
    </row>
    <row r="82" spans="1:14" s="14" customFormat="1">
      <c r="A82" s="24"/>
      <c r="C82" s="21"/>
      <c r="D82" s="24"/>
      <c r="E82" s="24"/>
      <c r="F82" s="7"/>
      <c r="G82" s="41"/>
      <c r="N82" s="7"/>
    </row>
    <row r="83" spans="1:14" s="14" customFormat="1">
      <c r="A83" s="24"/>
      <c r="C83" s="21"/>
      <c r="D83" s="24"/>
      <c r="E83" s="24"/>
      <c r="F83" s="7"/>
      <c r="G83" s="41"/>
      <c r="N83" s="7"/>
    </row>
    <row r="84" spans="1:14" s="14" customFormat="1">
      <c r="A84" s="24"/>
      <c r="C84" s="21"/>
      <c r="D84" s="24"/>
      <c r="E84" s="24"/>
      <c r="F84" s="7"/>
      <c r="G84" s="41"/>
      <c r="N84" s="7"/>
    </row>
    <row r="85" spans="1:14" s="14" customFormat="1">
      <c r="A85" s="24"/>
      <c r="C85" s="21"/>
      <c r="D85" s="24"/>
      <c r="E85" s="24"/>
      <c r="F85" s="7"/>
      <c r="G85" s="41"/>
      <c r="N85" s="7"/>
    </row>
    <row r="86" spans="1:14" s="14" customFormat="1">
      <c r="A86" s="24"/>
      <c r="C86" s="21"/>
      <c r="D86" s="24"/>
      <c r="E86" s="24"/>
      <c r="F86" s="7"/>
      <c r="G86" s="41"/>
      <c r="N86" s="7"/>
    </row>
    <row r="87" spans="1:14" s="14" customFormat="1">
      <c r="A87" s="24"/>
      <c r="C87" s="21"/>
      <c r="D87" s="24"/>
      <c r="E87" s="24"/>
      <c r="F87" s="7"/>
      <c r="G87" s="41"/>
      <c r="N87" s="7"/>
    </row>
    <row r="88" spans="1:14" s="14" customFormat="1">
      <c r="A88" s="24"/>
      <c r="C88" s="21"/>
      <c r="D88" s="24"/>
      <c r="E88" s="24"/>
      <c r="F88" s="7"/>
      <c r="G88" s="41"/>
      <c r="N88" s="7"/>
    </row>
    <row r="89" spans="1:14" s="14" customFormat="1">
      <c r="A89" s="24"/>
      <c r="C89" s="21"/>
      <c r="D89" s="24"/>
      <c r="E89" s="24"/>
      <c r="F89" s="7"/>
      <c r="G89" s="41"/>
      <c r="N89" s="7"/>
    </row>
    <row r="90" spans="1:14" s="14" customFormat="1">
      <c r="A90" s="24"/>
      <c r="C90" s="21"/>
      <c r="D90" s="24"/>
      <c r="E90" s="24"/>
      <c r="F90" s="7"/>
      <c r="G90" s="41"/>
      <c r="N90" s="7"/>
    </row>
    <row r="91" spans="1:14" s="14" customFormat="1">
      <c r="A91" s="24"/>
      <c r="C91" s="21"/>
      <c r="D91" s="24"/>
      <c r="E91" s="24"/>
      <c r="F91" s="7"/>
      <c r="G91" s="41"/>
      <c r="N91" s="7"/>
    </row>
    <row r="92" spans="1:14" s="14" customFormat="1">
      <c r="A92" s="24"/>
      <c r="C92" s="21"/>
      <c r="D92" s="24"/>
      <c r="E92" s="24"/>
      <c r="F92" s="7"/>
      <c r="G92" s="41"/>
      <c r="N92" s="7"/>
    </row>
    <row r="93" spans="1:14" s="14" customFormat="1">
      <c r="A93" s="24"/>
      <c r="C93" s="21"/>
      <c r="D93" s="24"/>
      <c r="E93" s="24"/>
      <c r="F93" s="7"/>
      <c r="G93" s="41"/>
      <c r="N93" s="7"/>
    </row>
    <row r="94" spans="1:14" s="14" customFormat="1">
      <c r="A94" s="24"/>
      <c r="C94" s="21"/>
      <c r="D94" s="24"/>
      <c r="E94" s="24"/>
      <c r="F94" s="7"/>
      <c r="G94" s="41"/>
      <c r="N94" s="7"/>
    </row>
    <row r="95" spans="1:14" s="14" customFormat="1">
      <c r="A95" s="24"/>
      <c r="C95" s="21"/>
      <c r="D95" s="24"/>
      <c r="E95" s="24"/>
      <c r="F95" s="7"/>
      <c r="G95" s="41"/>
      <c r="N95" s="7"/>
    </row>
    <row r="96" spans="1:14" s="14" customFormat="1">
      <c r="A96" s="24"/>
      <c r="C96" s="21"/>
      <c r="D96" s="24"/>
      <c r="E96" s="24"/>
      <c r="F96" s="7"/>
      <c r="G96" s="41"/>
      <c r="N96" s="7"/>
    </row>
    <row r="97" spans="1:14" s="14" customFormat="1">
      <c r="A97" s="24"/>
      <c r="C97" s="21"/>
      <c r="D97" s="24"/>
      <c r="E97" s="24"/>
      <c r="F97" s="7"/>
      <c r="G97" s="41"/>
      <c r="N97" s="7"/>
    </row>
    <row r="98" spans="1:14" s="14" customFormat="1">
      <c r="A98" s="24"/>
      <c r="C98" s="21"/>
      <c r="D98" s="24"/>
      <c r="E98" s="24"/>
      <c r="F98" s="7"/>
      <c r="G98" s="41"/>
      <c r="N98" s="7"/>
    </row>
    <row r="99" spans="1:14" s="14" customFormat="1">
      <c r="A99" s="24"/>
      <c r="C99" s="21"/>
      <c r="D99" s="24"/>
      <c r="E99" s="24"/>
      <c r="F99" s="7"/>
      <c r="G99" s="41"/>
      <c r="N99" s="7"/>
    </row>
    <row r="100" spans="1:14" s="14" customFormat="1">
      <c r="A100" s="24"/>
      <c r="C100" s="21"/>
      <c r="D100" s="24"/>
      <c r="E100" s="24"/>
      <c r="F100" s="7"/>
      <c r="G100" s="41"/>
      <c r="N100" s="7"/>
    </row>
    <row r="101" spans="1:14" s="14" customFormat="1">
      <c r="A101" s="24"/>
      <c r="C101" s="21"/>
      <c r="D101" s="24"/>
      <c r="E101" s="24"/>
      <c r="F101" s="7"/>
      <c r="G101" s="41"/>
      <c r="N101" s="7"/>
    </row>
    <row r="102" spans="1:14" s="14" customFormat="1">
      <c r="A102" s="24"/>
      <c r="C102" s="21"/>
      <c r="D102" s="24"/>
      <c r="E102" s="24"/>
      <c r="F102" s="7"/>
      <c r="G102" s="41"/>
      <c r="N102" s="7"/>
    </row>
    <row r="103" spans="1:14" s="14" customFormat="1">
      <c r="A103" s="24"/>
      <c r="C103" s="21"/>
      <c r="D103" s="24"/>
      <c r="E103" s="24"/>
      <c r="F103" s="7"/>
      <c r="G103" s="41"/>
      <c r="N103" s="7"/>
    </row>
    <row r="104" spans="1:14" s="14" customFormat="1">
      <c r="A104" s="24"/>
      <c r="C104" s="21"/>
      <c r="D104" s="24"/>
      <c r="E104" s="24"/>
      <c r="F104" s="7"/>
      <c r="G104" s="41"/>
      <c r="N104" s="7"/>
    </row>
    <row r="105" spans="1:14" s="14" customFormat="1">
      <c r="A105" s="24"/>
      <c r="C105" s="21"/>
      <c r="D105" s="24"/>
      <c r="E105" s="24"/>
      <c r="F105" s="7"/>
      <c r="G105" s="41"/>
      <c r="N105" s="7"/>
    </row>
    <row r="106" spans="1:14" s="14" customFormat="1">
      <c r="A106" s="24"/>
      <c r="C106" s="21"/>
      <c r="D106" s="24"/>
      <c r="E106" s="24"/>
      <c r="F106" s="7"/>
      <c r="G106" s="41"/>
      <c r="N106" s="7"/>
    </row>
    <row r="107" spans="1:14" s="14" customFormat="1">
      <c r="A107" s="24"/>
      <c r="C107" s="21"/>
      <c r="D107" s="24"/>
      <c r="E107" s="24"/>
      <c r="F107" s="7"/>
      <c r="G107" s="41"/>
      <c r="N107" s="7"/>
    </row>
    <row r="108" spans="1:14" s="14" customFormat="1">
      <c r="A108" s="24"/>
      <c r="C108" s="21"/>
      <c r="D108" s="24"/>
      <c r="E108" s="24"/>
      <c r="F108" s="7"/>
      <c r="G108" s="41"/>
      <c r="N108" s="7"/>
    </row>
    <row r="109" spans="1:14" s="14" customFormat="1">
      <c r="A109" s="24"/>
      <c r="C109" s="21"/>
      <c r="D109" s="24"/>
      <c r="E109" s="24"/>
      <c r="F109" s="7"/>
      <c r="G109" s="41"/>
      <c r="N109" s="7"/>
    </row>
    <row r="110" spans="1:14" s="14" customFormat="1">
      <c r="A110" s="24"/>
      <c r="C110" s="21"/>
      <c r="D110" s="24"/>
      <c r="E110" s="24"/>
      <c r="F110" s="7"/>
      <c r="G110" s="41"/>
      <c r="N110" s="7"/>
    </row>
    <row r="111" spans="1:14" s="14" customFormat="1">
      <c r="A111" s="24"/>
      <c r="C111" s="21"/>
      <c r="D111" s="24"/>
      <c r="E111" s="24"/>
      <c r="F111" s="7"/>
      <c r="G111" s="41"/>
      <c r="N111" s="7"/>
    </row>
    <row r="112" spans="1:14" s="14" customFormat="1">
      <c r="A112" s="24"/>
      <c r="C112" s="21"/>
      <c r="D112" s="24"/>
      <c r="E112" s="24"/>
      <c r="F112" s="7"/>
      <c r="G112" s="41"/>
      <c r="N112" s="7"/>
    </row>
    <row r="113" spans="1:14" s="14" customFormat="1">
      <c r="A113" s="24"/>
      <c r="C113" s="21"/>
      <c r="D113" s="24"/>
      <c r="E113" s="24"/>
      <c r="F113" s="7"/>
      <c r="G113" s="41"/>
      <c r="N113" s="7"/>
    </row>
    <row r="114" spans="1:14" s="14" customFormat="1">
      <c r="A114" s="24"/>
      <c r="C114" s="21"/>
      <c r="D114" s="24"/>
      <c r="E114" s="24"/>
      <c r="F114" s="7"/>
      <c r="G114" s="41"/>
      <c r="N114" s="7"/>
    </row>
    <row r="115" spans="1:14" s="14" customFormat="1">
      <c r="A115" s="24"/>
      <c r="C115" s="21"/>
      <c r="D115" s="24"/>
      <c r="E115" s="24"/>
      <c r="F115" s="7"/>
      <c r="G115" s="41"/>
      <c r="N115" s="7"/>
    </row>
    <row r="116" spans="1:14" s="14" customFormat="1">
      <c r="A116" s="24"/>
      <c r="C116" s="21"/>
      <c r="D116" s="24"/>
      <c r="E116" s="24"/>
      <c r="F116" s="7"/>
      <c r="G116" s="41"/>
      <c r="N116" s="7"/>
    </row>
    <row r="117" spans="1:14" s="14" customFormat="1">
      <c r="A117" s="24"/>
      <c r="C117" s="21"/>
      <c r="D117" s="24"/>
      <c r="E117" s="24"/>
      <c r="F117" s="7"/>
      <c r="G117" s="41"/>
      <c r="N117" s="7"/>
    </row>
    <row r="118" spans="1:14" s="14" customFormat="1">
      <c r="A118" s="24"/>
      <c r="C118" s="21"/>
      <c r="D118" s="24"/>
      <c r="E118" s="24"/>
      <c r="F118" s="7"/>
      <c r="G118" s="41"/>
      <c r="N118" s="7"/>
    </row>
    <row r="119" spans="1:14" s="14" customFormat="1">
      <c r="A119" s="24"/>
      <c r="C119" s="21"/>
      <c r="D119" s="24"/>
      <c r="E119" s="24"/>
      <c r="F119" s="7"/>
      <c r="G119" s="41"/>
      <c r="N119" s="7"/>
    </row>
    <row r="120" spans="1:14" s="14" customFormat="1">
      <c r="A120" s="24"/>
      <c r="C120" s="21"/>
      <c r="D120" s="24"/>
      <c r="E120" s="24"/>
      <c r="F120" s="7"/>
      <c r="G120" s="41"/>
      <c r="N120" s="7"/>
    </row>
    <row r="121" spans="1:14" s="14" customFormat="1">
      <c r="A121" s="24"/>
      <c r="C121" s="21"/>
      <c r="D121" s="24"/>
      <c r="E121" s="24"/>
      <c r="F121" s="7"/>
      <c r="G121" s="41"/>
      <c r="N121" s="7"/>
    </row>
    <row r="122" spans="1:14" s="14" customFormat="1">
      <c r="A122" s="24"/>
      <c r="C122" s="21"/>
      <c r="D122" s="24"/>
      <c r="E122" s="24"/>
      <c r="F122" s="7"/>
      <c r="G122" s="41"/>
      <c r="N122" s="7"/>
    </row>
    <row r="123" spans="1:14" s="14" customFormat="1">
      <c r="A123" s="24"/>
      <c r="C123" s="21"/>
      <c r="D123" s="24"/>
      <c r="E123" s="24"/>
      <c r="F123" s="7"/>
      <c r="G123" s="41"/>
      <c r="N123" s="7"/>
    </row>
    <row r="124" spans="1:14" s="14" customFormat="1">
      <c r="A124" s="24"/>
      <c r="C124" s="21"/>
      <c r="D124" s="24"/>
      <c r="E124" s="24"/>
      <c r="F124" s="7"/>
      <c r="G124" s="41"/>
      <c r="N124" s="7"/>
    </row>
    <row r="125" spans="1:14" s="14" customFormat="1">
      <c r="A125" s="24"/>
      <c r="C125" s="21"/>
      <c r="D125" s="24"/>
      <c r="E125" s="24"/>
      <c r="F125" s="7"/>
      <c r="G125" s="41"/>
      <c r="N125" s="7"/>
    </row>
    <row r="126" spans="1:14" s="14" customFormat="1">
      <c r="A126" s="24"/>
      <c r="C126" s="21"/>
      <c r="D126" s="24"/>
      <c r="E126" s="24"/>
      <c r="F126" s="7"/>
      <c r="G126" s="41"/>
      <c r="N126" s="7"/>
    </row>
    <row r="127" spans="1:14" s="14" customFormat="1">
      <c r="A127" s="24"/>
      <c r="C127" s="21"/>
      <c r="D127" s="24"/>
      <c r="E127" s="24"/>
      <c r="F127" s="7"/>
      <c r="G127" s="41"/>
      <c r="N127" s="7"/>
    </row>
    <row r="128" spans="1:14" s="14" customFormat="1">
      <c r="A128" s="24"/>
      <c r="C128" s="21"/>
      <c r="D128" s="24"/>
      <c r="E128" s="24"/>
      <c r="F128" s="7"/>
      <c r="G128" s="41"/>
      <c r="N128" s="7"/>
    </row>
    <row r="129" spans="1:14" s="14" customFormat="1">
      <c r="A129" s="24"/>
      <c r="C129" s="21"/>
      <c r="D129" s="24"/>
      <c r="E129" s="24"/>
      <c r="F129" s="7"/>
      <c r="G129" s="41"/>
      <c r="N129" s="7"/>
    </row>
    <row r="130" spans="1:14" s="14" customFormat="1">
      <c r="A130" s="24"/>
      <c r="C130" s="21"/>
      <c r="D130" s="24"/>
      <c r="E130" s="24"/>
      <c r="F130" s="7"/>
      <c r="G130" s="41"/>
      <c r="N130" s="7"/>
    </row>
    <row r="131" spans="1:14" s="14" customFormat="1">
      <c r="A131" s="24"/>
      <c r="C131" s="21"/>
      <c r="D131" s="24"/>
      <c r="E131" s="24"/>
      <c r="F131" s="7"/>
      <c r="G131" s="41"/>
      <c r="N131" s="7"/>
    </row>
    <row r="132" spans="1:14" s="14" customFormat="1">
      <c r="A132" s="24"/>
      <c r="C132" s="21"/>
      <c r="D132" s="24"/>
      <c r="E132" s="24"/>
      <c r="F132" s="7"/>
      <c r="G132" s="41"/>
      <c r="N132" s="7"/>
    </row>
    <row r="133" spans="1:14" s="14" customFormat="1">
      <c r="A133" s="24"/>
      <c r="C133" s="21"/>
      <c r="D133" s="24"/>
      <c r="E133" s="24"/>
      <c r="F133" s="7"/>
      <c r="G133" s="41"/>
      <c r="N133" s="7"/>
    </row>
    <row r="134" spans="1:14" s="14" customFormat="1">
      <c r="A134" s="24"/>
      <c r="C134" s="21"/>
      <c r="D134" s="24"/>
      <c r="E134" s="24"/>
      <c r="F134" s="7"/>
      <c r="G134" s="41"/>
      <c r="N134" s="7"/>
    </row>
    <row r="135" spans="1:14" s="14" customFormat="1">
      <c r="A135" s="24"/>
      <c r="C135" s="21"/>
      <c r="D135" s="24"/>
      <c r="E135" s="24"/>
      <c r="F135" s="7"/>
      <c r="G135" s="41"/>
      <c r="N135" s="7"/>
    </row>
    <row r="136" spans="1:14" s="14" customFormat="1">
      <c r="A136" s="24"/>
      <c r="C136" s="21"/>
      <c r="D136" s="24"/>
      <c r="E136" s="24"/>
      <c r="F136" s="7"/>
      <c r="G136" s="41"/>
      <c r="N136" s="7"/>
    </row>
    <row r="137" spans="1:14" s="14" customFormat="1">
      <c r="A137" s="24"/>
      <c r="C137" s="21"/>
      <c r="D137" s="24"/>
      <c r="E137" s="24"/>
      <c r="F137" s="7"/>
      <c r="G137" s="41"/>
      <c r="N137" s="7"/>
    </row>
    <row r="138" spans="1:14" s="14" customFormat="1">
      <c r="A138" s="24"/>
      <c r="C138" s="21"/>
      <c r="D138" s="24"/>
      <c r="E138" s="24"/>
      <c r="F138" s="7"/>
      <c r="G138" s="41"/>
      <c r="N138" s="7"/>
    </row>
    <row r="139" spans="1:14" s="14" customFormat="1">
      <c r="A139" s="24"/>
      <c r="C139" s="21"/>
      <c r="D139" s="24"/>
      <c r="E139" s="24"/>
      <c r="F139" s="7"/>
      <c r="G139" s="41"/>
      <c r="N139" s="7"/>
    </row>
    <row r="140" spans="1:14" s="14" customFormat="1">
      <c r="A140" s="24"/>
      <c r="C140" s="21"/>
      <c r="D140" s="24"/>
      <c r="E140" s="24"/>
      <c r="F140" s="7"/>
      <c r="G140" s="41"/>
      <c r="N140" s="7"/>
    </row>
    <row r="141" spans="1:14" s="14" customFormat="1">
      <c r="A141" s="24"/>
      <c r="C141" s="21"/>
      <c r="D141" s="24"/>
      <c r="E141" s="24"/>
      <c r="F141" s="7"/>
      <c r="G141" s="41"/>
      <c r="N141" s="7"/>
    </row>
    <row r="142" spans="1:14" s="14" customFormat="1">
      <c r="A142" s="24"/>
      <c r="C142" s="21"/>
      <c r="D142" s="24"/>
      <c r="E142" s="24"/>
      <c r="F142" s="7"/>
      <c r="G142" s="41"/>
      <c r="N142" s="7"/>
    </row>
    <row r="143" spans="1:14" s="14" customFormat="1">
      <c r="A143" s="24"/>
      <c r="C143" s="21"/>
      <c r="D143" s="24"/>
      <c r="E143" s="24"/>
      <c r="F143" s="7"/>
      <c r="G143" s="41"/>
      <c r="N143" s="7"/>
    </row>
    <row r="144" spans="1:14" s="14" customFormat="1">
      <c r="A144" s="24"/>
      <c r="C144" s="21"/>
      <c r="D144" s="24"/>
      <c r="E144" s="24"/>
      <c r="F144" s="7"/>
      <c r="G144" s="41"/>
      <c r="N144" s="7"/>
    </row>
    <row r="145" spans="1:14" s="14" customFormat="1">
      <c r="A145" s="24"/>
      <c r="C145" s="21"/>
      <c r="D145" s="24"/>
      <c r="E145" s="24"/>
      <c r="F145" s="7"/>
      <c r="G145" s="41"/>
      <c r="N145" s="7"/>
    </row>
    <row r="146" spans="1:14" s="14" customFormat="1">
      <c r="A146" s="24"/>
      <c r="C146" s="21"/>
      <c r="D146" s="24"/>
      <c r="E146" s="24"/>
      <c r="F146" s="7"/>
      <c r="G146" s="41"/>
      <c r="N146" s="7"/>
    </row>
    <row r="147" spans="1:14" s="14" customFormat="1">
      <c r="A147" s="24"/>
      <c r="C147" s="21"/>
      <c r="D147" s="24"/>
      <c r="E147" s="24"/>
      <c r="F147" s="7"/>
      <c r="G147" s="41"/>
      <c r="N147" s="7"/>
    </row>
    <row r="148" spans="1:14" s="14" customFormat="1">
      <c r="A148" s="24"/>
      <c r="C148" s="21"/>
      <c r="D148" s="24"/>
      <c r="E148" s="24"/>
      <c r="F148" s="7"/>
      <c r="G148" s="41"/>
      <c r="N148" s="7"/>
    </row>
    <row r="149" spans="1:14" s="14" customFormat="1">
      <c r="A149" s="24"/>
      <c r="C149" s="21"/>
      <c r="D149" s="24"/>
      <c r="E149" s="24"/>
      <c r="F149" s="7"/>
      <c r="G149" s="41"/>
      <c r="N149" s="7"/>
    </row>
    <row r="150" spans="1:14" s="14" customFormat="1">
      <c r="A150" s="24"/>
      <c r="C150" s="21"/>
      <c r="D150" s="24"/>
      <c r="E150" s="24"/>
      <c r="F150" s="7"/>
      <c r="G150" s="41"/>
      <c r="N150" s="7"/>
    </row>
    <row r="151" spans="1:14" s="14" customFormat="1">
      <c r="A151" s="24"/>
      <c r="C151" s="21"/>
      <c r="D151" s="24"/>
      <c r="E151" s="24"/>
      <c r="F151" s="7"/>
      <c r="G151" s="41"/>
      <c r="N151" s="7"/>
    </row>
    <row r="152" spans="1:14" s="14" customFormat="1">
      <c r="A152" s="24"/>
      <c r="C152" s="21"/>
      <c r="D152" s="24"/>
      <c r="E152" s="24"/>
      <c r="F152" s="7"/>
      <c r="G152" s="41"/>
      <c r="N152" s="7"/>
    </row>
    <row r="153" spans="1:14" s="14" customFormat="1">
      <c r="A153" s="24"/>
      <c r="C153" s="21"/>
      <c r="D153" s="24"/>
      <c r="E153" s="24"/>
      <c r="F153" s="7"/>
      <c r="G153" s="41"/>
      <c r="N153" s="7"/>
    </row>
    <row r="154" spans="1:14" s="14" customFormat="1">
      <c r="A154" s="24"/>
      <c r="C154" s="21"/>
      <c r="D154" s="24"/>
      <c r="E154" s="24"/>
      <c r="F154" s="7"/>
      <c r="G154" s="41"/>
      <c r="N154" s="7"/>
    </row>
    <row r="155" spans="1:14" s="14" customFormat="1">
      <c r="A155" s="24"/>
      <c r="C155" s="21"/>
      <c r="D155" s="24"/>
      <c r="E155" s="24"/>
      <c r="F155" s="7"/>
      <c r="G155" s="41"/>
      <c r="N155" s="7"/>
    </row>
    <row r="156" spans="1:14" s="14" customFormat="1">
      <c r="A156" s="24"/>
      <c r="C156" s="21"/>
      <c r="D156" s="24"/>
      <c r="E156" s="24"/>
      <c r="F156" s="7"/>
      <c r="G156" s="41"/>
      <c r="N156" s="7"/>
    </row>
    <row r="157" spans="1:14" s="14" customFormat="1">
      <c r="A157" s="24"/>
      <c r="C157" s="21"/>
      <c r="D157" s="24"/>
      <c r="E157" s="24"/>
      <c r="F157" s="7"/>
      <c r="G157" s="41"/>
      <c r="N157" s="7"/>
    </row>
  </sheetData>
  <autoFilter ref="B1:B157" xr:uid="{00000000-0001-0000-0100-000000000000}"/>
  <mergeCells count="20">
    <mergeCell ref="B33:E33"/>
    <mergeCell ref="B7:E7"/>
    <mergeCell ref="B8:E8"/>
    <mergeCell ref="B9:E9"/>
    <mergeCell ref="B10:E10"/>
    <mergeCell ref="B11:E11"/>
    <mergeCell ref="B21:E21"/>
    <mergeCell ref="B23:E23"/>
    <mergeCell ref="B24:E24"/>
    <mergeCell ref="B25:E25"/>
    <mergeCell ref="B26:E26"/>
    <mergeCell ref="B27:E27"/>
    <mergeCell ref="A1:N1"/>
    <mergeCell ref="A4:A5"/>
    <mergeCell ref="B4:B5"/>
    <mergeCell ref="C4:C5"/>
    <mergeCell ref="D4:E4"/>
    <mergeCell ref="F4:F5"/>
    <mergeCell ref="G4:M4"/>
    <mergeCell ref="N4:N5"/>
  </mergeCells>
  <phoneticPr fontId="119" type="noConversion"/>
  <pageMargins left="0.31496062992125984" right="0.31496062992125984" top="0.74803149606299213" bottom="0.55118110236220474" header="0.31496062992125984" footer="0.31496062992125984"/>
  <pageSetup paperSize="9" scale="59" fitToHeight="0" orientation="landscape" horizontalDpi="4294967293" verticalDpi="0" r:id="rId1"/>
  <headerFooter differentOddEven="1" differentFirst="1" alignWithMargins="0">
    <oddFooter>&amp;C&amp;P</oddFooter>
    <evenFooter>&amp;C&amp;P</evenFooter>
    <firstHeader>&amp;RZałącznik Nr 2
do uchwały Nr...............
Rady  Powiatu  Otwockiego
z dnia 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</vt:lpstr>
      <vt:lpstr>'Zał. 2 '!Obszar_wydruku</vt:lpstr>
      <vt:lpstr>'Zał. 2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2022-08-18T09:11:54Z</dcterms:modified>
</cp:coreProperties>
</file>