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mroczkowska\Desktop\Sesja 25-08-2022\"/>
    </mc:Choice>
  </mc:AlternateContent>
  <xr:revisionPtr revIDLastSave="0" documentId="13_ncr:1_{BBDBFAC4-C307-48D4-862E-D2536E78BA90}" xr6:coauthVersionLast="47" xr6:coauthVersionMax="47" xr10:uidLastSave="{00000000-0000-0000-0000-000000000000}"/>
  <bookViews>
    <workbookView xWindow="-120" yWindow="-120" windowWidth="29040" windowHeight="15840" tabRatio="821" activeTab="5" xr2:uid="{00000000-000D-0000-FFFF-FFFF00000000}"/>
  </bookViews>
  <sheets>
    <sheet name="Tab.2a " sheetId="67" r:id="rId1"/>
    <sheet name="Tab.3" sheetId="21" r:id="rId2"/>
    <sheet name="Tab.5 " sheetId="68" r:id="rId3"/>
    <sheet name="Tab.7 " sheetId="75" r:id="rId4"/>
    <sheet name="Zał.1 " sheetId="76" r:id="rId5"/>
    <sheet name="Zał.2" sheetId="73" r:id="rId6"/>
  </sheets>
  <externalReferences>
    <externalReference r:id="rId7"/>
    <externalReference r:id="rId8"/>
    <externalReference r:id="rId9"/>
  </externalReferences>
  <definedNames>
    <definedName name="__xlnm.Print_Area_1" localSheetId="0">#REF!</definedName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>#REF!</definedName>
    <definedName name="_xlnm._FilterDatabase" localSheetId="0" hidden="1">'Tab.2a '!$L$1:$L$87</definedName>
    <definedName name="_xlnm._FilterDatabase" localSheetId="2" hidden="1">'Tab.5 '!$B$2:$B$175</definedName>
    <definedName name="_xlnm._FilterDatabase" localSheetId="3" hidden="1">'Tab.7 '!$D$2:$D$44</definedName>
    <definedName name="IdWzor">[1]DaneZrodlowe!$N$3</definedName>
    <definedName name="Inwestycje" localSheetId="0">#REF!</definedName>
    <definedName name="Inwestycje" localSheetId="2">#REF!</definedName>
    <definedName name="Inwestycje" localSheetId="3">#REF!</definedName>
    <definedName name="Inwestycje" localSheetId="4">#REF!</definedName>
    <definedName name="Inwestycje">#REF!</definedName>
    <definedName name="KwartalRb">[2]definicja!$B$5</definedName>
    <definedName name="_xlnm.Print_Area" localSheetId="0">'Tab.2a '!$A$2:$K$82</definedName>
    <definedName name="_xlnm.Print_Area" localSheetId="1">Tab.3!$A$2:$D$30</definedName>
    <definedName name="_xlnm.Print_Area" localSheetId="2">'Tab.5 '!$A$2:$F$174</definedName>
    <definedName name="_xlnm.Print_Area" localSheetId="4">'Zał.1 '!$A$2:$G$48</definedName>
    <definedName name="_xlnm.Print_Area" localSheetId="5">Zał.2!$A$1:$H$14</definedName>
    <definedName name="Ostatni_rok_analizy">[3]WPF_Analiza!$L$1</definedName>
    <definedName name="Rok_bazowy">[2]DaneZrodlowe!$O$1</definedName>
    <definedName name="RokBazowy">[3]DaneZrodlowe!$N$1</definedName>
    <definedName name="RokMaxProg">[3]DaneZrodlowe!$Q$1</definedName>
    <definedName name="RokRb">[2]definicja!$B$4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>#REF!</definedName>
    <definedName name="version">[3]definicja!$D$1</definedName>
    <definedName name="WydatkiPar">[2]definicja!$H$5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76" l="1"/>
  <c r="G44" i="76"/>
  <c r="E39" i="76"/>
  <c r="G38" i="76"/>
  <c r="E29" i="76"/>
  <c r="E47" i="76" s="1"/>
  <c r="F21" i="76"/>
  <c r="E21" i="76"/>
  <c r="G18" i="76"/>
  <c r="G21" i="76" s="1"/>
  <c r="F42" i="75"/>
  <c r="F41" i="75" s="1"/>
  <c r="G41" i="75"/>
  <c r="G39" i="75"/>
  <c r="G38" i="75" s="1"/>
  <c r="G37" i="75"/>
  <c r="G35" i="75"/>
  <c r="F35" i="75"/>
  <c r="F29" i="75" s="1"/>
  <c r="G33" i="75"/>
  <c r="G30" i="75"/>
  <c r="F30" i="75"/>
  <c r="G29" i="75"/>
  <c r="G26" i="75"/>
  <c r="G25" i="75" s="1"/>
  <c r="F26" i="75"/>
  <c r="F25" i="75" s="1"/>
  <c r="F23" i="75"/>
  <c r="F22" i="75" s="1"/>
  <c r="F18" i="75"/>
  <c r="F17" i="75" s="1"/>
  <c r="G17" i="75"/>
  <c r="G15" i="75"/>
  <c r="F15" i="75"/>
  <c r="F14" i="75" s="1"/>
  <c r="G14" i="75"/>
  <c r="G12" i="75"/>
  <c r="G11" i="75" s="1"/>
  <c r="F12" i="75"/>
  <c r="F11" i="75" s="1"/>
  <c r="G8" i="75"/>
  <c r="F8" i="75"/>
  <c r="G7" i="75"/>
  <c r="G6" i="75" s="1"/>
  <c r="G5" i="75" s="1"/>
  <c r="F5" i="75"/>
  <c r="G48" i="76" l="1"/>
  <c r="G47" i="76"/>
  <c r="F44" i="75"/>
  <c r="G44" i="75"/>
  <c r="G36" i="67" l="1"/>
  <c r="H15" i="67"/>
  <c r="I15" i="67"/>
  <c r="H7" i="67"/>
  <c r="I7" i="67"/>
  <c r="J7" i="67"/>
  <c r="F66" i="67"/>
  <c r="D22" i="21"/>
  <c r="D17" i="21"/>
  <c r="G51" i="67" l="1"/>
  <c r="G12" i="73"/>
  <c r="E12" i="73"/>
  <c r="F46" i="67"/>
  <c r="F44" i="67"/>
  <c r="J43" i="67"/>
  <c r="F42" i="67"/>
  <c r="F37" i="67"/>
  <c r="J36" i="67"/>
  <c r="F32" i="67"/>
  <c r="F25" i="67"/>
  <c r="J24" i="67"/>
  <c r="F23" i="67"/>
  <c r="F22" i="67"/>
  <c r="G21" i="67"/>
  <c r="F21" i="67" s="1"/>
  <c r="G56" i="67" l="1"/>
  <c r="F51" i="67"/>
  <c r="G10" i="73"/>
  <c r="G7" i="73"/>
  <c r="D28" i="21"/>
  <c r="G20" i="67"/>
  <c r="G25" i="67" l="1"/>
  <c r="F17" i="67" l="1"/>
  <c r="F10" i="73"/>
  <c r="E10" i="73"/>
  <c r="F7" i="73"/>
  <c r="E7" i="73"/>
  <c r="E14" i="73" s="1"/>
  <c r="H14" i="73"/>
  <c r="G14" i="73"/>
  <c r="F13" i="73"/>
  <c r="F14" i="73" s="1"/>
  <c r="G75" i="67" l="1"/>
  <c r="H75" i="67"/>
  <c r="I75" i="67"/>
  <c r="J75" i="67"/>
  <c r="F75" i="67"/>
  <c r="G60" i="67"/>
  <c r="D18" i="21" l="1"/>
  <c r="G50" i="67" l="1"/>
  <c r="F49" i="67"/>
  <c r="F50" i="67" s="1"/>
  <c r="F33" i="67" l="1"/>
  <c r="G40" i="67"/>
  <c r="G39" i="67" s="1"/>
  <c r="G9" i="67" l="1"/>
  <c r="F20" i="67" l="1"/>
  <c r="D20" i="21" l="1"/>
  <c r="G67" i="67" l="1"/>
  <c r="H67" i="67"/>
  <c r="I67" i="67"/>
  <c r="F67" i="67"/>
  <c r="J15" i="67"/>
  <c r="H24" i="67"/>
  <c r="I24" i="67"/>
  <c r="G69" i="67" l="1"/>
  <c r="H69" i="67"/>
  <c r="I69" i="67"/>
  <c r="F68" i="67"/>
  <c r="F69" i="67" s="1"/>
  <c r="H64" i="67"/>
  <c r="G34" i="67" l="1"/>
  <c r="H34" i="67"/>
  <c r="I34" i="67"/>
  <c r="G27" i="67"/>
  <c r="F27" i="67" s="1"/>
  <c r="H59" i="67"/>
  <c r="I59" i="67"/>
  <c r="J59" i="67"/>
  <c r="H54" i="67"/>
  <c r="I54" i="67"/>
  <c r="J54" i="67"/>
  <c r="H52" i="67"/>
  <c r="I52" i="67"/>
  <c r="J52" i="67"/>
  <c r="G52" i="67"/>
  <c r="F52" i="67"/>
  <c r="G59" i="67"/>
  <c r="F58" i="67"/>
  <c r="F59" i="67" s="1"/>
  <c r="F34" i="67" l="1"/>
  <c r="G26" i="67" l="1"/>
  <c r="G24" i="67" s="1"/>
  <c r="F24" i="67" s="1"/>
  <c r="G16" i="67"/>
  <c r="G15" i="67" s="1"/>
  <c r="F15" i="67" s="1"/>
  <c r="F14" i="67"/>
  <c r="J13" i="67"/>
  <c r="J48" i="67" s="1"/>
  <c r="F11" i="67"/>
  <c r="G10" i="67"/>
  <c r="G7" i="67" s="1"/>
  <c r="F7" i="67" s="1"/>
  <c r="F16" i="67" l="1"/>
  <c r="D15" i="21"/>
  <c r="D14" i="21" s="1"/>
  <c r="J73" i="67" l="1"/>
  <c r="I73" i="67"/>
  <c r="H73" i="67"/>
  <c r="G73" i="67"/>
  <c r="F73" i="67"/>
  <c r="J71" i="67"/>
  <c r="I71" i="67"/>
  <c r="H71" i="67"/>
  <c r="G71" i="67"/>
  <c r="F70" i="67"/>
  <c r="F71" i="67" s="1"/>
  <c r="I64" i="67"/>
  <c r="G64" i="67"/>
  <c r="F62" i="67"/>
  <c r="F64" i="67" s="1"/>
  <c r="H61" i="67"/>
  <c r="G61" i="67"/>
  <c r="F60" i="67"/>
  <c r="F61" i="67" s="1"/>
  <c r="K57" i="67"/>
  <c r="J57" i="67"/>
  <c r="J76" i="67" s="1"/>
  <c r="I57" i="67"/>
  <c r="H57" i="67"/>
  <c r="G57" i="67"/>
  <c r="F56" i="67"/>
  <c r="F55" i="67"/>
  <c r="G54" i="67"/>
  <c r="F53" i="67"/>
  <c r="F54" i="67" s="1"/>
  <c r="G47" i="67"/>
  <c r="G43" i="67" s="1"/>
  <c r="I43" i="67"/>
  <c r="H43" i="67"/>
  <c r="F40" i="67"/>
  <c r="I39" i="67"/>
  <c r="H39" i="67"/>
  <c r="F39" i="67" s="1"/>
  <c r="I36" i="67"/>
  <c r="H36" i="67"/>
  <c r="F36" i="67" s="1"/>
  <c r="F31" i="67"/>
  <c r="I30" i="67"/>
  <c r="H30" i="67"/>
  <c r="G30" i="67"/>
  <c r="F26" i="67"/>
  <c r="F18" i="67"/>
  <c r="I13" i="67"/>
  <c r="H13" i="67"/>
  <c r="G13" i="67"/>
  <c r="F13" i="67" s="1"/>
  <c r="F12" i="67"/>
  <c r="F10" i="67"/>
  <c r="F9" i="67"/>
  <c r="F43" i="67" l="1"/>
  <c r="F57" i="67"/>
  <c r="F30" i="67"/>
  <c r="H48" i="67"/>
  <c r="H76" i="67" s="1"/>
  <c r="F47" i="67"/>
  <c r="I48" i="67"/>
  <c r="I76" i="67" s="1"/>
  <c r="G48" i="67"/>
  <c r="G76" i="67" s="1"/>
  <c r="F48" i="67" l="1"/>
  <c r="F76" i="67" s="1"/>
  <c r="D26" i="21" l="1"/>
  <c r="D10" i="21"/>
  <c r="D7" i="21"/>
  <c r="D13" i="21" l="1"/>
</calcChain>
</file>

<file path=xl/sharedStrings.xml><?xml version="1.0" encoding="utf-8"?>
<sst xmlns="http://schemas.openxmlformats.org/spreadsheetml/2006/main" count="1059" uniqueCount="401">
  <si>
    <t>Dział</t>
  </si>
  <si>
    <t>Lp.</t>
  </si>
  <si>
    <t>1.</t>
  </si>
  <si>
    <t>2.</t>
  </si>
  <si>
    <t>3.</t>
  </si>
  <si>
    <t>4.</t>
  </si>
  <si>
    <t>5.</t>
  </si>
  <si>
    <t>Treść</t>
  </si>
  <si>
    <t>Klasyfikacja</t>
  </si>
  <si>
    <t xml:space="preserve">Kwota </t>
  </si>
  <si>
    <t>Dochody ogółem:</t>
  </si>
  <si>
    <t>dochody bieżące</t>
  </si>
  <si>
    <t>dochody majątkowe</t>
  </si>
  <si>
    <t>Wydatki ogółem:</t>
  </si>
  <si>
    <t>wydatki majątkowe</t>
  </si>
  <si>
    <t xml:space="preserve">Wynik budżetu </t>
  </si>
  <si>
    <t>Przychody ogółem:</t>
  </si>
  <si>
    <t>§ 952</t>
  </si>
  <si>
    <t>§ 950</t>
  </si>
  <si>
    <t>Rozchody ogółem:</t>
  </si>
  <si>
    <t>§ 992</t>
  </si>
  <si>
    <t>Przychody z zaciągniętych kredytów na rynku krajowym</t>
  </si>
  <si>
    <t>Przychody z zaciągniętych pożyczek na rynku krajowym</t>
  </si>
  <si>
    <t>Wolne środki, o których mowa w art. 217 ust. 2 pkt 6 ustawy</t>
  </si>
  <si>
    <t>Spłaty otrzymanych krajowych kredytów</t>
  </si>
  <si>
    <t>Spłaty otrzymanych krajowych pożyczek</t>
  </si>
  <si>
    <t>wydatki bieżące</t>
  </si>
  <si>
    <t>Przychody ze spłat pożyczek i kredytów udzielonych ze środków publicznych</t>
  </si>
  <si>
    <t>§ 951</t>
  </si>
  <si>
    <t>§ 991</t>
  </si>
  <si>
    <t>Udzielone pożyczki i kredyty</t>
  </si>
  <si>
    <t>§</t>
  </si>
  <si>
    <t>Nazwa zadania</t>
  </si>
  <si>
    <t>Plan</t>
  </si>
  <si>
    <t>z tego:</t>
  </si>
  <si>
    <t>Ogółem</t>
  </si>
  <si>
    <t>w tym:</t>
  </si>
  <si>
    <t>9.</t>
  </si>
  <si>
    <t>7.</t>
  </si>
  <si>
    <t>6.</t>
  </si>
  <si>
    <t>§ 906</t>
  </si>
  <si>
    <t>§ 905</t>
  </si>
  <si>
    <t>Przychody jednostek samorządu terytorialnego z niewykorzystanych środków pieniężnych na rachunku bieżącym budżetu, wynikających z rozliczenia dochodów i wydatków nimi finansowanych związanych ze szczególnymi zasadami wykonywania budżetu określonymi w odrębnych ustawach</t>
  </si>
  <si>
    <t>Przychody jednostek samorządu terytorialnego z wynikających z rozliczenia środków określonych w art. 5 ust. 1 pkt 2 ustawy i dotacji na realizację programu, projektu lub zadania finansowanego z udziałem tych środków</t>
  </si>
  <si>
    <t>Regionalne partnerstwo samorządów Mazowsza dla aktywizacji społeczeństwa informacyjnego w zakresie e-administracji i geoinformacji</t>
  </si>
  <si>
    <t>Przychody ze sprzedaży innych papierów wartościowych</t>
  </si>
  <si>
    <t>§ 931</t>
  </si>
  <si>
    <t>Modernizacja budynku Specjalnego Ośrodka Szkolno-Wychowawczego Nr 1 - wzmocnienie stropów, dostosowanie budynku do zaleceń  ppoż.</t>
  </si>
  <si>
    <t>Rozdz.</t>
  </si>
  <si>
    <t>Uwagi</t>
  </si>
  <si>
    <t>środki własne</t>
  </si>
  <si>
    <t>kredyty, pożyczki, obligacje</t>
  </si>
  <si>
    <t>środki o których mowa w art. 5 ust. 1 pkt 2 i 3 uofp</t>
  </si>
  <si>
    <t>środki pochodzące                  z innych źródeł                     (w tym dotacje)</t>
  </si>
  <si>
    <t>8.</t>
  </si>
  <si>
    <t>10.</t>
  </si>
  <si>
    <t>11.</t>
  </si>
  <si>
    <t>Gmina Celestynów</t>
  </si>
  <si>
    <t xml:space="preserve">Rozbudowa dróg powiatowych Nr 2715W i Nr 2716W w miejsc. Dyzin, Jatne i Celestynów, gm. Celestynów, powiat otwocki </t>
  </si>
  <si>
    <t xml:space="preserve">Przebudowa mostu w drodze powiatowej Nr 2722W w Pogorzeli </t>
  </si>
  <si>
    <t>WPF</t>
  </si>
  <si>
    <t>Poprawa bezpieczeństwa ruchu drogowego na przejściu dla pieszych w Pogorzeli na ul. Warszawskiej na drodze Nr 2715W</t>
  </si>
  <si>
    <t>A. 159 170</t>
  </si>
  <si>
    <t>Rozbudowa drogi powiatowej Nr 2713W w miejscowościach Stara Wieś, Dąbrówka i Celestynów</t>
  </si>
  <si>
    <t>Dotacja dla Gminy Celestynów na zadanie w drodze powiatowej pn. "Budowa skrzyżowania bezkolizyjnego z linią kolejową nr 7 w ciągu ul. Jankowskiego w Celestynowie wraz z budową przyległego układu drogowego, w zamian za likwidację przejazdu kolejowo-drogowego kat. A w km 38,364 linii kolejowej nr 7 w ul. Jankowskiego, w ramach projektu pn. „Poprawa bezpieczeństwa na skrzyżowaniach linii kolejowych z drogami – etap III</t>
  </si>
  <si>
    <t>Gmina Józefów</t>
  </si>
  <si>
    <t>Poprawa bezpieczeństwa ruchu drogowego na przejściu dla pieszych w Józefowie na ul. Granicznej na drodze nr 2768W</t>
  </si>
  <si>
    <t>Gmina Otwock</t>
  </si>
  <si>
    <t xml:space="preserve">Poprawa bezpieczeństwa ruchu drogowego na  przejściu dla pieszych w Otwocku na ul. Narutowicza na drodze Nr 2759W
</t>
  </si>
  <si>
    <t>A. 159 090</t>
  </si>
  <si>
    <t>Poprawa bezpieczeństwa ruchu poprzez budowę ciągów pieszych i rowerowych na ul. Warszawskiej, ul. Jana Pawła II i ul. Poniatowskiego</t>
  </si>
  <si>
    <t>Rozbudowa skrzyżowania dróg powiatowych Nr 2765W ul. Karczewskiej i Nr 2760W  ul. Batorego i ul. Matejki w Otwocku</t>
  </si>
  <si>
    <t>D. 1 000 000</t>
  </si>
  <si>
    <t>Gmina Karczew</t>
  </si>
  <si>
    <t>Modernizacja drogi powiatowej Nr 2730W Kępa Nadbrzeska - Otwock Wielki</t>
  </si>
  <si>
    <t>B. 300 000</t>
  </si>
  <si>
    <t>12.</t>
  </si>
  <si>
    <t>Poprawa bezpieczeństwa ruchu drogowego na przejściu dla pieszych w Sobiekursku na drodze Nr 2726W</t>
  </si>
  <si>
    <t>13.</t>
  </si>
  <si>
    <t>Poprawa bezpieczeństwa ruchu drogowego w obszarze oddziaływania przejścia dla pieszych w Karczewie na ul. Mickiewicza na drodze nr 2771W</t>
  </si>
  <si>
    <t>Gmina Kołbiel</t>
  </si>
  <si>
    <t>14.</t>
  </si>
  <si>
    <t>Projekt i budowa ciągu pieszo – rowerowego w drodze powiatowej Nr  2739W                      w miejsc. Gadka</t>
  </si>
  <si>
    <t>15.</t>
  </si>
  <si>
    <t>Poprawa bezpieczeństwa ruchu drogowego na  przejściu dla pieszych w  Kątach na ul. Królewskiej na drodze Nr 2745W</t>
  </si>
  <si>
    <t>Gmina Osieck</t>
  </si>
  <si>
    <t>Gmina Sobienie Jeziory</t>
  </si>
  <si>
    <t>16.</t>
  </si>
  <si>
    <t>Przebudowa mostu na przepust w ciągu drogi powiatowej Nr 2735W Warszówka – Warszawice w Warszawicach </t>
  </si>
  <si>
    <t>Gmina Wiązowna</t>
  </si>
  <si>
    <t>17.</t>
  </si>
  <si>
    <t>Budowa chodników w drogach powiatowych na terenie gminy Wiązowna - Majdan   ul. Widoczna</t>
  </si>
  <si>
    <t>18.</t>
  </si>
  <si>
    <t>Remont drogi powiatowej Nr 2710W na odcinku od drogi krajowej S17 do mostu na rzece Świder</t>
  </si>
  <si>
    <t>19.</t>
  </si>
  <si>
    <t>Modernizacja infrastruktury drogowej dróg powiatowych Powiatu Otwockiego polegająca na modernizacji przepraw przez cieki (mosty w m. Glinianka, Kąty, Grabianka, Janów, Nadbrzeż, Brzezinka)</t>
  </si>
  <si>
    <t>20.</t>
  </si>
  <si>
    <t>Zakupy inwestycyjne w Zarządzie Dróg Powiatowych</t>
  </si>
  <si>
    <t>Razem Rozdział 60014</t>
  </si>
  <si>
    <t>21.</t>
  </si>
  <si>
    <t>Razem Rozdział 71095</t>
  </si>
  <si>
    <t>22.</t>
  </si>
  <si>
    <t>Budowa budynku siedziby Starostwa Powiatowego w Otwocku oraz wybranych powiatowych jednostek organizacyjnych i wybranych służb powiatowych wraz z zagospodarowaniem terenu</t>
  </si>
  <si>
    <t>23.</t>
  </si>
  <si>
    <t xml:space="preserve">Zakup samochodu służbowego dla potrzeb Starostwa Powiatowego w Otwocku </t>
  </si>
  <si>
    <t xml:space="preserve">  Razem Rozdział 75020</t>
  </si>
  <si>
    <t>24.</t>
  </si>
  <si>
    <t>Rezerwa na inwestycje i zakupy inwestycyjne</t>
  </si>
  <si>
    <t>Razem rozdział 75818</t>
  </si>
  <si>
    <t>25.</t>
  </si>
  <si>
    <t>Wniesienie wkładu pieniężnego - zwiększenie udziału w Powiatowym Centrum Zdrowia Sp. z o.o.</t>
  </si>
  <si>
    <t>26.</t>
  </si>
  <si>
    <t>Razem Rozdział 85111</t>
  </si>
  <si>
    <t>27.</t>
  </si>
  <si>
    <t xml:space="preserve">Budowa Domu Pomocy Społecznej "Wrzos" </t>
  </si>
  <si>
    <t>Razem Rozdział 85202</t>
  </si>
  <si>
    <t>28.</t>
  </si>
  <si>
    <t>Razem Rozdział 85403</t>
  </si>
  <si>
    <t>29.</t>
  </si>
  <si>
    <t>Modernizacja budynków gospodarczych z uwzględnieniem wymiany pokrycia dachowego</t>
  </si>
  <si>
    <t>Razem Rozdział 85510</t>
  </si>
  <si>
    <t>A. Dotacje i środki z budżetu państwa (np. od wojewody, MEN, UKFiS, …), w tym: Rządowy Fundusz Rozwoju Dróg</t>
  </si>
  <si>
    <t>B. Środki i dotacje otrzymane od innych jst oraz innych jednostek zaliczanych do sektora finansów publicznych</t>
  </si>
  <si>
    <t>C. Inne źródła  - Rządowy Fundusz Inwestycji Lokalnych 2020</t>
  </si>
  <si>
    <t>D. Inne źródła  - Rządowy Fundusz Inwestycji Lokalnych 2021</t>
  </si>
  <si>
    <t>F. Inne źródła - Program Inwestycji Strategicznych - Polski Ład</t>
  </si>
  <si>
    <t>a)  środki z Rządowego Funduszu Inwestycji Lokalnych</t>
  </si>
  <si>
    <t>b)  środki z Rządowego Funduszu Rozwoju Dróg</t>
  </si>
  <si>
    <t xml:space="preserve">c)  środki z tytułu uzupełnienia subwencji ogólnej </t>
  </si>
  <si>
    <t>C. 5 500 000</t>
  </si>
  <si>
    <t>A. 196 800</t>
  </si>
  <si>
    <t>A. 155 768</t>
  </si>
  <si>
    <t>D. 3 480 000</t>
  </si>
  <si>
    <t>Plan wydatków majątkowych na 2022 rok  - po zmianach</t>
  </si>
  <si>
    <t>Przychody i rozchody budżetu w 2022 roku - po zmianach</t>
  </si>
  <si>
    <t>A. 200 000</t>
  </si>
  <si>
    <t>D. 4 295 224</t>
  </si>
  <si>
    <t>Dotacja dla Powiatowego Centrum Zdrowia Sp. z o.o. w Otwocku na przebudowę i modernizację podziemia szpitala oraz modernizację przychodni specjalistycznej</t>
  </si>
  <si>
    <t>Rozdział</t>
  </si>
  <si>
    <t>Paragraf</t>
  </si>
  <si>
    <t>Wyszczególnienie</t>
  </si>
  <si>
    <t>Dochody</t>
  </si>
  <si>
    <t>Wydatki</t>
  </si>
  <si>
    <t>010</t>
  </si>
  <si>
    <t>Rolnictwo i łowiectwo</t>
  </si>
  <si>
    <t>01005</t>
  </si>
  <si>
    <t>Prace geodezyjno-urządzeniowe na potrzeby rolnictwa</t>
  </si>
  <si>
    <t>Zakup usług pozostałych</t>
  </si>
  <si>
    <t>Gospodarka mieszkaniowa</t>
  </si>
  <si>
    <t>Gospodarka gruntami i nieruchomościami</t>
  </si>
  <si>
    <t>Wynagrodzenia osobowe pracowników</t>
  </si>
  <si>
    <t>Składki na ubezpieczenia społeczne</t>
  </si>
  <si>
    <t>Składki na Fundusz Pracy oraz Fundusz Solidarnościowy</t>
  </si>
  <si>
    <t>Wynagrodzenia bezosobowe</t>
  </si>
  <si>
    <t>Zakup materiałów i wyposażenia</t>
  </si>
  <si>
    <t>Zakup energii</t>
  </si>
  <si>
    <t>Zakup usług remontowych</t>
  </si>
  <si>
    <t>Zakup usług obejmujących wykonanie ekspertyz, analiz i opinii</t>
  </si>
  <si>
    <t>Różne opłaty i składki</t>
  </si>
  <si>
    <t>Podatek od nieruchomości</t>
  </si>
  <si>
    <t>Opłaty na rzecz budżetów jednostek samorządu terytorialnego</t>
  </si>
  <si>
    <t>Pozostałe odsetki</t>
  </si>
  <si>
    <t>Kary i odszkodowania wypłacane na rzecz osób fizycznych</t>
  </si>
  <si>
    <t>Koszty postępowania sądowego i prokuratorskiego</t>
  </si>
  <si>
    <t>Działalność usługowa</t>
  </si>
  <si>
    <t>71012</t>
  </si>
  <si>
    <t>Zadania z zakresu geodezji i kartografii</t>
  </si>
  <si>
    <t>Nadzór budowlany</t>
  </si>
  <si>
    <t>Wydatki osobowe niezaliczone do wynagrodzeń</t>
  </si>
  <si>
    <t>Wynagrodzenia osobowe członków korpusu służby cywilnej</t>
  </si>
  <si>
    <t>Dodatkowe wynagrodzenie roczne</t>
  </si>
  <si>
    <t>Zakup usług zdrowotnych</t>
  </si>
  <si>
    <t>Podróże służbowe krajowe</t>
  </si>
  <si>
    <t>Odpisy na zakładowy fundusz świadczeń socjalnych</t>
  </si>
  <si>
    <t>Szkolenia członków korpusu służby cywilnej</t>
  </si>
  <si>
    <t>Szkolenia pracowników niebędących członkami korpusu służby cywilnej</t>
  </si>
  <si>
    <t>Wpłaty na PPK finansowane przez podmiot zatrudniający</t>
  </si>
  <si>
    <t>Administracja publiczna</t>
  </si>
  <si>
    <t>Urzędy wojewódzkie</t>
  </si>
  <si>
    <t>Kwalifikacja wojskowa</t>
  </si>
  <si>
    <t>Bezpieczeństwo publiczne i ochrona przeciwpożarowa</t>
  </si>
  <si>
    <t>Komendy powiatowe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</si>
  <si>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</si>
  <si>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</si>
  <si>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</si>
  <si>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</si>
  <si>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</si>
  <si>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Zakup środków żywności</t>
  </si>
  <si>
    <t>Zakup leków, wyrobów medycznych i produktów biobójczych</t>
  </si>
  <si>
    <t>Zakup sprzętu i uzbrojenia</t>
  </si>
  <si>
    <t>755</t>
  </si>
  <si>
    <t>Wymiar sprawiedliwości</t>
  </si>
  <si>
    <t>75515</t>
  </si>
  <si>
    <t>Nieodpłatna pomoc prawna</t>
  </si>
  <si>
    <t>Ochrona zdrowia</t>
  </si>
  <si>
    <t>Składki na ubezpieczenie zdrowotne</t>
  </si>
  <si>
    <t>852</t>
  </si>
  <si>
    <t>Pomoc społeczna</t>
  </si>
  <si>
    <t>Ośrodki wsparcia</t>
  </si>
  <si>
    <t>Pozostałe zadania w zakresie polityki społecznej</t>
  </si>
  <si>
    <t>Zespoły do spraw orzekania o niepełnosprawności</t>
  </si>
  <si>
    <t>855</t>
  </si>
  <si>
    <t>Rodzina</t>
  </si>
  <si>
    <t>85508</t>
  </si>
  <si>
    <t>Rodziny zastępcze</t>
  </si>
  <si>
    <t>Świadczenia społeczne</t>
  </si>
  <si>
    <t>85510</t>
  </si>
  <si>
    <t>Działalność placówek opiekuńczo-wychowawczych</t>
  </si>
  <si>
    <t>Dochody i wydatki związane z realizacją zadań z zakresu administracji rządowej i innych zadań zleconych                                                                jednostce samorządu terytorialnego odrębnymi ustawami na 2022 rok - po zmianach</t>
  </si>
  <si>
    <t>Razem rozdział 75410</t>
  </si>
  <si>
    <t>30.</t>
  </si>
  <si>
    <t>Zakup plotera dla potrzeb Powiatowego Ośrodka Dokumentacji Geodezyjnej                i Kartograficznej</t>
  </si>
  <si>
    <t>Razem Rozdział 71012</t>
  </si>
  <si>
    <t>31.</t>
  </si>
  <si>
    <t>Projekt i budowa brakującego ciągu pieszo-rowerowego i odwodnienia w drodze powiatowej Nr 2759W – ul. Narutowicza w Otwocku na wysokości OSP Jabłonna i dalej w kierunku Świerku</t>
  </si>
  <si>
    <t>32.</t>
  </si>
  <si>
    <t>Dotacja na dofinansowanie zakupu samochodu ratowniczo-gaśniczego na potrzeby Komendy Powiatowej PSP w Otwocku</t>
  </si>
  <si>
    <t xml:space="preserve">Rozbudowa drogi powiatowej Nr 2715W </t>
  </si>
  <si>
    <t>A. 0</t>
  </si>
  <si>
    <t>Dotacja na sfinansowanie wymaganego wkładu własnego dla placówki prowadzącej  Warsztaty Terapii Zajęciowej  przez  Polskie Stowarzyszenie na Rzecz Osób  z Niepełnosprawnością Intelektualną   w Otwocku, ul. Moniuszki 41  na zakup samochodu</t>
  </si>
  <si>
    <t>Razem Rozdział 85311</t>
  </si>
  <si>
    <t>Rozbudowa i modernizacja Domu Pomocy Społecznej Wrzos w Otwocku</t>
  </si>
  <si>
    <t>Modernizacja chodnika na drodze powiatowej Nr 2774W ul. Wiślanej w Karczewie</t>
  </si>
  <si>
    <t>Opracowanie dokumentacji projektowej przebudowy drogi powiatowej Nr 2724W w zakresie wykonania chodnika  w miejscowości Całowanie</t>
  </si>
  <si>
    <t>B. 30 000</t>
  </si>
  <si>
    <t>A. 1 079 919</t>
  </si>
  <si>
    <t>F. 0</t>
  </si>
  <si>
    <t>33.</t>
  </si>
  <si>
    <t>34.</t>
  </si>
  <si>
    <t>35.</t>
  </si>
  <si>
    <t>36.</t>
  </si>
  <si>
    <t>37.</t>
  </si>
  <si>
    <t/>
  </si>
  <si>
    <t>2110</t>
  </si>
  <si>
    <t>Dotacja celowa otrzymana z budżetu państwa na zadania bieżące z zakresu administracji rządowej oraz inne zadania zlecone ustawami realizowane przez powiat</t>
  </si>
  <si>
    <t>4300</t>
  </si>
  <si>
    <t>700</t>
  </si>
  <si>
    <t>70005</t>
  </si>
  <si>
    <t>4010</t>
  </si>
  <si>
    <t>4110</t>
  </si>
  <si>
    <t>4120</t>
  </si>
  <si>
    <t>4170</t>
  </si>
  <si>
    <t>4210</t>
  </si>
  <si>
    <t>4260</t>
  </si>
  <si>
    <t>4270</t>
  </si>
  <si>
    <t>4390</t>
  </si>
  <si>
    <t>4430</t>
  </si>
  <si>
    <t>4480</t>
  </si>
  <si>
    <t>4520</t>
  </si>
  <si>
    <t>4580</t>
  </si>
  <si>
    <t>4590</t>
  </si>
  <si>
    <t>4610</t>
  </si>
  <si>
    <t>710</t>
  </si>
  <si>
    <t>71015</t>
  </si>
  <si>
    <t>3020</t>
  </si>
  <si>
    <t>4020</t>
  </si>
  <si>
    <t>4040</t>
  </si>
  <si>
    <t>4280</t>
  </si>
  <si>
    <t>4360</t>
  </si>
  <si>
    <t>Opłaty z tytułu zakupu usług telekomunikacyjnych</t>
  </si>
  <si>
    <t>4410</t>
  </si>
  <si>
    <t>4440</t>
  </si>
  <si>
    <t>4550</t>
  </si>
  <si>
    <t>4700</t>
  </si>
  <si>
    <t>4710</t>
  </si>
  <si>
    <t>750</t>
  </si>
  <si>
    <t>75011</t>
  </si>
  <si>
    <t>75045</t>
  </si>
  <si>
    <t>754</t>
  </si>
  <si>
    <t>75411</t>
  </si>
  <si>
    <t>3070</t>
  </si>
  <si>
    <t>4050</t>
  </si>
  <si>
    <t>4060</t>
  </si>
  <si>
    <t>4070</t>
  </si>
  <si>
    <t>4080</t>
  </si>
  <si>
    <t>4180</t>
  </si>
  <si>
    <t>Równoważniki pieniężne i ekwiwalenty dla żołnierzy i funkcjonariuszy oraz pozostałe nleżności</t>
  </si>
  <si>
    <t>4220</t>
  </si>
  <si>
    <t>4230</t>
  </si>
  <si>
    <t>4250</t>
  </si>
  <si>
    <t>2360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</si>
  <si>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</si>
  <si>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851</t>
  </si>
  <si>
    <t>85156</t>
  </si>
  <si>
    <t>Składki na ubezpieczenie zdrowotne oraz świadczenia dla osób nie objętych obowiązkiem ubezpieczenia zdrowotnego</t>
  </si>
  <si>
    <t>4130</t>
  </si>
  <si>
    <t>85203</t>
  </si>
  <si>
    <t>85231</t>
  </si>
  <si>
    <t>Pomoc dla cudzoziemców</t>
  </si>
  <si>
    <t>3110</t>
  </si>
  <si>
    <t>853</t>
  </si>
  <si>
    <t>85321</t>
  </si>
  <si>
    <t>2160</t>
  </si>
  <si>
    <t>Dotacja celowa otrzymana z budżetu państwa na zadania bieżące z zakresu administracji rządowej zlecone powiatom, związane z realizacją dodatku wychowawczego, dodatku do zryczałtowanej kwoty oraz dodatku w wysokości świadczenia wychowawczego stanowiących pomoc państwa w wychowywaniu dzieci</t>
  </si>
  <si>
    <t>Razem:</t>
  </si>
  <si>
    <t>ul. Powstańców Warszawy i            ul. Wawerska w Otwocku</t>
  </si>
  <si>
    <t>Rozbudowa drogi powiatowej Nr 2715W ul. Powstańców Warszawy  i ul. Wawerskiej w Otwocku</t>
  </si>
  <si>
    <t>Pozostała działalność</t>
  </si>
  <si>
    <t>4510</t>
  </si>
  <si>
    <t>Opłaty na rzecz budżetu państwa</t>
  </si>
  <si>
    <t>Wykonanie pomostów/przystani do wodowania i cumowania kajaków na rzece Świder</t>
  </si>
  <si>
    <t>Razem Rozdział 63003</t>
  </si>
  <si>
    <t>38.</t>
  </si>
  <si>
    <t>85395</t>
  </si>
  <si>
    <t>Dotacje udzielone w 2022 roku z budżetu podmiotom należącym                                                                                               i nienależącym do sektora finansów publicznych - po zmianach</t>
  </si>
  <si>
    <t>Kwota dotacji (w zł)</t>
  </si>
  <si>
    <t>Podmiotowej</t>
  </si>
  <si>
    <t>Przedmiotowej</t>
  </si>
  <si>
    <t>Celowej</t>
  </si>
  <si>
    <t>Jednostki sektora finansów publicznych</t>
  </si>
  <si>
    <t>x</t>
  </si>
  <si>
    <t>Dotacje celowe przekazane gminie na zadania bieżące realizowane na podstawie porozumień (umów) między jednostkami samorządu terytorialnego</t>
  </si>
  <si>
    <t>Dotacja celowa na pomoc finansową udzielaną między jednostkami samorządu terytorialnego na dofinansowanie własnych zadań inwestycyjnych i zakupów inwestycyjnych</t>
  </si>
  <si>
    <t>Dotacje celowe przekazane do samorządu województwa na inwestycje i zakupy inwestycyjne realizowane na podstawie porozumień (umów) między jednostkami samorządu terytorialnego</t>
  </si>
  <si>
    <t>Dotacja celowa na pomoc finansową udzielaną między jednostkami samorządu terytorialnego na dofinansowanie własnych zadań bieżących</t>
  </si>
  <si>
    <t>Wpłaty jednostek na państwowy fundusz celowy na finansowanie lub dofinansowanie zadań inwestycyjnych</t>
  </si>
  <si>
    <t>Dotacje celowe przekazane dla powiatu na zadania bieżące realizowane na podstawie porozumień (umów) między jednostkami samorządu terytorialnego</t>
  </si>
  <si>
    <t>Dotacje celowe przekazane do samorządu województwa na zadania bieżące realizowane na podstawie porozumień (umów) między jednostkami samorządu terytorialnego</t>
  </si>
  <si>
    <t>Dotacja podmiotowa z budżetu dla samorządowej instytucji kultury</t>
  </si>
  <si>
    <t>Razem jednostki sektora finansów publicznych</t>
  </si>
  <si>
    <t>Jednostki nienależące                        do sektora finansów publicznych</t>
  </si>
  <si>
    <t>01008</t>
  </si>
  <si>
    <t>2830</t>
  </si>
  <si>
    <t>Dotacja celowa z budżetu na finansowanie lub dofinansowanie zadań zleconych do realizacji pozostałym jednostkom niezaliczanym do sektora finansów publicznych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</si>
  <si>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</si>
  <si>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Dotacja podmiotowa z budżetu dla niepublicznej jednostki oświaty</t>
  </si>
  <si>
    <t>Dotacja celowa z budżetu na finansowanie lub dofinansowanie kosztów realizacji inwestycji i zakupów inwestycyjnych jednostek nie zaliczanych do sektora finansów publicznych</t>
  </si>
  <si>
    <t>Dotacja celowa z budżetu na finansowanie lub dofinansowanie zadań zleconych do realizacji stowarzyszeniom</t>
  </si>
  <si>
    <t>Dotacja podmiotowa z budżetu dla jednostek niezaliczanych do sektora finansów publicznych</t>
  </si>
  <si>
    <t>Dotacja celowa z budżetu na finansowanie lub dofinansowanie prac remontowych i konserwatorskich obiektów zabytkowych przekazane jednostkom niezaliczanym do sektora finansów publicznych</t>
  </si>
  <si>
    <t>Razem jednostki nienależące do sektora finansów publicznych</t>
  </si>
  <si>
    <t>Ogółem plan dotacji na 2022 rok</t>
  </si>
  <si>
    <t>Razem Rozdział 92120</t>
  </si>
  <si>
    <t>39.</t>
  </si>
  <si>
    <t xml:space="preserve">     Jednostka organizacyjna</t>
  </si>
  <si>
    <t>Wydatki razem, w tym</t>
  </si>
  <si>
    <t>Bieżące</t>
  </si>
  <si>
    <t>majątkowe</t>
  </si>
  <si>
    <t>Zespół Szkół Nr 1                                                                            ul. Słowackiego 4/10, 05-400 Otwock</t>
  </si>
  <si>
    <t>Liceum Ogólnokształcące Nr I                                                  ul. Gen. J. Filipowicza 9, 05-400 Otwock</t>
  </si>
  <si>
    <t>Zespół Szkół Nr 2                                                                                    ul. Pułaskiego 7, 05-400 Otwock</t>
  </si>
  <si>
    <t>Zespół Szkół Ekonomiczno-Gastronomicznych                                 ul. Konopnickiej 3, 05-400 Otwock</t>
  </si>
  <si>
    <t>Specjalny Ośrodek Szkolno-Wychowawczy Nr 1                  ul. Majowa 17/19, 05-402 Otwock</t>
  </si>
  <si>
    <t xml:space="preserve"> Specjalny Ośrodek Szkolno-Wychowawczy Nr 2                                                                                                                        ul. Literacka 8, 05-400 Otwock</t>
  </si>
  <si>
    <t>Powiatowy Młodzieżowy Dom Kultury                                               ul. Poniatowskiego 10, 05-400 Otwock</t>
  </si>
  <si>
    <t>Młodzieżowy Ośrodek Socjoterapii "Jędruś"                         ul. Główna 10, 05-410 Józefów</t>
  </si>
  <si>
    <t>Plan dochodów rachunku dochodów jednostek oświatowych                                                                        oraz wydatków nimi finansowanych w 2022 roku  - po zmianach</t>
  </si>
  <si>
    <t>Dochody i wydatki związane z realizacją zadań realizowanych w drodze umów lub porozumień między                                              jednostkami samorządu terytorialnego na 2022 rok - po zmianach</t>
  </si>
  <si>
    <t>Transport i łączność</t>
  </si>
  <si>
    <t>Lokalny transport zbiorowy</t>
  </si>
  <si>
    <t>Dotacja celowa przekazana gminie na zadania bieżące realizowane na podstawie porozumień (umów) między jednostkami samorządu terytorialnego</t>
  </si>
  <si>
    <t>Drogi publiczne powiatowe</t>
  </si>
  <si>
    <t xml:space="preserve">Dotacja celowa otrzymana z tytułu  pomocy finansowej udzielanej między jednostkami samorządu terytorialnego na dofinansowanie własnych zadań inwestycyjnych i zakupów inwestycyjnych </t>
  </si>
  <si>
    <t>Turystyka</t>
  </si>
  <si>
    <t>Zadania w zakresie upowszechniania turystyki</t>
  </si>
  <si>
    <t>Dotacja celowa przekazana do samorządu województwa na inwestycje i zakupy inwestycyjne realizowane na podstawie porozumień (umów) między jednostkami samorządu terytorialnego</t>
  </si>
  <si>
    <t>Starostwa powiatowe</t>
  </si>
  <si>
    <t>Pozostala działalność</t>
  </si>
  <si>
    <t>Oświata i wychowanie</t>
  </si>
  <si>
    <t>2710</t>
  </si>
  <si>
    <t>Dotacja celowa otrzymana z tytułu pomocy finansowej udzielanej między jednostkami samorządu terytorialnego na dofinansowanie własnych zadań bieżących</t>
  </si>
  <si>
    <t>Rehabilitacja zawodowa i społeczna osób niepełnosprawnych</t>
  </si>
  <si>
    <t>Dotacja celowa otrzymana z powiatu na zadania bieżące realizowane na podstawie porozumień (umów) między jednostkami samorządu terytorialnego</t>
  </si>
  <si>
    <t>Dotacja celowa przekazana dla powiatu na zadania bieżące realizowane na podstawie porozumień (umów) między jednostkami samorządu terytorialnego</t>
  </si>
  <si>
    <t>Dotacja celowa otrzyman z powiatu na zadania bieżące realizowane na podstawie porozumień (umów) między jednostkami samorządu terytorialnego</t>
  </si>
  <si>
    <t>Działalność ośrodków adopcyjnych</t>
  </si>
  <si>
    <t>Dotacja celowa przekazana do samorządu województwa na zadania bieżące realizowane na podstawie porozumień (umów) między jednostkami samorządu terytorialnego</t>
  </si>
  <si>
    <t>Gospodarka komunalna i ochrona środowiska</t>
  </si>
  <si>
    <t>Kultura i ochrona dziedzictwa narodowego</t>
  </si>
  <si>
    <t>Biblioteki</t>
  </si>
  <si>
    <t>Razem</t>
  </si>
  <si>
    <t>Dotacja dla Miasta Józefów na  dofinansowanie zadań inwestycyjnych obiektów zabytkowych</t>
  </si>
  <si>
    <t>Przebudowa drogi powiatowej Nr 1303W Śniadków – Siedzów</t>
  </si>
  <si>
    <t>Modernizacja infrastruktury drogowej Powiatu Otwockiego polegająca na modernizacji przepraw przez cieki wodne  - etap II</t>
  </si>
  <si>
    <t>C. 65 000</t>
  </si>
  <si>
    <t>40.</t>
  </si>
  <si>
    <t>41.</t>
  </si>
  <si>
    <t>Dotacja celowa przekazana z budżetu na finansowanie lub dofinansowanie zadań inwestycyjnych obiektów zabytkowych jednostkom zaliczanym do sektora finansów publicznych</t>
  </si>
  <si>
    <t>Wcześniejsza spłata istniejącego długu jednostek samorządu terytorialnego</t>
  </si>
  <si>
    <t>§ 965</t>
  </si>
  <si>
    <t>B. 200 000               C. 200 000</t>
  </si>
  <si>
    <t>801</t>
  </si>
  <si>
    <t>80153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</si>
  <si>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</si>
  <si>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 zaliczanym do sektora finansów publicznych</t>
  </si>
  <si>
    <t>4240</t>
  </si>
  <si>
    <t>Zakup środków dydaktycznych i książek</t>
  </si>
  <si>
    <t>B.0</t>
  </si>
  <si>
    <t>Budowa chodnika w drodze powiatowej Nr 2756W ul. Orlej w Otwocku</t>
  </si>
  <si>
    <t>Przeniesienie skrzynki zasilającej sygnalizację świetlną na skrzyżowaniu dróg Nr 2760W ul. Filipowicza i Nr 2759W ul. Poniatowskiego</t>
  </si>
  <si>
    <t>B. 0                           A. 38 997</t>
  </si>
  <si>
    <t>Poprawa bezpieństwa na drodze powiatowej 2739W w m. Gadka</t>
  </si>
  <si>
    <t>A. 761 003</t>
  </si>
  <si>
    <t>Rozbudowa skrzyżowania ul. Napoleońskiej i Łąkowej w Gliniance</t>
  </si>
  <si>
    <t>Modernizacja infrastruktury drogowej i mostowej na terenie Powiatu Otwockiego</t>
  </si>
  <si>
    <t>F. 0                               C. 270 728</t>
  </si>
  <si>
    <t>42.</t>
  </si>
  <si>
    <t>43.</t>
  </si>
  <si>
    <t>44.</t>
  </si>
  <si>
    <t>45.</t>
  </si>
  <si>
    <t>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</si>
</sst>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_ ;\-#,##0\ "/>
    <numFmt numFmtId="167" formatCode="\ #,##0.00&quot; zł &quot;;\-#,##0.00&quot; zł &quot;;&quot; -&quot;#&quot; zł &quot;;@\ "/>
  </numFmts>
  <fonts count="57"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rgb="FF222222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10"/>
      <color rgb="FF22222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rgb="FF000000"/>
      <name val="Tahoma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CC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9CF87"/>
        <bgColor indexed="64"/>
      </patternFill>
    </fill>
    <fill>
      <patternFill patternType="solid">
        <fgColor rgb="FFD8E4B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 applyNumberFormat="0" applyFill="0" applyBorder="0" applyAlignment="0" applyProtection="0">
      <alignment vertical="top"/>
    </xf>
    <xf numFmtId="0" fontId="6" fillId="0" borderId="0"/>
    <xf numFmtId="0" fontId="9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0" fillId="0" borderId="0"/>
    <xf numFmtId="166" fontId="13" fillId="0" borderId="0"/>
    <xf numFmtId="0" fontId="6" fillId="0" borderId="0"/>
    <xf numFmtId="0" fontId="9" fillId="0" borderId="0"/>
    <xf numFmtId="0" fontId="9" fillId="0" borderId="0"/>
    <xf numFmtId="44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4" fillId="0" borderId="0"/>
    <xf numFmtId="0" fontId="3" fillId="0" borderId="0"/>
    <xf numFmtId="0" fontId="22" fillId="0" borderId="0"/>
    <xf numFmtId="0" fontId="24" fillId="0" borderId="0"/>
    <xf numFmtId="0" fontId="25" fillId="0" borderId="0"/>
    <xf numFmtId="0" fontId="2" fillId="0" borderId="0"/>
    <xf numFmtId="0" fontId="22" fillId="0" borderId="0"/>
    <xf numFmtId="0" fontId="26" fillId="0" borderId="0"/>
    <xf numFmtId="0" fontId="1" fillId="0" borderId="0"/>
    <xf numFmtId="0" fontId="22" fillId="0" borderId="0"/>
    <xf numFmtId="0" fontId="44" fillId="0" borderId="0"/>
    <xf numFmtId="0" fontId="22" fillId="0" borderId="0"/>
  </cellStyleXfs>
  <cellXfs count="501">
    <xf numFmtId="0" fontId="0" fillId="0" borderId="0" xfId="0" applyAlignment="1"/>
    <xf numFmtId="0" fontId="14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10" fillId="0" borderId="0" xfId="9" applyFont="1" applyAlignment="1">
      <alignment horizontal="right" vertical="top"/>
    </xf>
    <xf numFmtId="0" fontId="12" fillId="3" borderId="5" xfId="9" applyFont="1" applyFill="1" applyBorder="1" applyAlignment="1">
      <alignment horizontal="center" vertical="center"/>
    </xf>
    <xf numFmtId="0" fontId="12" fillId="3" borderId="1" xfId="9" applyFont="1" applyFill="1" applyBorder="1" applyAlignment="1">
      <alignment horizontal="center" vertical="center" wrapText="1"/>
    </xf>
    <xf numFmtId="0" fontId="12" fillId="0" borderId="5" xfId="9" applyFont="1" applyBorder="1" applyAlignment="1">
      <alignment horizontal="center" vertical="center"/>
    </xf>
    <xf numFmtId="0" fontId="12" fillId="0" borderId="5" xfId="9" applyFont="1" applyBorder="1" applyAlignment="1">
      <alignment horizontal="left" vertical="center"/>
    </xf>
    <xf numFmtId="3" fontId="12" fillId="0" borderId="5" xfId="9" applyNumberFormat="1" applyFont="1" applyBorder="1" applyAlignment="1">
      <alignment horizontal="right"/>
    </xf>
    <xf numFmtId="0" fontId="12" fillId="0" borderId="0" xfId="9" applyFont="1" applyAlignment="1">
      <alignment vertical="center"/>
    </xf>
    <xf numFmtId="0" fontId="15" fillId="0" borderId="5" xfId="9" applyFont="1" applyBorder="1" applyAlignment="1">
      <alignment horizontal="center" vertical="center"/>
    </xf>
    <xf numFmtId="0" fontId="15" fillId="0" borderId="5" xfId="9" applyFont="1" applyBorder="1" applyAlignment="1">
      <alignment horizontal="left" vertical="center"/>
    </xf>
    <xf numFmtId="3" fontId="15" fillId="0" borderId="5" xfId="9" applyNumberFormat="1" applyFont="1" applyFill="1" applyBorder="1" applyAlignment="1">
      <alignment horizontal="right"/>
    </xf>
    <xf numFmtId="0" fontId="15" fillId="0" borderId="0" xfId="9" applyFont="1" applyAlignment="1">
      <alignment vertical="center"/>
    </xf>
    <xf numFmtId="3" fontId="15" fillId="0" borderId="5" xfId="9" applyNumberFormat="1" applyFont="1" applyBorder="1" applyAlignment="1">
      <alignment horizontal="right"/>
    </xf>
    <xf numFmtId="3" fontId="12" fillId="0" borderId="5" xfId="9" applyNumberFormat="1" applyFont="1" applyBorder="1" applyAlignment="1"/>
    <xf numFmtId="3" fontId="15" fillId="0" borderId="5" xfId="9" applyNumberFormat="1" applyFont="1" applyFill="1" applyBorder="1" applyAlignment="1"/>
    <xf numFmtId="3" fontId="15" fillId="0" borderId="5" xfId="9" applyNumberFormat="1" applyFont="1" applyBorder="1" applyAlignment="1"/>
    <xf numFmtId="0" fontId="12" fillId="0" borderId="5" xfId="9" applyFont="1" applyBorder="1" applyAlignment="1">
      <alignment vertical="center"/>
    </xf>
    <xf numFmtId="0" fontId="10" fillId="3" borderId="5" xfId="9" applyFont="1" applyFill="1" applyBorder="1" applyAlignment="1">
      <alignment vertical="center"/>
    </xf>
    <xf numFmtId="3" fontId="12" fillId="3" borderId="5" xfId="9" applyNumberFormat="1" applyFont="1" applyFill="1" applyBorder="1" applyAlignment="1"/>
    <xf numFmtId="0" fontId="10" fillId="0" borderId="5" xfId="9" applyFont="1" applyBorder="1" applyAlignment="1">
      <alignment horizontal="center" vertical="center"/>
    </xf>
    <xf numFmtId="0" fontId="10" fillId="0" borderId="1" xfId="9" applyFont="1" applyBorder="1" applyAlignment="1">
      <alignment vertical="center"/>
    </xf>
    <xf numFmtId="3" fontId="10" fillId="0" borderId="5" xfId="9" applyNumberFormat="1" applyFont="1" applyBorder="1" applyAlignment="1"/>
    <xf numFmtId="0" fontId="10" fillId="0" borderId="5" xfId="9" applyFont="1" applyBorder="1" applyAlignment="1">
      <alignment vertical="center"/>
    </xf>
    <xf numFmtId="3" fontId="10" fillId="0" borderId="3" xfId="9" applyNumberFormat="1" applyFont="1" applyBorder="1" applyAlignment="1"/>
    <xf numFmtId="0" fontId="10" fillId="3" borderId="5" xfId="9" applyFont="1" applyFill="1" applyBorder="1" applyAlignment="1">
      <alignment horizontal="center" vertical="center"/>
    </xf>
    <xf numFmtId="0" fontId="10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vertical="center"/>
    </xf>
    <xf numFmtId="3" fontId="10" fillId="0" borderId="0" xfId="9" applyNumberFormat="1" applyFont="1" applyBorder="1" applyAlignment="1"/>
    <xf numFmtId="0" fontId="16" fillId="0" borderId="0" xfId="9" applyFont="1" applyAlignment="1">
      <alignment vertical="center"/>
    </xf>
    <xf numFmtId="0" fontId="16" fillId="0" borderId="5" xfId="9" applyFont="1" applyFill="1" applyBorder="1" applyAlignment="1">
      <alignment horizontal="center" vertical="center"/>
    </xf>
    <xf numFmtId="0" fontId="16" fillId="0" borderId="5" xfId="9" applyFont="1" applyFill="1" applyBorder="1" applyAlignment="1">
      <alignment horizontal="center" vertical="center" wrapText="1"/>
    </xf>
    <xf numFmtId="0" fontId="10" fillId="0" borderId="7" xfId="9" applyFont="1" applyBorder="1" applyAlignment="1">
      <alignment vertical="center" wrapText="1"/>
    </xf>
    <xf numFmtId="0" fontId="10" fillId="0" borderId="0" xfId="9" applyFont="1" applyFill="1" applyAlignment="1">
      <alignment vertical="center"/>
    </xf>
    <xf numFmtId="0" fontId="10" fillId="0" borderId="5" xfId="9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49" fontId="10" fillId="7" borderId="9" xfId="0" applyNumberFormat="1" applyFont="1" applyFill="1" applyBorder="1" applyAlignment="1" applyProtection="1">
      <alignment horizontal="left" vertical="center" wrapText="1"/>
      <protection locked="0"/>
    </xf>
    <xf numFmtId="3" fontId="10" fillId="0" borderId="0" xfId="9" applyNumberFormat="1" applyFont="1" applyAlignment="1">
      <alignment vertical="center"/>
    </xf>
    <xf numFmtId="0" fontId="12" fillId="0" borderId="0" xfId="7" applyFont="1" applyFill="1" applyProtection="1">
      <protection locked="0"/>
    </xf>
    <xf numFmtId="0" fontId="12" fillId="0" borderId="0" xfId="7" applyFont="1" applyProtection="1">
      <protection locked="0"/>
    </xf>
    <xf numFmtId="0" fontId="10" fillId="0" borderId="0" xfId="7" applyFont="1" applyProtection="1"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2" fillId="0" borderId="0" xfId="7" applyFont="1" applyFill="1" applyAlignment="1" applyProtection="1">
      <alignment horizontal="center" vertical="center"/>
      <protection locked="0"/>
    </xf>
    <xf numFmtId="0" fontId="12" fillId="0" borderId="0" xfId="7" applyFont="1" applyFill="1" applyProtection="1"/>
    <xf numFmtId="0" fontId="12" fillId="0" borderId="0" xfId="7" applyFont="1" applyProtection="1"/>
    <xf numFmtId="0" fontId="10" fillId="0" borderId="0" xfId="7" applyFont="1" applyProtection="1"/>
    <xf numFmtId="0" fontId="10" fillId="0" borderId="0" xfId="7" applyFont="1" applyAlignment="1" applyProtection="1">
      <alignment horizontal="center" vertical="center"/>
    </xf>
    <xf numFmtId="0" fontId="12" fillId="8" borderId="19" xfId="7" applyFont="1" applyFill="1" applyBorder="1" applyAlignment="1" applyProtection="1">
      <alignment horizontal="center" vertical="center" wrapText="1"/>
    </xf>
    <xf numFmtId="0" fontId="27" fillId="0" borderId="19" xfId="7" applyFont="1" applyFill="1" applyBorder="1" applyAlignment="1" applyProtection="1">
      <alignment horizontal="center" vertical="center"/>
    </xf>
    <xf numFmtId="0" fontId="12" fillId="0" borderId="19" xfId="7" applyFont="1" applyFill="1" applyBorder="1" applyAlignment="1" applyProtection="1">
      <alignment horizontal="center" vertical="center"/>
    </xf>
    <xf numFmtId="0" fontId="27" fillId="0" borderId="20" xfId="7" applyFont="1" applyFill="1" applyBorder="1" applyAlignment="1" applyProtection="1">
      <alignment horizontal="center" vertical="center"/>
    </xf>
    <xf numFmtId="4" fontId="27" fillId="0" borderId="0" xfId="7" applyNumberFormat="1" applyFont="1" applyFill="1" applyProtection="1">
      <protection locked="0"/>
    </xf>
    <xf numFmtId="0" fontId="27" fillId="0" borderId="0" xfId="7" applyFont="1" applyFill="1" applyProtection="1">
      <protection locked="0"/>
    </xf>
    <xf numFmtId="3" fontId="12" fillId="9" borderId="18" xfId="7" applyNumberFormat="1" applyFont="1" applyFill="1" applyBorder="1" applyAlignment="1" applyProtection="1">
      <alignment vertical="center" wrapText="1"/>
    </xf>
    <xf numFmtId="0" fontId="27" fillId="9" borderId="23" xfId="7" applyFont="1" applyFill="1" applyBorder="1" applyAlignment="1" applyProtection="1">
      <alignment horizontal="center" vertical="center" wrapText="1"/>
    </xf>
    <xf numFmtId="0" fontId="10" fillId="0" borderId="0" xfId="7" applyFont="1" applyAlignment="1" applyProtection="1">
      <alignment vertical="center"/>
      <protection locked="0"/>
    </xf>
    <xf numFmtId="0" fontId="12" fillId="0" borderId="8" xfId="7" applyFont="1" applyFill="1" applyBorder="1" applyAlignment="1" applyProtection="1">
      <alignment horizontal="center" vertical="center"/>
    </xf>
    <xf numFmtId="3" fontId="10" fillId="0" borderId="24" xfId="7" applyNumberFormat="1" applyFont="1" applyFill="1" applyBorder="1" applyAlignment="1" applyProtection="1">
      <alignment vertical="center" wrapText="1"/>
    </xf>
    <xf numFmtId="3" fontId="10" fillId="0" borderId="18" xfId="7" applyNumberFormat="1" applyFont="1" applyFill="1" applyBorder="1" applyAlignment="1" applyProtection="1">
      <alignment vertical="center"/>
    </xf>
    <xf numFmtId="0" fontId="10" fillId="0" borderId="18" xfId="7" applyFont="1" applyFill="1" applyBorder="1" applyAlignment="1" applyProtection="1">
      <alignment vertical="center" wrapText="1"/>
    </xf>
    <xf numFmtId="0" fontId="10" fillId="0" borderId="18" xfId="7" applyFont="1" applyFill="1" applyBorder="1" applyAlignment="1" applyProtection="1">
      <alignment horizontal="right" vertical="center" wrapText="1"/>
    </xf>
    <xf numFmtId="0" fontId="28" fillId="0" borderId="23" xfId="7" applyFont="1" applyFill="1" applyBorder="1" applyAlignment="1" applyProtection="1">
      <alignment horizontal="center" vertical="center" wrapText="1"/>
    </xf>
    <xf numFmtId="4" fontId="10" fillId="0" borderId="0" xfId="7" applyNumberFormat="1" applyFont="1" applyFill="1" applyAlignment="1" applyProtection="1">
      <alignment vertical="center"/>
      <protection locked="0"/>
    </xf>
    <xf numFmtId="0" fontId="10" fillId="0" borderId="0" xfId="7" applyFont="1" applyFill="1" applyAlignment="1" applyProtection="1">
      <alignment vertical="center"/>
      <protection locked="0"/>
    </xf>
    <xf numFmtId="0" fontId="12" fillId="0" borderId="17" xfId="7" applyFont="1" applyFill="1" applyBorder="1" applyAlignment="1" applyProtection="1">
      <alignment horizontal="center" vertical="center"/>
    </xf>
    <xf numFmtId="0" fontId="12" fillId="0" borderId="18" xfId="7" applyFont="1" applyFill="1" applyBorder="1" applyAlignment="1" applyProtection="1">
      <alignment horizontal="center" vertical="center" wrapText="1"/>
    </xf>
    <xf numFmtId="0" fontId="10" fillId="0" borderId="18" xfId="16" applyFont="1" applyFill="1" applyBorder="1" applyAlignment="1" applyProtection="1">
      <alignment vertical="center" wrapText="1"/>
      <protection locked="0"/>
    </xf>
    <xf numFmtId="3" fontId="10" fillId="0" borderId="18" xfId="7" applyNumberFormat="1" applyFont="1" applyFill="1" applyBorder="1" applyAlignment="1" applyProtection="1">
      <alignment vertical="center" wrapText="1"/>
    </xf>
    <xf numFmtId="0" fontId="10" fillId="0" borderId="18" xfId="7" applyFont="1" applyFill="1" applyBorder="1" applyAlignment="1" applyProtection="1">
      <alignment horizontal="left" vertical="center" wrapText="1"/>
    </xf>
    <xf numFmtId="0" fontId="29" fillId="0" borderId="18" xfId="7" applyFont="1" applyFill="1" applyBorder="1" applyAlignment="1" applyProtection="1">
      <alignment vertical="center" wrapText="1"/>
    </xf>
    <xf numFmtId="0" fontId="30" fillId="0" borderId="23" xfId="7" applyFont="1" applyFill="1" applyBorder="1" applyAlignment="1" applyProtection="1">
      <alignment horizontal="center" vertical="center" wrapText="1"/>
    </xf>
    <xf numFmtId="0" fontId="29" fillId="0" borderId="0" xfId="7" applyFont="1" applyAlignment="1" applyProtection="1">
      <alignment vertical="center"/>
      <protection locked="0"/>
    </xf>
    <xf numFmtId="3" fontId="12" fillId="9" borderId="18" xfId="7" applyNumberFormat="1" applyFont="1" applyFill="1" applyBorder="1" applyAlignment="1" applyProtection="1">
      <alignment horizontal="right" vertical="center" wrapText="1"/>
    </xf>
    <xf numFmtId="0" fontId="31" fillId="9" borderId="23" xfId="7" applyFont="1" applyFill="1" applyBorder="1" applyAlignment="1" applyProtection="1">
      <alignment horizontal="center" vertical="center" wrapText="1"/>
    </xf>
    <xf numFmtId="4" fontId="32" fillId="0" borderId="0" xfId="7" applyNumberFormat="1" applyFont="1" applyFill="1" applyAlignment="1" applyProtection="1">
      <alignment vertical="center"/>
      <protection locked="0"/>
    </xf>
    <xf numFmtId="0" fontId="32" fillId="0" borderId="0" xfId="7" applyFont="1" applyFill="1" applyAlignment="1" applyProtection="1">
      <alignment vertical="center"/>
      <protection locked="0"/>
    </xf>
    <xf numFmtId="0" fontId="10" fillId="0" borderId="23" xfId="7" applyFont="1" applyFill="1" applyBorder="1" applyAlignment="1" applyProtection="1">
      <alignment horizontal="center" vertical="center" wrapText="1"/>
    </xf>
    <xf numFmtId="4" fontId="29" fillId="0" borderId="0" xfId="7" applyNumberFormat="1" applyFont="1" applyFill="1" applyAlignment="1" applyProtection="1">
      <alignment vertical="center"/>
      <protection locked="0"/>
    </xf>
    <xf numFmtId="0" fontId="29" fillId="0" borderId="0" xfId="7" applyFont="1" applyFill="1" applyAlignment="1" applyProtection="1">
      <alignment vertical="center"/>
      <protection locked="0"/>
    </xf>
    <xf numFmtId="164" fontId="12" fillId="9" borderId="18" xfId="7" applyNumberFormat="1" applyFont="1" applyFill="1" applyBorder="1" applyAlignment="1" applyProtection="1">
      <alignment horizontal="right" vertical="center" wrapText="1"/>
    </xf>
    <xf numFmtId="4" fontId="12" fillId="0" borderId="0" xfId="7" applyNumberFormat="1" applyFont="1" applyFill="1" applyAlignment="1" applyProtection="1">
      <alignment vertical="center"/>
      <protection locked="0"/>
    </xf>
    <xf numFmtId="0" fontId="12" fillId="0" borderId="0" xfId="7" applyFont="1" applyFill="1" applyAlignment="1" applyProtection="1">
      <alignment vertical="center"/>
      <protection locked="0"/>
    </xf>
    <xf numFmtId="3" fontId="12" fillId="0" borderId="18" xfId="7" applyNumberFormat="1" applyFont="1" applyFill="1" applyBorder="1" applyAlignment="1" applyProtection="1">
      <alignment horizontal="center" vertical="center"/>
    </xf>
    <xf numFmtId="0" fontId="12" fillId="0" borderId="18" xfId="7" applyNumberFormat="1" applyFont="1" applyFill="1" applyBorder="1" applyAlignment="1" applyProtection="1">
      <alignment horizontal="center" vertical="center"/>
    </xf>
    <xf numFmtId="3" fontId="10" fillId="0" borderId="18" xfId="7" applyNumberFormat="1" applyFont="1" applyFill="1" applyBorder="1" applyAlignment="1" applyProtection="1">
      <alignment horizontal="right" vertical="center" wrapText="1"/>
    </xf>
    <xf numFmtId="164" fontId="27" fillId="9" borderId="23" xfId="7" applyNumberFormat="1" applyFont="1" applyFill="1" applyBorder="1" applyAlignment="1" applyProtection="1">
      <alignment horizontal="right" vertical="center" wrapText="1"/>
    </xf>
    <xf numFmtId="0" fontId="32" fillId="0" borderId="0" xfId="7" applyFont="1" applyAlignment="1" applyProtection="1">
      <alignment vertical="center"/>
      <protection locked="0"/>
    </xf>
    <xf numFmtId="0" fontId="17" fillId="0" borderId="17" xfId="7" applyFont="1" applyFill="1" applyBorder="1" applyAlignment="1" applyProtection="1">
      <alignment horizontal="center" vertical="center"/>
    </xf>
    <xf numFmtId="4" fontId="33" fillId="0" borderId="0" xfId="7" applyNumberFormat="1" applyFont="1" applyFill="1" applyAlignment="1" applyProtection="1">
      <alignment vertical="center"/>
      <protection locked="0"/>
    </xf>
    <xf numFmtId="0" fontId="33" fillId="0" borderId="0" xfId="7" applyFont="1" applyFill="1" applyAlignment="1" applyProtection="1">
      <alignment vertical="center"/>
      <protection locked="0"/>
    </xf>
    <xf numFmtId="4" fontId="34" fillId="0" borderId="0" xfId="7" applyNumberFormat="1" applyFont="1" applyFill="1" applyAlignment="1" applyProtection="1">
      <alignment vertical="center"/>
      <protection locked="0"/>
    </xf>
    <xf numFmtId="0" fontId="34" fillId="0" borderId="0" xfId="7" applyFont="1" applyFill="1" applyAlignment="1" applyProtection="1">
      <alignment vertical="center"/>
      <protection locked="0"/>
    </xf>
    <xf numFmtId="1" fontId="12" fillId="9" borderId="18" xfId="7" applyNumberFormat="1" applyFont="1" applyFill="1" applyBorder="1" applyAlignment="1" applyProtection="1">
      <alignment horizontal="right" vertical="center" wrapText="1"/>
    </xf>
    <xf numFmtId="0" fontId="35" fillId="6" borderId="17" xfId="7" applyFont="1" applyFill="1" applyBorder="1" applyAlignment="1" applyProtection="1">
      <alignment horizontal="center" vertical="center"/>
    </xf>
    <xf numFmtId="0" fontId="35" fillId="6" borderId="18" xfId="7" applyFont="1" applyFill="1" applyBorder="1" applyAlignment="1" applyProtection="1">
      <alignment horizontal="center" vertical="center"/>
    </xf>
    <xf numFmtId="0" fontId="34" fillId="6" borderId="18" xfId="7" applyFont="1" applyFill="1" applyBorder="1" applyAlignment="1" applyProtection="1">
      <alignment horizontal="left" vertical="center" wrapText="1"/>
    </xf>
    <xf numFmtId="3" fontId="34" fillId="6" borderId="18" xfId="7" applyNumberFormat="1" applyFont="1" applyFill="1" applyBorder="1" applyAlignment="1" applyProtection="1">
      <alignment vertical="center" wrapText="1"/>
    </xf>
    <xf numFmtId="3" fontId="34" fillId="6" borderId="18" xfId="7" applyNumberFormat="1" applyFont="1" applyFill="1" applyBorder="1" applyAlignment="1" applyProtection="1">
      <alignment vertical="center"/>
    </xf>
    <xf numFmtId="0" fontId="34" fillId="6" borderId="18" xfId="7" applyFont="1" applyFill="1" applyBorder="1" applyAlignment="1" applyProtection="1">
      <alignment vertical="center" wrapText="1"/>
    </xf>
    <xf numFmtId="0" fontId="34" fillId="6" borderId="18" xfId="7" applyFont="1" applyFill="1" applyBorder="1" applyAlignment="1" applyProtection="1">
      <alignment horizontal="right" vertical="center" wrapText="1"/>
    </xf>
    <xf numFmtId="0" fontId="36" fillId="6" borderId="23" xfId="7" applyFont="1" applyFill="1" applyBorder="1" applyAlignment="1" applyProtection="1">
      <alignment horizontal="center" vertical="center" wrapText="1"/>
    </xf>
    <xf numFmtId="0" fontId="35" fillId="10" borderId="24" xfId="7" applyFont="1" applyFill="1" applyBorder="1" applyAlignment="1" applyProtection="1">
      <alignment horizontal="center" vertical="center" wrapText="1"/>
      <protection locked="0"/>
    </xf>
    <xf numFmtId="0" fontId="35" fillId="0" borderId="0" xfId="7" applyFont="1" applyAlignment="1" applyProtection="1">
      <alignment vertical="center"/>
      <protection locked="0"/>
    </xf>
    <xf numFmtId="0" fontId="30" fillId="9" borderId="23" xfId="7" applyFont="1" applyFill="1" applyBorder="1" applyAlignment="1" applyProtection="1">
      <alignment horizontal="center" vertical="center" wrapText="1"/>
    </xf>
    <xf numFmtId="0" fontId="35" fillId="9" borderId="24" xfId="7" applyFont="1" applyFill="1" applyBorder="1" applyAlignment="1" applyProtection="1">
      <alignment horizontal="center" vertical="center" wrapText="1"/>
      <protection locked="0"/>
    </xf>
    <xf numFmtId="0" fontId="35" fillId="0" borderId="24" xfId="7" applyFont="1" applyFill="1" applyBorder="1" applyAlignment="1" applyProtection="1">
      <alignment horizontal="center" vertical="center" wrapText="1"/>
      <protection locked="0"/>
    </xf>
    <xf numFmtId="3" fontId="12" fillId="9" borderId="25" xfId="7" applyNumberFormat="1" applyFont="1" applyFill="1" applyBorder="1" applyAlignment="1" applyProtection="1">
      <alignment vertical="center" wrapText="1"/>
    </xf>
    <xf numFmtId="0" fontId="31" fillId="9" borderId="26" xfId="7" applyFont="1" applyFill="1" applyBorder="1" applyAlignment="1" applyProtection="1">
      <alignment horizontal="center" vertical="center" wrapText="1"/>
    </xf>
    <xf numFmtId="4" fontId="15" fillId="0" borderId="0" xfId="7" applyNumberFormat="1" applyFont="1" applyFill="1" applyAlignment="1" applyProtection="1">
      <alignment vertical="center"/>
      <protection locked="0"/>
    </xf>
    <xf numFmtId="0" fontId="15" fillId="0" borderId="0" xfId="7" applyFont="1" applyFill="1" applyAlignment="1" applyProtection="1">
      <alignment vertical="center"/>
      <protection locked="0"/>
    </xf>
    <xf numFmtId="0" fontId="12" fillId="0" borderId="8" xfId="7" applyFont="1" applyFill="1" applyBorder="1" applyAlignment="1" applyProtection="1">
      <alignment horizontal="center" vertical="center" wrapText="1"/>
    </xf>
    <xf numFmtId="3" fontId="10" fillId="0" borderId="8" xfId="7" applyNumberFormat="1" applyFont="1" applyFill="1" applyBorder="1" applyAlignment="1" applyProtection="1">
      <alignment vertical="center" wrapText="1"/>
    </xf>
    <xf numFmtId="3" fontId="10" fillId="0" borderId="8" xfId="7" applyNumberFormat="1" applyFont="1" applyFill="1" applyBorder="1" applyAlignment="1" applyProtection="1">
      <alignment horizontal="right" vertical="center" wrapText="1"/>
    </xf>
    <xf numFmtId="0" fontId="10" fillId="0" borderId="8" xfId="7" applyFont="1" applyFill="1" applyBorder="1" applyAlignment="1" applyProtection="1">
      <alignment horizontal="left" vertical="center" wrapText="1"/>
    </xf>
    <xf numFmtId="0" fontId="10" fillId="0" borderId="8" xfId="7" applyFont="1" applyFill="1" applyBorder="1" applyAlignment="1" applyProtection="1">
      <alignment vertical="center" wrapText="1"/>
    </xf>
    <xf numFmtId="0" fontId="10" fillId="0" borderId="8" xfId="7" applyFont="1" applyFill="1" applyBorder="1" applyAlignment="1" applyProtection="1">
      <alignment horizontal="right" vertical="center" wrapText="1"/>
    </xf>
    <xf numFmtId="0" fontId="28" fillId="0" borderId="8" xfId="7" applyFont="1" applyFill="1" applyBorder="1" applyAlignment="1" applyProtection="1">
      <alignment horizontal="center" vertical="center" wrapText="1"/>
    </xf>
    <xf numFmtId="0" fontId="34" fillId="0" borderId="16" xfId="7" applyFont="1" applyFill="1" applyBorder="1" applyAlignment="1" applyProtection="1">
      <alignment horizontal="center" vertical="center" wrapText="1"/>
      <protection locked="0"/>
    </xf>
    <xf numFmtId="3" fontId="12" fillId="2" borderId="34" xfId="7" applyNumberFormat="1" applyFont="1" applyFill="1" applyBorder="1" applyAlignment="1" applyProtection="1">
      <alignment vertical="center" wrapText="1"/>
    </xf>
    <xf numFmtId="0" fontId="27" fillId="2" borderId="35" xfId="7" applyFont="1" applyFill="1" applyBorder="1" applyAlignment="1" applyProtection="1">
      <alignment horizontal="center" vertical="center" wrapText="1"/>
    </xf>
    <xf numFmtId="0" fontId="12" fillId="0" borderId="17" xfId="7" applyFont="1" applyFill="1" applyBorder="1" applyAlignment="1" applyProtection="1">
      <alignment horizontal="center" vertical="center" wrapText="1"/>
    </xf>
    <xf numFmtId="3" fontId="12" fillId="2" borderId="25" xfId="7" applyNumberFormat="1" applyFont="1" applyFill="1" applyBorder="1" applyAlignment="1" applyProtection="1">
      <alignment vertical="center" wrapText="1"/>
    </xf>
    <xf numFmtId="0" fontId="27" fillId="2" borderId="26" xfId="7" applyFont="1" applyFill="1" applyBorder="1" applyAlignment="1" applyProtection="1">
      <alignment horizontal="center" vertical="center" wrapText="1"/>
    </xf>
    <xf numFmtId="0" fontId="12" fillId="0" borderId="10" xfId="7" applyFont="1" applyFill="1" applyBorder="1" applyAlignment="1" applyProtection="1">
      <alignment horizontal="center" vertical="center" wrapText="1"/>
    </xf>
    <xf numFmtId="0" fontId="12" fillId="0" borderId="11" xfId="7" applyFont="1" applyFill="1" applyBorder="1" applyAlignment="1" applyProtection="1">
      <alignment horizontal="center" vertical="center" wrapText="1"/>
    </xf>
    <xf numFmtId="0" fontId="10" fillId="0" borderId="11" xfId="7" applyFont="1" applyFill="1" applyBorder="1" applyAlignment="1" applyProtection="1">
      <alignment horizontal="left" vertical="center" wrapText="1"/>
    </xf>
    <xf numFmtId="3" fontId="10" fillId="0" borderId="11" xfId="7" applyNumberFormat="1" applyFont="1" applyFill="1" applyBorder="1" applyAlignment="1" applyProtection="1">
      <alignment vertical="center" wrapText="1"/>
    </xf>
    <xf numFmtId="0" fontId="10" fillId="0" borderId="11" xfId="7" applyFont="1" applyFill="1" applyBorder="1" applyAlignment="1" applyProtection="1">
      <alignment vertical="center" wrapText="1"/>
    </xf>
    <xf numFmtId="0" fontId="30" fillId="0" borderId="36" xfId="7" applyFont="1" applyFill="1" applyBorder="1" applyAlignment="1" applyProtection="1">
      <alignment horizontal="center" vertical="center" wrapText="1"/>
    </xf>
    <xf numFmtId="0" fontId="35" fillId="0" borderId="37" xfId="7" applyFont="1" applyFill="1" applyBorder="1" applyAlignment="1" applyProtection="1">
      <alignment horizontal="center" vertical="center" wrapText="1"/>
      <protection locked="0"/>
    </xf>
    <xf numFmtId="3" fontId="12" fillId="2" borderId="18" xfId="7" applyNumberFormat="1" applyFont="1" applyFill="1" applyBorder="1" applyAlignment="1" applyProtection="1">
      <alignment vertical="center" wrapText="1"/>
    </xf>
    <xf numFmtId="3" fontId="12" fillId="2" borderId="23" xfId="7" applyNumberFormat="1" applyFont="1" applyFill="1" applyBorder="1" applyAlignment="1" applyProtection="1">
      <alignment vertical="center" wrapText="1"/>
    </xf>
    <xf numFmtId="4" fontId="34" fillId="0" borderId="0" xfId="7" applyNumberFormat="1" applyFont="1" applyFill="1" applyBorder="1" applyAlignment="1" applyProtection="1">
      <alignment vertical="center"/>
      <protection locked="0"/>
    </xf>
    <xf numFmtId="0" fontId="34" fillId="0" borderId="0" xfId="7" applyFont="1" applyFill="1" applyBorder="1" applyAlignment="1" applyProtection="1">
      <alignment vertical="center"/>
      <protection locked="0"/>
    </xf>
    <xf numFmtId="0" fontId="12" fillId="2" borderId="25" xfId="7" applyFont="1" applyFill="1" applyBorder="1" applyAlignment="1" applyProtection="1">
      <alignment vertical="center" wrapText="1"/>
    </xf>
    <xf numFmtId="0" fontId="12" fillId="5" borderId="0" xfId="7" applyFont="1" applyFill="1" applyAlignment="1" applyProtection="1">
      <alignment vertical="center"/>
      <protection locked="0"/>
    </xf>
    <xf numFmtId="0" fontId="10" fillId="5" borderId="0" xfId="7" applyFont="1" applyFill="1" applyAlignment="1" applyProtection="1">
      <alignment vertical="center"/>
      <protection locked="0"/>
    </xf>
    <xf numFmtId="0" fontId="27" fillId="2" borderId="23" xfId="7" applyFont="1" applyFill="1" applyBorder="1" applyAlignment="1" applyProtection="1">
      <alignment horizontal="center" vertical="center" wrapText="1"/>
    </xf>
    <xf numFmtId="0" fontId="28" fillId="0" borderId="35" xfId="7" applyFont="1" applyFill="1" applyBorder="1" applyAlignment="1" applyProtection="1">
      <alignment horizontal="center" vertical="center" wrapText="1"/>
    </xf>
    <xf numFmtId="3" fontId="12" fillId="11" borderId="46" xfId="7" applyNumberFormat="1" applyFont="1" applyFill="1" applyBorder="1" applyAlignment="1" applyProtection="1">
      <alignment vertical="center" wrapText="1"/>
    </xf>
    <xf numFmtId="3" fontId="27" fillId="11" borderId="47" xfId="7" applyNumberFormat="1" applyFont="1" applyFill="1" applyBorder="1" applyAlignment="1" applyProtection="1">
      <alignment horizontal="center" vertical="center" wrapText="1"/>
    </xf>
    <xf numFmtId="0" fontId="12" fillId="5" borderId="0" xfId="7" applyFont="1" applyFill="1" applyBorder="1" applyAlignment="1" applyProtection="1">
      <alignment vertical="center"/>
      <protection locked="0"/>
    </xf>
    <xf numFmtId="0" fontId="12" fillId="0" borderId="0" xfId="9" applyFont="1" applyProtection="1"/>
    <xf numFmtId="0" fontId="27" fillId="0" borderId="0" xfId="7" applyFont="1" applyProtection="1"/>
    <xf numFmtId="3" fontId="28" fillId="0" borderId="0" xfId="7" applyNumberFormat="1" applyFont="1" applyProtection="1"/>
    <xf numFmtId="0" fontId="28" fillId="0" borderId="0" xfId="7" applyFont="1" applyProtection="1"/>
    <xf numFmtId="0" fontId="28" fillId="0" borderId="0" xfId="7" applyFont="1" applyAlignment="1" applyProtection="1">
      <alignment horizontal="center" vertical="center"/>
    </xf>
    <xf numFmtId="0" fontId="27" fillId="0" borderId="0" xfId="7" applyFont="1" applyFill="1" applyProtection="1"/>
    <xf numFmtId="0" fontId="27" fillId="0" borderId="0" xfId="7" applyFont="1" applyFill="1" applyAlignment="1" applyProtection="1">
      <alignment horizontal="center" vertical="center"/>
      <protection locked="0"/>
    </xf>
    <xf numFmtId="4" fontId="27" fillId="0" borderId="0" xfId="7" applyNumberFormat="1" applyFont="1" applyFill="1" applyAlignment="1" applyProtection="1">
      <alignment vertical="center"/>
      <protection locked="0"/>
    </xf>
    <xf numFmtId="0" fontId="27" fillId="0" borderId="0" xfId="7" applyFont="1" applyFill="1" applyAlignment="1" applyProtection="1">
      <alignment vertical="center"/>
      <protection locked="0"/>
    </xf>
    <xf numFmtId="3" fontId="28" fillId="0" borderId="0" xfId="7" applyNumberFormat="1" applyFont="1" applyAlignment="1" applyProtection="1">
      <alignment horizontal="center" vertical="center"/>
    </xf>
    <xf numFmtId="4" fontId="30" fillId="0" borderId="0" xfId="7" applyNumberFormat="1" applyFont="1" applyFill="1" applyAlignment="1" applyProtection="1">
      <alignment vertical="center"/>
      <protection locked="0"/>
    </xf>
    <xf numFmtId="0" fontId="30" fillId="0" borderId="0" xfId="7" applyFont="1" applyFill="1" applyAlignment="1" applyProtection="1">
      <alignment vertical="center"/>
      <protection locked="0"/>
    </xf>
    <xf numFmtId="3" fontId="10" fillId="0" borderId="0" xfId="7" applyNumberFormat="1" applyFont="1" applyProtection="1">
      <protection locked="0"/>
    </xf>
    <xf numFmtId="0" fontId="28" fillId="0" borderId="0" xfId="7" applyFont="1" applyProtection="1">
      <protection locked="0"/>
    </xf>
    <xf numFmtId="0" fontId="10" fillId="0" borderId="30" xfId="9" applyFont="1" applyFill="1" applyBorder="1" applyAlignment="1">
      <alignment horizontal="center" vertical="center"/>
    </xf>
    <xf numFmtId="0" fontId="15" fillId="0" borderId="30" xfId="9" applyFont="1" applyFill="1" applyBorder="1" applyAlignment="1">
      <alignment horizontal="center" vertical="center"/>
    </xf>
    <xf numFmtId="0" fontId="37" fillId="0" borderId="30" xfId="0" applyFont="1" applyBorder="1" applyAlignment="1">
      <alignment vertical="center" wrapText="1" readingOrder="1"/>
    </xf>
    <xf numFmtId="0" fontId="15" fillId="0" borderId="30" xfId="9" applyFont="1" applyBorder="1" applyAlignment="1">
      <alignment horizontal="center" vertical="center"/>
    </xf>
    <xf numFmtId="0" fontId="37" fillId="0" borderId="4" xfId="0" applyFont="1" applyBorder="1" applyAlignment="1">
      <alignment vertical="center" wrapText="1" readingOrder="1"/>
    </xf>
    <xf numFmtId="0" fontId="15" fillId="0" borderId="4" xfId="9" applyFont="1" applyBorder="1" applyAlignment="1">
      <alignment vertical="center"/>
    </xf>
    <xf numFmtId="3" fontId="12" fillId="0" borderId="5" xfId="9" applyNumberFormat="1" applyFont="1" applyFill="1" applyBorder="1" applyAlignment="1"/>
    <xf numFmtId="0" fontId="23" fillId="0" borderId="5" xfId="0" applyFont="1" applyBorder="1" applyAlignment="1">
      <alignment horizontal="left" vertical="center" wrapText="1" readingOrder="1"/>
    </xf>
    <xf numFmtId="49" fontId="3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7" applyFont="1" applyFill="1" applyAlignment="1" applyProtection="1">
      <alignment horizontal="center"/>
      <protection locked="0"/>
    </xf>
    <xf numFmtId="0" fontId="10" fillId="0" borderId="0" xfId="7" applyFont="1" applyFill="1" applyAlignment="1" applyProtection="1">
      <alignment horizontal="center" vertical="center"/>
      <protection locked="0"/>
    </xf>
    <xf numFmtId="0" fontId="32" fillId="0" borderId="0" xfId="7" applyFont="1" applyFill="1" applyAlignment="1" applyProtection="1">
      <alignment horizontal="center" vertical="center"/>
      <protection locked="0"/>
    </xf>
    <xf numFmtId="0" fontId="29" fillId="0" borderId="0" xfId="7" applyFont="1" applyFill="1" applyAlignment="1" applyProtection="1">
      <alignment horizontal="center" vertical="center"/>
      <protection locked="0"/>
    </xf>
    <xf numFmtId="0" fontId="33" fillId="0" borderId="0" xfId="7" applyFont="1" applyFill="1" applyAlignment="1" applyProtection="1">
      <alignment horizontal="center" vertic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0" fontId="15" fillId="0" borderId="0" xfId="7" applyFont="1" applyFill="1" applyAlignment="1" applyProtection="1">
      <alignment horizontal="center" vertical="center"/>
      <protection locked="0"/>
    </xf>
    <xf numFmtId="3" fontId="32" fillId="0" borderId="0" xfId="7" applyNumberFormat="1" applyFont="1" applyFill="1" applyAlignment="1" applyProtection="1">
      <alignment horizontal="center" vertical="center"/>
      <protection locked="0"/>
    </xf>
    <xf numFmtId="0" fontId="34" fillId="0" borderId="0" xfId="7" applyFont="1" applyFill="1" applyBorder="1" applyAlignment="1" applyProtection="1">
      <alignment horizontal="center" vertical="center"/>
      <protection locked="0"/>
    </xf>
    <xf numFmtId="0" fontId="30" fillId="0" borderId="0" xfId="7" applyFont="1" applyFill="1" applyAlignment="1" applyProtection="1">
      <alignment horizontal="center" vertical="center"/>
      <protection locked="0"/>
    </xf>
    <xf numFmtId="0" fontId="35" fillId="0" borderId="0" xfId="7" applyFont="1" applyFill="1" applyAlignment="1" applyProtection="1">
      <alignment horizontal="center" vertical="center"/>
      <protection locked="0"/>
    </xf>
    <xf numFmtId="0" fontId="40" fillId="9" borderId="24" xfId="7" applyFont="1" applyFill="1" applyBorder="1" applyAlignment="1" applyProtection="1">
      <alignment horizontal="center" vertical="center" wrapText="1"/>
      <protection locked="0"/>
    </xf>
    <xf numFmtId="0" fontId="39" fillId="9" borderId="23" xfId="7" applyFont="1" applyFill="1" applyBorder="1" applyAlignment="1" applyProtection="1">
      <alignment horizontal="center" vertical="center" wrapText="1"/>
    </xf>
    <xf numFmtId="0" fontId="34" fillId="9" borderId="24" xfId="7" applyFont="1" applyFill="1" applyBorder="1" applyAlignment="1" applyProtection="1">
      <alignment horizontal="center" vertical="center" wrapText="1"/>
      <protection locked="0"/>
    </xf>
    <xf numFmtId="0" fontId="36" fillId="9" borderId="26" xfId="7" applyFont="1" applyFill="1" applyBorder="1" applyAlignment="1" applyProtection="1">
      <alignment horizontal="center" vertical="center" wrapText="1"/>
    </xf>
    <xf numFmtId="0" fontId="39" fillId="2" borderId="8" xfId="7" applyFont="1" applyFill="1" applyBorder="1" applyAlignment="1" applyProtection="1">
      <alignment horizontal="center" vertical="center" wrapText="1"/>
    </xf>
    <xf numFmtId="0" fontId="39" fillId="2" borderId="26" xfId="7" applyFont="1" applyFill="1" applyBorder="1" applyAlignment="1" applyProtection="1">
      <alignment horizontal="center" vertical="center" wrapText="1"/>
    </xf>
    <xf numFmtId="0" fontId="35" fillId="2" borderId="37" xfId="7" applyFont="1" applyFill="1" applyBorder="1" applyAlignment="1" applyProtection="1">
      <alignment horizontal="center" vertical="center" wrapText="1"/>
      <protection locked="0"/>
    </xf>
    <xf numFmtId="0" fontId="41" fillId="0" borderId="37" xfId="7" applyFont="1" applyFill="1" applyBorder="1" applyAlignment="1" applyProtection="1">
      <alignment horizontal="center" vertical="center" wrapText="1"/>
      <protection locked="0"/>
    </xf>
    <xf numFmtId="3" fontId="35" fillId="2" borderId="23" xfId="7" applyNumberFormat="1" applyFont="1" applyFill="1" applyBorder="1" applyAlignment="1" applyProtection="1">
      <alignment vertical="center" wrapText="1"/>
    </xf>
    <xf numFmtId="0" fontId="39" fillId="2" borderId="23" xfId="7" applyFont="1" applyFill="1" applyBorder="1" applyAlignment="1" applyProtection="1">
      <alignment horizontal="center" vertical="center" wrapText="1"/>
    </xf>
    <xf numFmtId="3" fontId="39" fillId="11" borderId="47" xfId="7" applyNumberFormat="1" applyFont="1" applyFill="1" applyBorder="1" applyAlignment="1" applyProtection="1">
      <alignment horizontal="center" vertical="center" wrapText="1"/>
    </xf>
    <xf numFmtId="0" fontId="39" fillId="0" borderId="0" xfId="7" applyFont="1" applyFill="1" applyAlignment="1" applyProtection="1">
      <alignment horizontal="center" vertical="center"/>
      <protection locked="0"/>
    </xf>
    <xf numFmtId="165" fontId="12" fillId="0" borderId="0" xfId="7" applyNumberFormat="1" applyFont="1" applyFill="1" applyAlignment="1" applyProtection="1">
      <alignment horizontal="center" vertical="center"/>
      <protection locked="0"/>
    </xf>
    <xf numFmtId="4" fontId="10" fillId="0" borderId="0" xfId="7" applyNumberFormat="1" applyFont="1" applyFill="1" applyProtection="1">
      <protection locked="0"/>
    </xf>
    <xf numFmtId="0" fontId="10" fillId="0" borderId="0" xfId="7" applyFont="1" applyFill="1" applyAlignment="1" applyProtection="1">
      <alignment horizontal="center"/>
      <protection locked="0"/>
    </xf>
    <xf numFmtId="0" fontId="10" fillId="0" borderId="0" xfId="7" applyFont="1" applyFill="1" applyProtection="1">
      <protection locked="0"/>
    </xf>
    <xf numFmtId="4" fontId="32" fillId="0" borderId="0" xfId="7" applyNumberFormat="1" applyFont="1" applyFill="1" applyAlignment="1" applyProtection="1">
      <alignment horizontal="right" vertical="center"/>
      <protection locked="0"/>
    </xf>
    <xf numFmtId="4" fontId="35" fillId="0" borderId="0" xfId="7" applyNumberFormat="1" applyFont="1" applyFill="1" applyAlignment="1" applyProtection="1">
      <alignment vertical="center"/>
      <protection locked="0"/>
    </xf>
    <xf numFmtId="0" fontId="35" fillId="0" borderId="0" xfId="7" applyFont="1" applyFill="1" applyAlignment="1" applyProtection="1">
      <alignment vertical="center"/>
      <protection locked="0"/>
    </xf>
    <xf numFmtId="3" fontId="12" fillId="0" borderId="0" xfId="7" applyNumberFormat="1" applyFont="1" applyFill="1" applyAlignment="1" applyProtection="1">
      <alignment horizontal="center" vertical="center"/>
      <protection locked="0"/>
    </xf>
    <xf numFmtId="4" fontId="12" fillId="0" borderId="0" xfId="7" applyNumberFormat="1" applyFont="1" applyFill="1" applyBorder="1" applyAlignment="1" applyProtection="1">
      <alignment vertical="center"/>
      <protection locked="0"/>
    </xf>
    <xf numFmtId="3" fontId="12" fillId="0" borderId="0" xfId="7" applyNumberFormat="1" applyFont="1" applyFill="1" applyBorder="1" applyAlignment="1" applyProtection="1">
      <alignment horizontal="center" vertical="center"/>
      <protection locked="0"/>
    </xf>
    <xf numFmtId="0" fontId="12" fillId="0" borderId="0" xfId="7" applyFont="1" applyFill="1" applyBorder="1" applyAlignment="1" applyProtection="1">
      <alignment horizontal="center" vertical="center"/>
      <protection locked="0"/>
    </xf>
    <xf numFmtId="0" fontId="12" fillId="0" borderId="0" xfId="7" applyFont="1" applyFill="1" applyBorder="1" applyAlignment="1" applyProtection="1">
      <alignment vertical="center"/>
      <protection locked="0"/>
    </xf>
    <xf numFmtId="4" fontId="28" fillId="0" borderId="0" xfId="7" applyNumberFormat="1" applyFont="1" applyFill="1" applyProtection="1">
      <protection locked="0"/>
    </xf>
    <xf numFmtId="0" fontId="28" fillId="0" borderId="0" xfId="7" applyFont="1" applyFill="1" applyAlignment="1" applyProtection="1">
      <alignment horizontal="center"/>
      <protection locked="0"/>
    </xf>
    <xf numFmtId="0" fontId="28" fillId="0" borderId="0" xfId="7" applyFont="1" applyFill="1" applyProtection="1">
      <protection locked="0"/>
    </xf>
    <xf numFmtId="0" fontId="42" fillId="0" borderId="8" xfId="16" applyFont="1" applyFill="1" applyBorder="1" applyAlignment="1">
      <alignment vertical="center" wrapText="1"/>
    </xf>
    <xf numFmtId="0" fontId="10" fillId="0" borderId="26" xfId="7" applyFont="1" applyFill="1" applyBorder="1" applyAlignment="1" applyProtection="1">
      <alignment horizontal="center" vertical="center" wrapText="1"/>
    </xf>
    <xf numFmtId="0" fontId="42" fillId="0" borderId="0" xfId="16" applyFont="1" applyFill="1" applyBorder="1" applyAlignment="1">
      <alignment vertical="center" wrapText="1"/>
    </xf>
    <xf numFmtId="0" fontId="10" fillId="0" borderId="30" xfId="7" applyFont="1" applyFill="1" applyBorder="1" applyAlignment="1">
      <alignment vertical="center" wrapText="1"/>
    </xf>
    <xf numFmtId="0" fontId="10" fillId="0" borderId="18" xfId="16" applyFont="1" applyFill="1" applyBorder="1" applyAlignment="1" applyProtection="1">
      <alignment horizontal="left" vertical="center" wrapText="1"/>
      <protection locked="0"/>
    </xf>
    <xf numFmtId="3" fontId="34" fillId="0" borderId="0" xfId="7" applyNumberFormat="1" applyFont="1" applyFill="1" applyAlignment="1" applyProtection="1">
      <alignment horizontal="center" vertical="center"/>
      <protection locked="0"/>
    </xf>
    <xf numFmtId="0" fontId="35" fillId="10" borderId="27" xfId="7" applyFont="1" applyFill="1" applyBorder="1" applyAlignment="1" applyProtection="1">
      <alignment horizontal="center" vertical="center" wrapText="1"/>
      <protection locked="0"/>
    </xf>
    <xf numFmtId="0" fontId="35" fillId="10" borderId="21" xfId="7" applyFont="1" applyFill="1" applyBorder="1" applyAlignment="1" applyProtection="1">
      <alignment horizontal="center" vertical="center" wrapText="1"/>
      <protection locked="0"/>
    </xf>
    <xf numFmtId="0" fontId="35" fillId="10" borderId="37" xfId="7" applyFont="1" applyFill="1" applyBorder="1" applyAlignment="1" applyProtection="1">
      <alignment horizontal="center" vertical="center" wrapText="1"/>
      <protection locked="0"/>
    </xf>
    <xf numFmtId="0" fontId="12" fillId="0" borderId="48" xfId="7" applyFont="1" applyFill="1" applyBorder="1" applyAlignment="1" applyProtection="1">
      <alignment horizontal="center" vertical="center" wrapText="1"/>
    </xf>
    <xf numFmtId="0" fontId="12" fillId="0" borderId="49" xfId="7" applyFont="1" applyFill="1" applyBorder="1" applyAlignment="1" applyProtection="1">
      <alignment horizontal="center" vertical="center" wrapText="1"/>
    </xf>
    <xf numFmtId="0" fontId="10" fillId="0" borderId="49" xfId="7" applyFont="1" applyFill="1" applyBorder="1" applyAlignment="1" applyProtection="1">
      <alignment horizontal="left" vertical="center" wrapText="1"/>
    </xf>
    <xf numFmtId="3" fontId="10" fillId="0" borderId="49" xfId="7" applyNumberFormat="1" applyFont="1" applyFill="1" applyBorder="1" applyAlignment="1" applyProtection="1">
      <alignment vertical="center" wrapText="1"/>
    </xf>
    <xf numFmtId="3" fontId="10" fillId="0" borderId="23" xfId="7" applyNumberFormat="1" applyFont="1" applyFill="1" applyBorder="1" applyAlignment="1" applyProtection="1">
      <alignment vertical="center" wrapText="1"/>
    </xf>
    <xf numFmtId="0" fontId="35" fillId="6" borderId="24" xfId="7" applyFont="1" applyFill="1" applyBorder="1" applyAlignment="1" applyProtection="1">
      <alignment horizontal="center" vertical="center" wrapText="1"/>
      <protection locked="0"/>
    </xf>
    <xf numFmtId="0" fontId="27" fillId="2" borderId="18" xfId="7" applyFont="1" applyFill="1" applyBorder="1" applyAlignment="1" applyProtection="1">
      <alignment horizontal="center" vertical="center" wrapText="1"/>
    </xf>
    <xf numFmtId="0" fontId="39" fillId="2" borderId="18" xfId="7" applyFont="1" applyFill="1" applyBorder="1" applyAlignment="1" applyProtection="1">
      <alignment horizontal="center" vertical="center" wrapText="1"/>
    </xf>
    <xf numFmtId="0" fontId="12" fillId="0" borderId="19" xfId="7" applyFont="1" applyFill="1" applyBorder="1" applyAlignment="1" applyProtection="1">
      <alignment horizontal="center" vertical="center" wrapText="1"/>
    </xf>
    <xf numFmtId="0" fontId="10" fillId="0" borderId="19" xfId="7" applyFont="1" applyFill="1" applyBorder="1" applyAlignment="1" applyProtection="1">
      <alignment horizontal="left" vertical="center" wrapText="1"/>
    </xf>
    <xf numFmtId="3" fontId="10" fillId="0" borderId="19" xfId="7" applyNumberFormat="1" applyFont="1" applyFill="1" applyBorder="1" applyAlignment="1" applyProtection="1">
      <alignment vertical="center" wrapText="1"/>
    </xf>
    <xf numFmtId="3" fontId="10" fillId="0" borderId="34" xfId="7" applyNumberFormat="1" applyFont="1" applyFill="1" applyBorder="1" applyAlignment="1" applyProtection="1">
      <alignment vertical="center" wrapText="1"/>
    </xf>
    <xf numFmtId="0" fontId="10" fillId="0" borderId="34" xfId="7" applyFont="1" applyFill="1" applyBorder="1" applyAlignment="1" applyProtection="1">
      <alignment vertical="center" wrapText="1"/>
    </xf>
    <xf numFmtId="0" fontId="10" fillId="0" borderId="34" xfId="7" applyFont="1" applyFill="1" applyBorder="1" applyAlignment="1" applyProtection="1">
      <alignment horizontal="right" vertical="center" wrapText="1"/>
    </xf>
    <xf numFmtId="0" fontId="10" fillId="0" borderId="25" xfId="16" applyFont="1" applyFill="1" applyBorder="1" applyAlignment="1" applyProtection="1">
      <alignment vertical="center" wrapText="1"/>
      <protection locked="0"/>
    </xf>
    <xf numFmtId="0" fontId="35" fillId="13" borderId="24" xfId="7" applyFont="1" applyFill="1" applyBorder="1" applyAlignment="1" applyProtection="1">
      <alignment horizontal="center" vertical="center" wrapText="1"/>
      <protection locked="0"/>
    </xf>
    <xf numFmtId="0" fontId="35" fillId="13" borderId="37" xfId="7" applyFont="1" applyFill="1" applyBorder="1" applyAlignment="1" applyProtection="1">
      <alignment horizontal="center" vertical="center" wrapText="1"/>
      <protection locked="0"/>
    </xf>
    <xf numFmtId="0" fontId="35" fillId="10" borderId="16" xfId="7" applyFont="1" applyFill="1" applyBorder="1" applyAlignment="1" applyProtection="1">
      <alignment horizontal="center" vertical="center" wrapText="1"/>
      <protection locked="0"/>
    </xf>
    <xf numFmtId="0" fontId="39" fillId="9" borderId="20" xfId="7" applyFont="1" applyFill="1" applyBorder="1" applyAlignment="1" applyProtection="1">
      <alignment horizontal="center" vertical="center" wrapText="1"/>
    </xf>
    <xf numFmtId="0" fontId="35" fillId="13" borderId="52" xfId="7" applyFont="1" applyFill="1" applyBorder="1" applyAlignment="1" applyProtection="1">
      <alignment horizontal="center" vertical="center" wrapText="1"/>
      <protection locked="0"/>
    </xf>
    <xf numFmtId="0" fontId="35" fillId="13" borderId="53" xfId="7" applyFont="1" applyFill="1" applyBorder="1" applyAlignment="1" applyProtection="1">
      <alignment horizontal="center" vertical="center" wrapText="1"/>
      <protection locked="0"/>
    </xf>
    <xf numFmtId="0" fontId="27" fillId="0" borderId="22" xfId="7" applyFont="1" applyFill="1" applyBorder="1" applyAlignment="1" applyProtection="1">
      <alignment horizontal="center" vertical="center"/>
    </xf>
    <xf numFmtId="3" fontId="15" fillId="0" borderId="0" xfId="9" applyNumberFormat="1" applyFont="1" applyAlignment="1">
      <alignment vertical="center"/>
    </xf>
    <xf numFmtId="0" fontId="42" fillId="0" borderId="8" xfId="0" applyFont="1" applyFill="1" applyBorder="1" applyAlignment="1">
      <alignment vertical="center" wrapText="1"/>
    </xf>
    <xf numFmtId="3" fontId="10" fillId="0" borderId="24" xfId="7" applyNumberFormat="1" applyFont="1" applyFill="1" applyBorder="1" applyAlignment="1" applyProtection="1">
      <alignment horizontal="right" vertical="center" wrapText="1"/>
    </xf>
    <xf numFmtId="0" fontId="42" fillId="0" borderId="0" xfId="0" applyFont="1" applyFill="1" applyAlignment="1">
      <alignment vertical="center" wrapText="1"/>
    </xf>
    <xf numFmtId="0" fontId="33" fillId="0" borderId="30" xfId="25" applyFont="1" applyFill="1" applyBorder="1" applyAlignment="1">
      <alignment vertical="center" wrapText="1"/>
    </xf>
    <xf numFmtId="0" fontId="10" fillId="0" borderId="24" xfId="7" applyFont="1" applyFill="1" applyBorder="1" applyAlignment="1" applyProtection="1">
      <alignment horizontal="left" vertical="center" wrapText="1"/>
    </xf>
    <xf numFmtId="0" fontId="12" fillId="0" borderId="39" xfId="7" applyFont="1" applyFill="1" applyBorder="1" applyAlignment="1" applyProtection="1">
      <alignment horizontal="center" vertical="center" wrapText="1"/>
    </xf>
    <xf numFmtId="0" fontId="28" fillId="0" borderId="18" xfId="7" applyFont="1" applyFill="1" applyBorder="1" applyAlignment="1" applyProtection="1">
      <alignment horizontal="center" vertical="center" wrapText="1"/>
    </xf>
    <xf numFmtId="0" fontId="39" fillId="0" borderId="8" xfId="7" applyFont="1" applyFill="1" applyBorder="1" applyAlignment="1" applyProtection="1">
      <alignment horizontal="center" vertical="center" wrapText="1"/>
    </xf>
    <xf numFmtId="3" fontId="12" fillId="0" borderId="49" xfId="7" applyNumberFormat="1" applyFont="1" applyFill="1" applyBorder="1" applyAlignment="1" applyProtection="1">
      <alignment vertical="center" wrapText="1"/>
    </xf>
    <xf numFmtId="0" fontId="27" fillId="0" borderId="50" xfId="7" applyFont="1" applyFill="1" applyBorder="1" applyAlignment="1" applyProtection="1">
      <alignment horizontal="center" vertical="center" wrapText="1"/>
    </xf>
    <xf numFmtId="0" fontId="33" fillId="0" borderId="0" xfId="10" applyFont="1"/>
    <xf numFmtId="49" fontId="17" fillId="4" borderId="5" xfId="10" applyNumberFormat="1" applyFont="1" applyFill="1" applyBorder="1" applyAlignment="1">
      <alignment horizontal="center" vertical="center"/>
    </xf>
    <xf numFmtId="0" fontId="17" fillId="4" borderId="5" xfId="10" applyFont="1" applyFill="1" applyBorder="1" applyAlignment="1">
      <alignment horizontal="center" vertical="center"/>
    </xf>
    <xf numFmtId="0" fontId="17" fillId="4" borderId="5" xfId="10" applyFont="1" applyFill="1" applyBorder="1" applyAlignment="1">
      <alignment horizontal="center" vertical="center" wrapText="1"/>
    </xf>
    <xf numFmtId="3" fontId="17" fillId="4" borderId="5" xfId="10" applyNumberFormat="1" applyFont="1" applyFill="1" applyBorder="1" applyAlignment="1">
      <alignment horizontal="center" vertical="center"/>
    </xf>
    <xf numFmtId="0" fontId="33" fillId="0" borderId="0" xfId="10" applyFont="1" applyAlignment="1">
      <alignment horizontal="center" vertical="center"/>
    </xf>
    <xf numFmtId="49" fontId="33" fillId="0" borderId="0" xfId="10" applyNumberFormat="1" applyFont="1" applyAlignment="1">
      <alignment horizontal="center" vertical="center"/>
    </xf>
    <xf numFmtId="0" fontId="33" fillId="0" borderId="0" xfId="10" applyFont="1" applyAlignment="1">
      <alignment vertical="center" wrapText="1"/>
    </xf>
    <xf numFmtId="3" fontId="33" fillId="0" borderId="0" xfId="10" applyNumberFormat="1" applyFont="1" applyAlignment="1">
      <alignment vertical="center"/>
    </xf>
    <xf numFmtId="0" fontId="7" fillId="0" borderId="0" xfId="7" applyFont="1" applyAlignment="1">
      <alignment horizontal="center" vertical="center"/>
    </xf>
    <xf numFmtId="0" fontId="7" fillId="0" borderId="0" xfId="7" applyFont="1"/>
    <xf numFmtId="0" fontId="11" fillId="0" borderId="0" xfId="7" applyFont="1" applyAlignment="1">
      <alignment vertical="center" wrapText="1"/>
    </xf>
    <xf numFmtId="0" fontId="14" fillId="0" borderId="0" xfId="7" applyFont="1"/>
    <xf numFmtId="0" fontId="47" fillId="0" borderId="0" xfId="7" applyFont="1"/>
    <xf numFmtId="0" fontId="7" fillId="0" borderId="0" xfId="7" applyFont="1" applyAlignment="1">
      <alignment vertical="center"/>
    </xf>
    <xf numFmtId="0" fontId="48" fillId="0" borderId="0" xfId="7" applyFont="1" applyAlignment="1">
      <alignment vertical="center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3" fontId="8" fillId="0" borderId="0" xfId="7" applyNumberFormat="1" applyFont="1" applyAlignment="1">
      <alignment vertical="center"/>
    </xf>
    <xf numFmtId="0" fontId="8" fillId="0" borderId="0" xfId="7" applyFont="1" applyAlignment="1">
      <alignment horizontal="center" vertical="center"/>
    </xf>
    <xf numFmtId="3" fontId="7" fillId="0" borderId="0" xfId="7" applyNumberFormat="1" applyFont="1" applyAlignment="1">
      <alignment vertical="center"/>
    </xf>
    <xf numFmtId="0" fontId="49" fillId="0" borderId="0" xfId="7" applyFont="1"/>
    <xf numFmtId="2" fontId="10" fillId="0" borderId="18" xfId="16" applyNumberFormat="1" applyFont="1" applyFill="1" applyBorder="1" applyAlignment="1" applyProtection="1">
      <alignment vertical="center" wrapText="1"/>
      <protection locked="0"/>
    </xf>
    <xf numFmtId="0" fontId="10" fillId="0" borderId="0" xfId="7"/>
    <xf numFmtId="0" fontId="8" fillId="18" borderId="60" xfId="7" applyFont="1" applyFill="1" applyBorder="1" applyAlignment="1">
      <alignment horizontal="center" vertical="center" wrapText="1"/>
    </xf>
    <xf numFmtId="0" fontId="8" fillId="18" borderId="61" xfId="7" applyFont="1" applyFill="1" applyBorder="1" applyAlignment="1">
      <alignment horizontal="center" vertical="center" wrapText="1"/>
    </xf>
    <xf numFmtId="0" fontId="8" fillId="18" borderId="62" xfId="7" applyFont="1" applyFill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7" fillId="5" borderId="8" xfId="7" applyFont="1" applyFill="1" applyBorder="1" applyAlignment="1">
      <alignment horizontal="center" vertical="center" wrapText="1"/>
    </xf>
    <xf numFmtId="3" fontId="7" fillId="5" borderId="8" xfId="7" applyNumberFormat="1" applyFont="1" applyFill="1" applyBorder="1" applyAlignment="1">
      <alignment horizontal="right" vertical="center" wrapText="1"/>
    </xf>
    <xf numFmtId="0" fontId="10" fillId="5" borderId="0" xfId="7" applyFill="1"/>
    <xf numFmtId="3" fontId="8" fillId="18" borderId="8" xfId="7" applyNumberFormat="1" applyFont="1" applyFill="1" applyBorder="1" applyAlignment="1">
      <alignment horizontal="right" vertical="center" wrapText="1"/>
    </xf>
    <xf numFmtId="0" fontId="12" fillId="0" borderId="0" xfId="7" applyFont="1"/>
    <xf numFmtId="0" fontId="43" fillId="0" borderId="8" xfId="7" applyFont="1" applyBorder="1" applyAlignment="1">
      <alignment horizontal="center" vertical="center" wrapText="1"/>
    </xf>
    <xf numFmtId="0" fontId="43" fillId="5" borderId="8" xfId="7" applyFont="1" applyFill="1" applyBorder="1" applyAlignment="1">
      <alignment horizontal="center" vertical="center" wrapText="1"/>
    </xf>
    <xf numFmtId="3" fontId="43" fillId="5" borderId="8" xfId="7" applyNumberFormat="1" applyFont="1" applyFill="1" applyBorder="1" applyAlignment="1">
      <alignment horizontal="right" vertical="center" wrapText="1"/>
    </xf>
    <xf numFmtId="0" fontId="48" fillId="0" borderId="0" xfId="11" applyFont="1" applyAlignment="1">
      <alignment horizontal="center" vertical="center"/>
    </xf>
    <xf numFmtId="0" fontId="48" fillId="0" borderId="0" xfId="11" applyFont="1" applyAlignment="1">
      <alignment vertical="center" wrapText="1"/>
    </xf>
    <xf numFmtId="3" fontId="48" fillId="0" borderId="0" xfId="11" applyNumberFormat="1" applyFont="1" applyAlignment="1">
      <alignment vertical="center"/>
    </xf>
    <xf numFmtId="0" fontId="48" fillId="0" borderId="0" xfId="11" applyFont="1"/>
    <xf numFmtId="0" fontId="50" fillId="0" borderId="0" xfId="11" applyFont="1" applyAlignment="1">
      <alignment vertical="center"/>
    </xf>
    <xf numFmtId="0" fontId="48" fillId="0" borderId="0" xfId="11" applyFont="1" applyAlignment="1">
      <alignment vertical="center"/>
    </xf>
    <xf numFmtId="0" fontId="7" fillId="0" borderId="0" xfId="11" applyFont="1" applyAlignment="1">
      <alignment vertical="center"/>
    </xf>
    <xf numFmtId="0" fontId="51" fillId="0" borderId="0" xfId="11" applyFont="1" applyAlignment="1">
      <alignment vertical="center"/>
    </xf>
    <xf numFmtId="3" fontId="50" fillId="19" borderId="30" xfId="11" applyNumberFormat="1" applyFont="1" applyFill="1" applyBorder="1" applyAlignment="1">
      <alignment vertical="center"/>
    </xf>
    <xf numFmtId="0" fontId="42" fillId="0" borderId="8" xfId="0" applyFont="1" applyBorder="1" applyAlignment="1">
      <alignment horizontal="justify" vertical="center"/>
    </xf>
    <xf numFmtId="3" fontId="15" fillId="16" borderId="4" xfId="9" applyNumberFormat="1" applyFont="1" applyFill="1" applyBorder="1" applyAlignment="1"/>
    <xf numFmtId="3" fontId="15" fillId="16" borderId="30" xfId="9" applyNumberFormat="1" applyFont="1" applyFill="1" applyBorder="1" applyAlignment="1"/>
    <xf numFmtId="3" fontId="12" fillId="5" borderId="5" xfId="9" applyNumberFormat="1" applyFont="1" applyFill="1" applyBorder="1" applyAlignment="1"/>
    <xf numFmtId="3" fontId="10" fillId="0" borderId="30" xfId="9" applyNumberFormat="1" applyFont="1" applyBorder="1" applyAlignment="1"/>
    <xf numFmtId="0" fontId="10" fillId="0" borderId="5" xfId="9" applyFont="1" applyBorder="1" applyAlignment="1">
      <alignment vertical="center" wrapText="1"/>
    </xf>
    <xf numFmtId="3" fontId="10" fillId="0" borderId="0" xfId="7" applyNumberFormat="1"/>
    <xf numFmtId="0" fontId="10" fillId="0" borderId="18" xfId="7" applyFont="1" applyFill="1" applyBorder="1" applyAlignment="1" applyProtection="1">
      <alignment horizontal="center" vertical="center" wrapText="1"/>
    </xf>
    <xf numFmtId="0" fontId="10" fillId="0" borderId="18" xfId="7" applyFont="1" applyFill="1" applyBorder="1" applyAlignment="1" applyProtection="1">
      <alignment horizontal="center" vertical="center"/>
    </xf>
    <xf numFmtId="0" fontId="10" fillId="0" borderId="18" xfId="7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>
      <alignment horizontal="left" vertical="center"/>
    </xf>
    <xf numFmtId="0" fontId="10" fillId="0" borderId="8" xfId="7" applyFont="1" applyFill="1" applyBorder="1" applyAlignment="1" applyProtection="1">
      <alignment horizontal="center" vertical="center" wrapText="1"/>
    </xf>
    <xf numFmtId="0" fontId="42" fillId="0" borderId="8" xfId="0" applyFont="1" applyFill="1" applyBorder="1" applyAlignment="1">
      <alignment horizontal="justify" vertical="center"/>
    </xf>
    <xf numFmtId="0" fontId="30" fillId="0" borderId="8" xfId="7" applyFont="1" applyFill="1" applyBorder="1" applyAlignment="1" applyProtection="1">
      <alignment horizontal="center" vertical="center" wrapText="1"/>
    </xf>
    <xf numFmtId="0" fontId="28" fillId="0" borderId="48" xfId="7" applyFont="1" applyFill="1" applyBorder="1" applyAlignment="1" applyProtection="1">
      <alignment horizontal="center" vertical="center" wrapText="1"/>
    </xf>
    <xf numFmtId="0" fontId="35" fillId="13" borderId="17" xfId="7" applyFont="1" applyFill="1" applyBorder="1" applyAlignment="1" applyProtection="1">
      <alignment horizontal="center" vertical="center" wrapText="1"/>
    </xf>
    <xf numFmtId="0" fontId="35" fillId="13" borderId="18" xfId="7" applyFont="1" applyFill="1" applyBorder="1" applyAlignment="1" applyProtection="1">
      <alignment horizontal="center" vertical="center" wrapText="1"/>
    </xf>
    <xf numFmtId="0" fontId="35" fillId="13" borderId="18" xfId="7" applyFont="1" applyFill="1" applyBorder="1" applyAlignment="1" applyProtection="1">
      <alignment horizontal="left" vertical="center" wrapText="1"/>
    </xf>
    <xf numFmtId="3" fontId="35" fillId="13" borderId="18" xfId="7" applyNumberFormat="1" applyFont="1" applyFill="1" applyBorder="1" applyAlignment="1" applyProtection="1">
      <alignment vertical="center" wrapText="1"/>
    </xf>
    <xf numFmtId="0" fontId="35" fillId="13" borderId="18" xfId="7" applyFont="1" applyFill="1" applyBorder="1" applyAlignment="1" applyProtection="1">
      <alignment vertical="center" wrapText="1"/>
    </xf>
    <xf numFmtId="0" fontId="39" fillId="13" borderId="23" xfId="7" applyFont="1" applyFill="1" applyBorder="1" applyAlignment="1" applyProtection="1">
      <alignment horizontal="center" vertical="center" wrapText="1"/>
    </xf>
    <xf numFmtId="0" fontId="35" fillId="6" borderId="8" xfId="7" applyFont="1" applyFill="1" applyBorder="1" applyAlignment="1" applyProtection="1">
      <alignment horizontal="center" vertical="center"/>
    </xf>
    <xf numFmtId="0" fontId="35" fillId="6" borderId="25" xfId="7" applyFont="1" applyFill="1" applyBorder="1" applyAlignment="1" applyProtection="1">
      <alignment horizontal="center" vertical="center" wrapText="1"/>
    </xf>
    <xf numFmtId="0" fontId="35" fillId="6" borderId="8" xfId="16" applyFont="1" applyFill="1" applyBorder="1" applyAlignment="1" applyProtection="1">
      <alignment vertical="center" wrapText="1"/>
    </xf>
    <xf numFmtId="3" fontId="35" fillId="6" borderId="24" xfId="7" applyNumberFormat="1" applyFont="1" applyFill="1" applyBorder="1" applyAlignment="1" applyProtection="1">
      <alignment vertical="center" wrapText="1"/>
    </xf>
    <xf numFmtId="3" fontId="35" fillId="6" borderId="18" xfId="7" applyNumberFormat="1" applyFont="1" applyFill="1" applyBorder="1" applyAlignment="1" applyProtection="1">
      <alignment vertical="center"/>
    </xf>
    <xf numFmtId="0" fontId="35" fillId="6" borderId="18" xfId="7" applyFont="1" applyFill="1" applyBorder="1" applyAlignment="1" applyProtection="1">
      <alignment vertical="center" wrapText="1"/>
    </xf>
    <xf numFmtId="0" fontId="35" fillId="6" borderId="18" xfId="7" applyFont="1" applyFill="1" applyBorder="1" applyAlignment="1" applyProtection="1">
      <alignment horizontal="right" vertical="center" wrapText="1"/>
    </xf>
    <xf numFmtId="0" fontId="39" fillId="6" borderId="23" xfId="7" applyFont="1" applyFill="1" applyBorder="1" applyAlignment="1" applyProtection="1">
      <alignment horizontal="center" vertical="center" wrapText="1"/>
    </xf>
    <xf numFmtId="0" fontId="35" fillId="6" borderId="18" xfId="7" applyFont="1" applyFill="1" applyBorder="1" applyAlignment="1" applyProtection="1">
      <alignment horizontal="center" vertical="center" wrapText="1"/>
    </xf>
    <xf numFmtId="0" fontId="53" fillId="6" borderId="0" xfId="0" applyFont="1" applyFill="1" applyAlignment="1">
      <alignment horizontal="left" vertical="center" wrapText="1"/>
    </xf>
    <xf numFmtId="3" fontId="35" fillId="6" borderId="18" xfId="7" applyNumberFormat="1" applyFont="1" applyFill="1" applyBorder="1" applyAlignment="1" applyProtection="1">
      <alignment vertical="center" wrapText="1"/>
    </xf>
    <xf numFmtId="0" fontId="35" fillId="6" borderId="23" xfId="7" applyFont="1" applyFill="1" applyBorder="1" applyAlignment="1" applyProtection="1">
      <alignment horizontal="center" vertical="center" wrapText="1"/>
    </xf>
    <xf numFmtId="0" fontId="53" fillId="6" borderId="18" xfId="0" applyFont="1" applyFill="1" applyBorder="1" applyAlignment="1">
      <alignment horizontal="left" vertical="center" wrapText="1"/>
    </xf>
    <xf numFmtId="3" fontId="35" fillId="6" borderId="18" xfId="7" applyNumberFormat="1" applyFont="1" applyFill="1" applyBorder="1" applyAlignment="1" applyProtection="1">
      <alignment horizontal="center" vertical="center"/>
    </xf>
    <xf numFmtId="0" fontId="35" fillId="6" borderId="18" xfId="7" applyNumberFormat="1" applyFont="1" applyFill="1" applyBorder="1" applyAlignment="1" applyProtection="1">
      <alignment horizontal="center" vertical="center"/>
    </xf>
    <xf numFmtId="0" fontId="35" fillId="6" borderId="18" xfId="7" applyFont="1" applyFill="1" applyBorder="1" applyAlignment="1">
      <alignment vertical="center" wrapText="1"/>
    </xf>
    <xf numFmtId="3" fontId="35" fillId="6" borderId="18" xfId="7" applyNumberFormat="1" applyFont="1" applyFill="1" applyBorder="1" applyAlignment="1" applyProtection="1">
      <alignment horizontal="right" vertical="center" wrapText="1"/>
    </xf>
    <xf numFmtId="0" fontId="54" fillId="6" borderId="17" xfId="7" applyFont="1" applyFill="1" applyBorder="1" applyAlignment="1" applyProtection="1">
      <alignment horizontal="center" vertical="center"/>
    </xf>
    <xf numFmtId="0" fontId="54" fillId="6" borderId="18" xfId="7" applyFont="1" applyFill="1" applyBorder="1" applyAlignment="1" applyProtection="1">
      <alignment horizontal="center" vertical="center"/>
    </xf>
    <xf numFmtId="0" fontId="54" fillId="6" borderId="18" xfId="7" applyFont="1" applyFill="1" applyBorder="1" applyAlignment="1" applyProtection="1">
      <alignment horizontal="left" vertical="center" wrapText="1"/>
      <protection locked="0"/>
    </xf>
    <xf numFmtId="3" fontId="54" fillId="6" borderId="18" xfId="7" applyNumberFormat="1" applyFont="1" applyFill="1" applyBorder="1" applyAlignment="1" applyProtection="1">
      <alignment vertical="center" wrapText="1"/>
    </xf>
    <xf numFmtId="3" fontId="54" fillId="6" borderId="18" xfId="7" applyNumberFormat="1" applyFont="1" applyFill="1" applyBorder="1" applyAlignment="1" applyProtection="1">
      <alignment vertical="center"/>
    </xf>
    <xf numFmtId="0" fontId="54" fillId="6" borderId="18" xfId="7" applyFont="1" applyFill="1" applyBorder="1" applyAlignment="1" applyProtection="1">
      <alignment vertical="center" wrapText="1"/>
    </xf>
    <xf numFmtId="0" fontId="54" fillId="6" borderId="18" xfId="7" applyFont="1" applyFill="1" applyBorder="1" applyAlignment="1" applyProtection="1">
      <alignment horizontal="right" vertical="center" wrapText="1"/>
    </xf>
    <xf numFmtId="0" fontId="55" fillId="6" borderId="23" xfId="7" applyFont="1" applyFill="1" applyBorder="1" applyAlignment="1" applyProtection="1">
      <alignment horizontal="center" vertical="center" wrapText="1"/>
    </xf>
    <xf numFmtId="0" fontId="35" fillId="6" borderId="18" xfId="7" applyFont="1" applyFill="1" applyBorder="1" applyAlignment="1" applyProtection="1">
      <alignment horizontal="left" vertical="center" wrapText="1"/>
      <protection locked="0"/>
    </xf>
    <xf numFmtId="0" fontId="35" fillId="6" borderId="31" xfId="7" applyFont="1" applyFill="1" applyBorder="1" applyAlignment="1" applyProtection="1">
      <alignment horizontal="center" vertical="center"/>
    </xf>
    <xf numFmtId="0" fontId="54" fillId="6" borderId="30" xfId="25" applyFont="1" applyFill="1" applyBorder="1" applyAlignment="1">
      <alignment vertical="center" wrapText="1"/>
    </xf>
    <xf numFmtId="3" fontId="35" fillId="6" borderId="25" xfId="7" applyNumberFormat="1" applyFont="1" applyFill="1" applyBorder="1" applyAlignment="1" applyProtection="1">
      <alignment vertical="center"/>
    </xf>
    <xf numFmtId="0" fontId="35" fillId="6" borderId="25" xfId="7" applyFont="1" applyFill="1" applyBorder="1" applyAlignment="1" applyProtection="1">
      <alignment vertical="center" wrapText="1"/>
    </xf>
    <xf numFmtId="0" fontId="35" fillId="6" borderId="25" xfId="7" applyFont="1" applyFill="1" applyBorder="1" applyAlignment="1" applyProtection="1">
      <alignment horizontal="right" vertical="center" wrapText="1"/>
    </xf>
    <xf numFmtId="0" fontId="36" fillId="6" borderId="26" xfId="7" applyFont="1" applyFill="1" applyBorder="1" applyAlignment="1" applyProtection="1">
      <alignment horizontal="center" vertical="center" wrapText="1"/>
    </xf>
    <xf numFmtId="0" fontId="35" fillId="6" borderId="8" xfId="7" applyFont="1" applyFill="1" applyBorder="1" applyAlignment="1" applyProtection="1">
      <alignment horizontal="center" vertical="center" wrapText="1"/>
    </xf>
    <xf numFmtId="0" fontId="36" fillId="6" borderId="8" xfId="7" applyFont="1" applyFill="1" applyBorder="1" applyAlignment="1" applyProtection="1">
      <alignment horizontal="center" vertical="center" wrapText="1"/>
    </xf>
    <xf numFmtId="0" fontId="54" fillId="6" borderId="8" xfId="25" applyFont="1" applyFill="1" applyBorder="1" applyAlignment="1">
      <alignment vertical="center" wrapText="1"/>
    </xf>
    <xf numFmtId="3" fontId="35" fillId="6" borderId="8" xfId="7" applyNumberFormat="1" applyFont="1" applyFill="1" applyBorder="1" applyAlignment="1" applyProtection="1">
      <alignment vertical="center" wrapText="1"/>
    </xf>
    <xf numFmtId="3" fontId="35" fillId="6" borderId="8" xfId="7" applyNumberFormat="1" applyFont="1" applyFill="1" applyBorder="1" applyAlignment="1" applyProtection="1">
      <alignment horizontal="right" vertical="center" wrapText="1"/>
    </xf>
    <xf numFmtId="0" fontId="53" fillId="6" borderId="8" xfId="0" applyFont="1" applyFill="1" applyBorder="1" applyAlignment="1">
      <alignment horizontal="justify" vertical="center"/>
    </xf>
    <xf numFmtId="0" fontId="35" fillId="13" borderId="51" xfId="7" applyFont="1" applyFill="1" applyBorder="1" applyAlignment="1" applyProtection="1">
      <alignment horizontal="center" vertical="center" wrapText="1"/>
    </xf>
    <xf numFmtId="0" fontId="53" fillId="13" borderId="51" xfId="0" applyFont="1" applyFill="1" applyBorder="1" applyAlignment="1">
      <alignment vertical="center" wrapText="1"/>
    </xf>
    <xf numFmtId="3" fontId="35" fillId="13" borderId="51" xfId="7" applyNumberFormat="1" applyFont="1" applyFill="1" applyBorder="1" applyAlignment="1" applyProtection="1">
      <alignment vertical="center" wrapText="1"/>
    </xf>
    <xf numFmtId="0" fontId="35" fillId="13" borderId="51" xfId="7" applyFont="1" applyFill="1" applyBorder="1" applyAlignment="1" applyProtection="1">
      <alignment vertical="center" wrapText="1"/>
    </xf>
    <xf numFmtId="0" fontId="35" fillId="13" borderId="18" xfId="7" applyFont="1" applyFill="1" applyBorder="1" applyAlignment="1" applyProtection="1">
      <alignment horizontal="right" vertical="center" wrapText="1"/>
    </xf>
    <xf numFmtId="0" fontId="39" fillId="13" borderId="51" xfId="7" applyFont="1" applyFill="1" applyBorder="1" applyAlignment="1" applyProtection="1">
      <alignment horizontal="center" vertical="center" wrapText="1"/>
    </xf>
    <xf numFmtId="0" fontId="35" fillId="0" borderId="0" xfId="7" applyFont="1"/>
    <xf numFmtId="0" fontId="10" fillId="0" borderId="0" xfId="7" applyFont="1"/>
    <xf numFmtId="0" fontId="7" fillId="0" borderId="30" xfId="7" applyFont="1" applyBorder="1" applyAlignment="1">
      <alignment horizontal="center" vertical="center"/>
    </xf>
    <xf numFmtId="0" fontId="7" fillId="0" borderId="30" xfId="7" applyFont="1" applyBorder="1" applyAlignment="1">
      <alignment vertical="center" wrapText="1"/>
    </xf>
    <xf numFmtId="3" fontId="7" fillId="0" borderId="30" xfId="7" applyNumberFormat="1" applyFont="1" applyBorder="1" applyAlignment="1">
      <alignment vertical="center" wrapText="1"/>
    </xf>
    <xf numFmtId="0" fontId="20" fillId="0" borderId="30" xfId="7" applyFont="1" applyBorder="1" applyAlignment="1">
      <alignment vertical="center" wrapText="1"/>
    </xf>
    <xf numFmtId="0" fontId="56" fillId="0" borderId="0" xfId="0" applyFont="1" applyAlignment="1">
      <alignment horizontal="justify" vertical="center"/>
    </xf>
    <xf numFmtId="3" fontId="20" fillId="0" borderId="30" xfId="7" applyNumberFormat="1" applyFont="1" applyBorder="1" applyAlignment="1">
      <alignment vertical="center" wrapText="1"/>
    </xf>
    <xf numFmtId="0" fontId="17" fillId="0" borderId="0" xfId="11" applyFont="1" applyAlignment="1">
      <alignment horizontal="center" vertical="center" wrapText="1"/>
    </xf>
    <xf numFmtId="0" fontId="35" fillId="13" borderId="48" xfId="7" applyFont="1" applyFill="1" applyBorder="1" applyAlignment="1" applyProtection="1">
      <alignment horizontal="center" vertical="center" wrapText="1"/>
    </xf>
    <xf numFmtId="0" fontId="35" fillId="13" borderId="49" xfId="7" applyFont="1" applyFill="1" applyBorder="1" applyAlignment="1" applyProtection="1">
      <alignment horizontal="center" vertical="center" wrapText="1"/>
    </xf>
    <xf numFmtId="0" fontId="35" fillId="13" borderId="49" xfId="7" applyFont="1" applyFill="1" applyBorder="1" applyAlignment="1" applyProtection="1">
      <alignment horizontal="left" vertical="center" wrapText="1"/>
    </xf>
    <xf numFmtId="3" fontId="35" fillId="13" borderId="49" xfId="7" applyNumberFormat="1" applyFont="1" applyFill="1" applyBorder="1" applyAlignment="1" applyProtection="1">
      <alignment vertical="center" wrapText="1"/>
    </xf>
    <xf numFmtId="0" fontId="39" fillId="13" borderId="50" xfId="7" applyFont="1" applyFill="1" applyBorder="1" applyAlignment="1" applyProtection="1">
      <alignment horizontal="center" vertical="center" wrapText="1"/>
    </xf>
    <xf numFmtId="0" fontId="39" fillId="0" borderId="18" xfId="7" applyFont="1" applyFill="1" applyBorder="1" applyAlignment="1" applyProtection="1">
      <alignment horizontal="center" vertical="center" wrapText="1"/>
    </xf>
    <xf numFmtId="164" fontId="12" fillId="9" borderId="25" xfId="7" applyNumberFormat="1" applyFont="1" applyFill="1" applyBorder="1" applyAlignment="1" applyProtection="1">
      <alignment horizontal="right" vertical="center" wrapText="1"/>
    </xf>
    <xf numFmtId="0" fontId="50" fillId="19" borderId="30" xfId="11" applyFont="1" applyFill="1" applyBorder="1" applyAlignment="1">
      <alignment horizontal="center" vertical="center"/>
    </xf>
    <xf numFmtId="0" fontId="50" fillId="19" borderId="30" xfId="11" applyFont="1" applyFill="1" applyBorder="1" applyAlignment="1">
      <alignment horizontal="center" vertical="center" wrapText="1"/>
    </xf>
    <xf numFmtId="3" fontId="50" fillId="19" borderId="30" xfId="11" applyNumberFormat="1" applyFont="1" applyFill="1" applyBorder="1" applyAlignment="1">
      <alignment horizontal="center" vertical="center"/>
    </xf>
    <xf numFmtId="0" fontId="50" fillId="20" borderId="30" xfId="11" applyFont="1" applyFill="1" applyBorder="1" applyAlignment="1">
      <alignment horizontal="center" vertical="center"/>
    </xf>
    <xf numFmtId="0" fontId="50" fillId="20" borderId="30" xfId="11" applyFont="1" applyFill="1" applyBorder="1" applyAlignment="1">
      <alignment vertical="center" wrapText="1"/>
    </xf>
    <xf numFmtId="3" fontId="50" fillId="20" borderId="30" xfId="11" applyNumberFormat="1" applyFont="1" applyFill="1" applyBorder="1" applyAlignment="1">
      <alignment vertical="center"/>
    </xf>
    <xf numFmtId="0" fontId="48" fillId="12" borderId="30" xfId="11" applyFont="1" applyFill="1" applyBorder="1" applyAlignment="1">
      <alignment horizontal="center" vertical="center"/>
    </xf>
    <xf numFmtId="0" fontId="48" fillId="12" borderId="30" xfId="11" applyFont="1" applyFill="1" applyBorder="1" applyAlignment="1">
      <alignment vertical="center" wrapText="1"/>
    </xf>
    <xf numFmtId="3" fontId="48" fillId="12" borderId="30" xfId="11" applyNumberFormat="1" applyFont="1" applyFill="1" applyBorder="1" applyAlignment="1">
      <alignment vertical="center"/>
    </xf>
    <xf numFmtId="0" fontId="7" fillId="0" borderId="30" xfId="11" applyFont="1" applyBorder="1" applyAlignment="1">
      <alignment horizontal="center" vertical="center"/>
    </xf>
    <xf numFmtId="0" fontId="7" fillId="0" borderId="30" xfId="11" applyFont="1" applyBorder="1" applyAlignment="1">
      <alignment vertical="center" wrapText="1"/>
    </xf>
    <xf numFmtId="3" fontId="7" fillId="0" borderId="30" xfId="11" applyNumberFormat="1" applyFont="1" applyBorder="1" applyAlignment="1">
      <alignment vertical="center"/>
    </xf>
    <xf numFmtId="0" fontId="51" fillId="0" borderId="30" xfId="11" applyFont="1" applyBorder="1" applyAlignment="1">
      <alignment horizontal="center" vertical="center"/>
    </xf>
    <xf numFmtId="0" fontId="43" fillId="0" borderId="30" xfId="11" applyFont="1" applyBorder="1" applyAlignment="1">
      <alignment vertical="center" wrapText="1"/>
    </xf>
    <xf numFmtId="3" fontId="51" fillId="0" borderId="30" xfId="11" applyNumberFormat="1" applyFont="1" applyBorder="1" applyAlignment="1">
      <alignment vertical="center"/>
    </xf>
    <xf numFmtId="0" fontId="48" fillId="0" borderId="30" xfId="11" applyFont="1" applyBorder="1" applyAlignment="1">
      <alignment horizontal="center" vertical="center"/>
    </xf>
    <xf numFmtId="3" fontId="48" fillId="0" borderId="30" xfId="11" applyNumberFormat="1" applyFont="1" applyBorder="1" applyAlignment="1">
      <alignment vertical="center"/>
    </xf>
    <xf numFmtId="0" fontId="50" fillId="4" borderId="30" xfId="11" applyFont="1" applyFill="1" applyBorder="1" applyAlignment="1">
      <alignment horizontal="center" vertical="center"/>
    </xf>
    <xf numFmtId="0" fontId="8" fillId="4" borderId="30" xfId="11" applyFont="1" applyFill="1" applyBorder="1" applyAlignment="1">
      <alignment vertical="center" wrapText="1"/>
    </xf>
    <xf numFmtId="3" fontId="50" fillId="4" borderId="30" xfId="11" applyNumberFormat="1" applyFont="1" applyFill="1" applyBorder="1" applyAlignment="1">
      <alignment vertical="center"/>
    </xf>
    <xf numFmtId="0" fontId="50" fillId="12" borderId="30" xfId="11" applyFont="1" applyFill="1" applyBorder="1" applyAlignment="1">
      <alignment horizontal="center" vertical="center"/>
    </xf>
    <xf numFmtId="0" fontId="8" fillId="12" borderId="30" xfId="11" applyFont="1" applyFill="1" applyBorder="1" applyAlignment="1">
      <alignment vertical="center" wrapText="1"/>
    </xf>
    <xf numFmtId="3" fontId="50" fillId="12" borderId="30" xfId="11" applyNumberFormat="1" applyFont="1" applyFill="1" applyBorder="1" applyAlignment="1">
      <alignment vertical="center"/>
    </xf>
    <xf numFmtId="0" fontId="48" fillId="0" borderId="30" xfId="11" applyFont="1" applyBorder="1" applyAlignment="1">
      <alignment vertical="center" wrapText="1"/>
    </xf>
    <xf numFmtId="0" fontId="50" fillId="4" borderId="30" xfId="11" applyFont="1" applyFill="1" applyBorder="1" applyAlignment="1">
      <alignment vertical="center" wrapText="1"/>
    </xf>
    <xf numFmtId="3" fontId="8" fillId="4" borderId="30" xfId="11" applyNumberFormat="1" applyFont="1" applyFill="1" applyBorder="1" applyAlignment="1">
      <alignment vertical="center"/>
    </xf>
    <xf numFmtId="3" fontId="7" fillId="12" borderId="30" xfId="11" applyNumberFormat="1" applyFont="1" applyFill="1" applyBorder="1" applyAlignment="1">
      <alignment vertical="center"/>
    </xf>
    <xf numFmtId="0" fontId="50" fillId="4" borderId="30" xfId="10" applyFont="1" applyFill="1" applyBorder="1" applyAlignment="1">
      <alignment vertical="center" wrapText="1"/>
    </xf>
    <xf numFmtId="0" fontId="50" fillId="12" borderId="30" xfId="11" applyFont="1" applyFill="1" applyBorder="1" applyAlignment="1">
      <alignment vertical="center" wrapText="1"/>
    </xf>
    <xf numFmtId="3" fontId="8" fillId="12" borderId="30" xfId="11" applyNumberFormat="1" applyFont="1" applyFill="1" applyBorder="1" applyAlignment="1">
      <alignment vertical="center"/>
    </xf>
    <xf numFmtId="0" fontId="8" fillId="2" borderId="30" xfId="7" applyFont="1" applyFill="1" applyBorder="1" applyAlignment="1">
      <alignment horizontal="center" vertical="center"/>
    </xf>
    <xf numFmtId="0" fontId="47" fillId="15" borderId="30" xfId="7" applyFont="1" applyFill="1" applyBorder="1" applyAlignment="1">
      <alignment horizontal="center" vertical="center"/>
    </xf>
    <xf numFmtId="0" fontId="8" fillId="16" borderId="30" xfId="7" applyFont="1" applyFill="1" applyBorder="1" applyAlignment="1">
      <alignment horizontal="center" vertical="center"/>
    </xf>
    <xf numFmtId="0" fontId="7" fillId="16" borderId="30" xfId="7" applyFont="1" applyFill="1" applyBorder="1" applyAlignment="1">
      <alignment horizontal="center" vertical="center"/>
    </xf>
    <xf numFmtId="0" fontId="7" fillId="0" borderId="30" xfId="7" applyFont="1" applyBorder="1" applyAlignment="1">
      <alignment horizontal="center" vertical="center" wrapText="1"/>
    </xf>
    <xf numFmtId="0" fontId="20" fillId="0" borderId="30" xfId="7" applyFont="1" applyBorder="1" applyAlignment="1">
      <alignment horizontal="center" vertical="center"/>
    </xf>
    <xf numFmtId="3" fontId="7" fillId="0" borderId="30" xfId="7" applyNumberFormat="1" applyFont="1" applyBorder="1" applyAlignment="1">
      <alignment horizontal="right" vertical="center"/>
    </xf>
    <xf numFmtId="0" fontId="20" fillId="0" borderId="30" xfId="7" applyFont="1" applyBorder="1" applyAlignment="1">
      <alignment vertical="center"/>
    </xf>
    <xf numFmtId="3" fontId="7" fillId="0" borderId="30" xfId="7" applyNumberFormat="1" applyFont="1" applyBorder="1" applyAlignment="1">
      <alignment vertical="center"/>
    </xf>
    <xf numFmtId="0" fontId="48" fillId="0" borderId="30" xfId="7" applyFont="1" applyBorder="1" applyAlignment="1">
      <alignment horizontal="center" vertical="center"/>
    </xf>
    <xf numFmtId="0" fontId="48" fillId="0" borderId="30" xfId="7" applyFont="1" applyBorder="1" applyAlignment="1">
      <alignment vertical="center"/>
    </xf>
    <xf numFmtId="3" fontId="48" fillId="0" borderId="30" xfId="7" applyNumberFormat="1" applyFont="1" applyBorder="1" applyAlignment="1">
      <alignment vertical="center"/>
    </xf>
    <xf numFmtId="0" fontId="7" fillId="0" borderId="30" xfId="7" applyFont="1" applyBorder="1" applyAlignment="1">
      <alignment vertical="center"/>
    </xf>
    <xf numFmtId="3" fontId="7" fillId="0" borderId="30" xfId="7" applyNumberFormat="1" applyFont="1" applyBorder="1" applyAlignment="1">
      <alignment horizontal="right" vertical="center" wrapText="1"/>
    </xf>
    <xf numFmtId="3" fontId="20" fillId="0" borderId="30" xfId="7" applyNumberFormat="1" applyFont="1" applyBorder="1" applyAlignment="1">
      <alignment horizontal="right" vertical="center" wrapText="1"/>
    </xf>
    <xf numFmtId="3" fontId="8" fillId="2" borderId="30" xfId="7" applyNumberFormat="1" applyFont="1" applyFill="1" applyBorder="1" applyAlignment="1">
      <alignment vertical="center"/>
    </xf>
    <xf numFmtId="49" fontId="7" fillId="0" borderId="30" xfId="7" applyNumberFormat="1" applyFont="1" applyBorder="1" applyAlignment="1">
      <alignment horizontal="center" vertical="center"/>
    </xf>
    <xf numFmtId="3" fontId="20" fillId="0" borderId="30" xfId="7" applyNumberFormat="1" applyFont="1" applyBorder="1" applyAlignment="1">
      <alignment vertical="center"/>
    </xf>
    <xf numFmtId="1" fontId="20" fillId="0" borderId="30" xfId="7" applyNumberFormat="1" applyFont="1" applyBorder="1" applyAlignment="1">
      <alignment vertical="center" wrapText="1"/>
    </xf>
    <xf numFmtId="3" fontId="11" fillId="17" borderId="30" xfId="7" applyNumberFormat="1" applyFont="1" applyFill="1" applyBorder="1" applyAlignment="1">
      <alignment horizontal="right"/>
    </xf>
    <xf numFmtId="0" fontId="46" fillId="14" borderId="54" xfId="27" applyFont="1" applyFill="1" applyBorder="1" applyAlignment="1">
      <alignment horizontal="center" vertical="center" wrapText="1"/>
    </xf>
    <xf numFmtId="0" fontId="46" fillId="14" borderId="54" xfId="27" applyFont="1" applyFill="1" applyBorder="1" applyAlignment="1">
      <alignment horizontal="left" vertical="center" wrapText="1"/>
    </xf>
    <xf numFmtId="0" fontId="52" fillId="14" borderId="0" xfId="27" applyFont="1" applyFill="1" applyAlignment="1">
      <alignment horizontal="left" vertical="top" wrapText="1"/>
    </xf>
    <xf numFmtId="39" fontId="46" fillId="14" borderId="54" xfId="27" applyNumberFormat="1" applyFont="1" applyFill="1" applyBorder="1" applyAlignment="1">
      <alignment horizontal="right" vertical="center" wrapText="1"/>
    </xf>
    <xf numFmtId="39" fontId="45" fillId="4" borderId="54" xfId="27" applyNumberFormat="1" applyFont="1" applyFill="1" applyBorder="1" applyAlignment="1">
      <alignment horizontal="right" vertical="center" wrapText="1"/>
    </xf>
    <xf numFmtId="0" fontId="45" fillId="12" borderId="54" xfId="27" applyFont="1" applyFill="1" applyBorder="1" applyAlignment="1">
      <alignment horizontal="center" vertical="center" wrapText="1"/>
    </xf>
    <xf numFmtId="0" fontId="45" fillId="12" borderId="54" xfId="27" applyFont="1" applyFill="1" applyBorder="1" applyAlignment="1">
      <alignment horizontal="left" vertical="center" wrapText="1"/>
    </xf>
    <xf numFmtId="39" fontId="45" fillId="12" borderId="54" xfId="27" applyNumberFormat="1" applyFont="1" applyFill="1" applyBorder="1" applyAlignment="1">
      <alignment horizontal="right" vertical="center" wrapText="1"/>
    </xf>
    <xf numFmtId="0" fontId="46" fillId="16" borderId="54" xfId="27" applyFont="1" applyFill="1" applyBorder="1" applyAlignment="1">
      <alignment horizontal="center" vertical="center" wrapText="1"/>
    </xf>
    <xf numFmtId="0" fontId="46" fillId="16" borderId="54" xfId="27" applyFont="1" applyFill="1" applyBorder="1" applyAlignment="1">
      <alignment horizontal="left" vertical="center" wrapText="1"/>
    </xf>
    <xf numFmtId="39" fontId="46" fillId="16" borderId="54" xfId="27" applyNumberFormat="1" applyFont="1" applyFill="1" applyBorder="1" applyAlignment="1">
      <alignment horizontal="right" vertical="center" wrapText="1"/>
    </xf>
    <xf numFmtId="167" fontId="11" fillId="11" borderId="43" xfId="8" applyNumberFormat="1" applyFont="1" applyFill="1" applyBorder="1" applyAlignment="1" applyProtection="1">
      <alignment horizontal="center" vertical="center" wrapText="1"/>
    </xf>
    <xf numFmtId="167" fontId="11" fillId="11" borderId="44" xfId="8" applyNumberFormat="1" applyFont="1" applyFill="1" applyBorder="1" applyAlignment="1" applyProtection="1">
      <alignment horizontal="center" vertical="center" wrapText="1"/>
    </xf>
    <xf numFmtId="167" fontId="11" fillId="11" borderId="45" xfId="8" applyNumberFormat="1" applyFont="1" applyFill="1" applyBorder="1" applyAlignment="1" applyProtection="1">
      <alignment horizontal="center" vertical="center" wrapText="1"/>
    </xf>
    <xf numFmtId="0" fontId="12" fillId="2" borderId="17" xfId="7" applyFont="1" applyFill="1" applyBorder="1" applyAlignment="1" applyProtection="1">
      <alignment horizontal="center" vertical="center" wrapText="1"/>
    </xf>
    <xf numFmtId="0" fontId="12" fillId="2" borderId="18" xfId="7" applyFont="1" applyFill="1" applyBorder="1" applyAlignment="1" applyProtection="1">
      <alignment horizontal="center" vertical="center" wrapText="1"/>
    </xf>
    <xf numFmtId="0" fontId="12" fillId="2" borderId="38" xfId="7" applyFont="1" applyFill="1" applyBorder="1" applyAlignment="1" applyProtection="1">
      <alignment horizontal="center" vertical="center" wrapText="1"/>
    </xf>
    <xf numFmtId="0" fontId="12" fillId="2" borderId="25" xfId="7" applyFont="1" applyFill="1" applyBorder="1" applyAlignment="1" applyProtection="1">
      <alignment horizontal="center" vertical="center" wrapText="1"/>
    </xf>
    <xf numFmtId="0" fontId="12" fillId="2" borderId="39" xfId="7" applyFont="1" applyFill="1" applyBorder="1" applyAlignment="1" applyProtection="1">
      <alignment horizontal="center" vertical="center" wrapText="1"/>
    </xf>
    <xf numFmtId="0" fontId="12" fillId="2" borderId="40" xfId="7" applyFont="1" applyFill="1" applyBorder="1" applyAlignment="1" applyProtection="1">
      <alignment horizontal="center" vertical="center" wrapText="1"/>
    </xf>
    <xf numFmtId="0" fontId="12" fillId="2" borderId="24" xfId="7" applyFont="1" applyFill="1" applyBorder="1" applyAlignment="1" applyProtection="1">
      <alignment horizontal="center" vertical="center" wrapText="1"/>
    </xf>
    <xf numFmtId="0" fontId="12" fillId="2" borderId="31" xfId="7" applyFont="1" applyFill="1" applyBorder="1" applyAlignment="1" applyProtection="1">
      <alignment horizontal="center" vertical="center" wrapText="1"/>
    </xf>
    <xf numFmtId="0" fontId="12" fillId="2" borderId="32" xfId="7" applyFont="1" applyFill="1" applyBorder="1" applyAlignment="1" applyProtection="1">
      <alignment horizontal="center" vertical="center" wrapText="1"/>
    </xf>
    <xf numFmtId="0" fontId="12" fillId="2" borderId="16" xfId="7" applyFont="1" applyFill="1" applyBorder="1" applyAlignment="1" applyProtection="1">
      <alignment horizontal="center" vertical="center" wrapText="1"/>
    </xf>
    <xf numFmtId="0" fontId="12" fillId="2" borderId="41" xfId="7" applyFont="1" applyFill="1" applyBorder="1" applyAlignment="1" applyProtection="1">
      <alignment horizontal="center" vertical="center" wrapText="1"/>
    </xf>
    <xf numFmtId="0" fontId="12" fillId="2" borderId="0" xfId="7" applyFont="1" applyFill="1" applyBorder="1" applyAlignment="1" applyProtection="1">
      <alignment horizontal="center" vertical="center" wrapText="1"/>
    </xf>
    <xf numFmtId="0" fontId="12" fillId="2" borderId="42" xfId="7" applyFont="1" applyFill="1" applyBorder="1" applyAlignment="1" applyProtection="1">
      <alignment horizontal="center" vertical="center" wrapText="1"/>
    </xf>
    <xf numFmtId="0" fontId="35" fillId="2" borderId="16" xfId="7" applyFont="1" applyFill="1" applyBorder="1" applyAlignment="1" applyProtection="1">
      <alignment horizontal="center" vertical="center" wrapText="1"/>
      <protection locked="0"/>
    </xf>
    <xf numFmtId="0" fontId="35" fillId="2" borderId="21" xfId="7" applyFont="1" applyFill="1" applyBorder="1" applyAlignment="1" applyProtection="1">
      <alignment horizontal="center" vertical="center" wrapText="1"/>
      <protection locked="0"/>
    </xf>
    <xf numFmtId="0" fontId="19" fillId="9" borderId="17" xfId="7" applyFont="1" applyFill="1" applyBorder="1" applyAlignment="1" applyProtection="1">
      <alignment horizontal="center" vertical="center"/>
    </xf>
    <xf numFmtId="0" fontId="19" fillId="9" borderId="18" xfId="7" applyFont="1" applyFill="1" applyBorder="1" applyAlignment="1" applyProtection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</xf>
    <xf numFmtId="0" fontId="19" fillId="9" borderId="29" xfId="7" applyFont="1" applyFill="1" applyBorder="1" applyAlignment="1" applyProtection="1">
      <alignment horizontal="center" vertical="center" wrapText="1"/>
    </xf>
    <xf numFmtId="0" fontId="19" fillId="9" borderId="21" xfId="7" applyFont="1" applyFill="1" applyBorder="1" applyAlignment="1" applyProtection="1">
      <alignment horizontal="center" vertical="center" wrapText="1"/>
    </xf>
    <xf numFmtId="0" fontId="19" fillId="9" borderId="39" xfId="7" applyFont="1" applyFill="1" applyBorder="1" applyAlignment="1" applyProtection="1">
      <alignment horizontal="center" vertical="center"/>
    </xf>
    <xf numFmtId="0" fontId="19" fillId="9" borderId="40" xfId="7" applyFont="1" applyFill="1" applyBorder="1" applyAlignment="1" applyProtection="1">
      <alignment horizontal="center" vertical="center"/>
    </xf>
    <xf numFmtId="0" fontId="19" fillId="9" borderId="24" xfId="7" applyFont="1" applyFill="1" applyBorder="1" applyAlignment="1" applyProtection="1">
      <alignment horizontal="center" vertical="center"/>
    </xf>
    <xf numFmtId="0" fontId="19" fillId="9" borderId="31" xfId="7" applyFont="1" applyFill="1" applyBorder="1" applyAlignment="1" applyProtection="1">
      <alignment horizontal="center" vertical="center"/>
    </xf>
    <xf numFmtId="0" fontId="19" fillId="9" borderId="32" xfId="7" applyFont="1" applyFill="1" applyBorder="1" applyAlignment="1" applyProtection="1">
      <alignment horizontal="center" vertical="center"/>
    </xf>
    <xf numFmtId="0" fontId="19" fillId="9" borderId="16" xfId="7" applyFont="1" applyFill="1" applyBorder="1" applyAlignment="1" applyProtection="1">
      <alignment horizontal="center" vertical="center"/>
    </xf>
    <xf numFmtId="0" fontId="12" fillId="2" borderId="33" xfId="7" applyFont="1" applyFill="1" applyBorder="1" applyAlignment="1" applyProtection="1">
      <alignment horizontal="center" vertical="center" wrapText="1"/>
    </xf>
    <xf numFmtId="0" fontId="12" fillId="2" borderId="34" xfId="7" applyFont="1" applyFill="1" applyBorder="1" applyAlignment="1" applyProtection="1">
      <alignment horizontal="center" vertical="center" wrapText="1"/>
    </xf>
    <xf numFmtId="0" fontId="11" fillId="0" borderId="0" xfId="7" applyFont="1" applyBorder="1" applyAlignment="1" applyProtection="1">
      <alignment horizontal="center"/>
    </xf>
    <xf numFmtId="0" fontId="12" fillId="2" borderId="10" xfId="7" applyFont="1" applyFill="1" applyBorder="1" applyAlignment="1" applyProtection="1">
      <alignment horizontal="center" vertical="center"/>
    </xf>
    <xf numFmtId="0" fontId="12" fillId="2" borderId="17" xfId="7" applyFont="1" applyFill="1" applyBorder="1" applyAlignment="1" applyProtection="1">
      <alignment horizontal="center" vertical="center"/>
    </xf>
    <xf numFmtId="0" fontId="12" fillId="2" borderId="11" xfId="7" applyFont="1" applyFill="1" applyBorder="1" applyAlignment="1" applyProtection="1">
      <alignment horizontal="center" vertical="center" wrapText="1"/>
    </xf>
    <xf numFmtId="0" fontId="12" fillId="8" borderId="11" xfId="7" applyFont="1" applyFill="1" applyBorder="1" applyAlignment="1" applyProtection="1">
      <alignment horizontal="center" vertical="center" wrapText="1"/>
    </xf>
    <xf numFmtId="0" fontId="12" fillId="8" borderId="18" xfId="7" applyFont="1" applyFill="1" applyBorder="1" applyAlignment="1" applyProtection="1">
      <alignment horizontal="center" vertical="center" wrapText="1"/>
    </xf>
    <xf numFmtId="0" fontId="12" fillId="8" borderId="12" xfId="7" applyFont="1" applyFill="1" applyBorder="1" applyAlignment="1" applyProtection="1">
      <alignment horizontal="center" vertical="center" wrapText="1"/>
    </xf>
    <xf numFmtId="0" fontId="12" fillId="8" borderId="19" xfId="7" applyFont="1" applyFill="1" applyBorder="1" applyAlignment="1" applyProtection="1">
      <alignment horizontal="center" vertical="center" wrapText="1"/>
    </xf>
    <xf numFmtId="0" fontId="12" fillId="8" borderId="13" xfId="7" applyFont="1" applyFill="1" applyBorder="1" applyAlignment="1" applyProtection="1">
      <alignment horizontal="center" vertical="center" wrapText="1"/>
    </xf>
    <xf numFmtId="0" fontId="12" fillId="8" borderId="14" xfId="7" applyFont="1" applyFill="1" applyBorder="1" applyAlignment="1" applyProtection="1">
      <alignment horizontal="center" vertical="center" wrapText="1"/>
    </xf>
    <xf numFmtId="0" fontId="12" fillId="8" borderId="15" xfId="7" applyFont="1" applyFill="1" applyBorder="1" applyAlignment="1" applyProtection="1">
      <alignment horizontal="center" vertical="center" wrapText="1"/>
    </xf>
    <xf numFmtId="0" fontId="12" fillId="8" borderId="20" xfId="7" applyFont="1" applyFill="1" applyBorder="1" applyAlignment="1" applyProtection="1">
      <alignment horizontal="center" vertical="center" wrapText="1"/>
    </xf>
    <xf numFmtId="0" fontId="11" fillId="0" borderId="0" xfId="9" applyFont="1" applyAlignment="1">
      <alignment horizontal="center" vertical="center"/>
    </xf>
    <xf numFmtId="0" fontId="12" fillId="3" borderId="6" xfId="9" applyFont="1" applyFill="1" applyBorder="1" applyAlignment="1">
      <alignment horizontal="center" vertical="center"/>
    </xf>
    <xf numFmtId="0" fontId="12" fillId="3" borderId="2" xfId="9" applyFont="1" applyFill="1" applyBorder="1" applyAlignment="1">
      <alignment horizontal="center" vertical="center"/>
    </xf>
    <xf numFmtId="0" fontId="23" fillId="0" borderId="30" xfId="0" applyFont="1" applyBorder="1" applyAlignment="1">
      <alignment horizontal="left" vertical="center" wrapText="1" readingOrder="1"/>
    </xf>
    <xf numFmtId="49" fontId="17" fillId="0" borderId="0" xfId="10" applyNumberFormat="1" applyFont="1" applyAlignment="1">
      <alignment horizontal="center" vertical="center" wrapText="1"/>
    </xf>
    <xf numFmtId="0" fontId="45" fillId="4" borderId="54" xfId="27" applyFont="1" applyFill="1" applyBorder="1" applyAlignment="1">
      <alignment horizontal="center" vertical="center" wrapText="1"/>
    </xf>
    <xf numFmtId="0" fontId="17" fillId="0" borderId="0" xfId="11" applyFont="1" applyAlignment="1">
      <alignment horizontal="center" vertical="center" wrapText="1"/>
    </xf>
    <xf numFmtId="0" fontId="50" fillId="19" borderId="66" xfId="11" applyFont="1" applyFill="1" applyBorder="1" applyAlignment="1">
      <alignment horizontal="center" vertical="center" wrapText="1"/>
    </xf>
    <xf numFmtId="0" fontId="50" fillId="19" borderId="67" xfId="11" applyFont="1" applyFill="1" applyBorder="1" applyAlignment="1">
      <alignment horizontal="center" vertical="center" wrapText="1"/>
    </xf>
    <xf numFmtId="0" fontId="50" fillId="19" borderId="68" xfId="11" applyFont="1" applyFill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8" fillId="2" borderId="30" xfId="7" applyFont="1" applyFill="1" applyBorder="1" applyAlignment="1">
      <alignment horizontal="center" vertical="center"/>
    </xf>
    <xf numFmtId="0" fontId="8" fillId="16" borderId="30" xfId="7" applyFont="1" applyFill="1" applyBorder="1" applyAlignment="1">
      <alignment horizontal="center" vertical="center" wrapText="1"/>
    </xf>
    <xf numFmtId="44" fontId="8" fillId="2" borderId="30" xfId="12" applyFont="1" applyFill="1" applyBorder="1" applyAlignment="1">
      <alignment horizontal="center" vertical="center"/>
    </xf>
    <xf numFmtId="44" fontId="11" fillId="17" borderId="30" xfId="12" applyFont="1" applyFill="1" applyBorder="1" applyAlignment="1">
      <alignment horizontal="center"/>
    </xf>
    <xf numFmtId="0" fontId="8" fillId="18" borderId="63" xfId="7" applyFont="1" applyFill="1" applyBorder="1" applyAlignment="1">
      <alignment horizontal="center" vertical="center" wrapText="1"/>
    </xf>
    <xf numFmtId="0" fontId="8" fillId="18" borderId="64" xfId="7" applyFont="1" applyFill="1" applyBorder="1" applyAlignment="1">
      <alignment horizontal="center" vertical="center" wrapText="1"/>
    </xf>
    <xf numFmtId="0" fontId="8" fillId="18" borderId="65" xfId="7" applyFont="1" applyFill="1" applyBorder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8" fillId="18" borderId="55" xfId="7" applyFont="1" applyFill="1" applyBorder="1" applyAlignment="1">
      <alignment horizontal="center" vertical="center" wrapText="1"/>
    </xf>
    <xf numFmtId="0" fontId="8" fillId="18" borderId="59" xfId="7" applyFont="1" applyFill="1" applyBorder="1" applyAlignment="1">
      <alignment horizontal="center" vertical="center" wrapText="1"/>
    </xf>
    <xf numFmtId="0" fontId="8" fillId="18" borderId="56" xfId="7" applyFont="1" applyFill="1" applyBorder="1" applyAlignment="1">
      <alignment horizontal="center" vertical="center" wrapText="1"/>
    </xf>
    <xf numFmtId="0" fontId="8" fillId="18" borderId="0" xfId="7" applyFont="1" applyFill="1" applyAlignment="1">
      <alignment horizontal="center" vertical="center" wrapText="1"/>
    </xf>
    <xf numFmtId="0" fontId="8" fillId="18" borderId="57" xfId="7" applyFont="1" applyFill="1" applyBorder="1" applyAlignment="1">
      <alignment horizontal="center" vertical="center" wrapText="1"/>
    </xf>
    <xf numFmtId="0" fontId="8" fillId="18" borderId="58" xfId="7" applyFont="1" applyFill="1" applyBorder="1" applyAlignment="1">
      <alignment horizontal="center" vertical="center" wrapText="1"/>
    </xf>
  </cellXfs>
  <cellStyles count="29">
    <cellStyle name="Normalny" xfId="0" builtinId="0"/>
    <cellStyle name="Normalny 10" xfId="3" xr:uid="{00000000-0005-0000-0000-000001000000}"/>
    <cellStyle name="Normalny 11" xfId="20" xr:uid="{00000000-0005-0000-0000-000002000000}"/>
    <cellStyle name="Normalny 12" xfId="21" xr:uid="{00000000-0005-0000-0000-000003000000}"/>
    <cellStyle name="Normalny 12 2" xfId="26" xr:uid="{00000000-0005-0000-0000-000004000000}"/>
    <cellStyle name="Normalny 13" xfId="24" xr:uid="{00000000-0005-0000-0000-000005000000}"/>
    <cellStyle name="Normalny 13 2" xfId="23" xr:uid="{00000000-0005-0000-0000-000006000000}"/>
    <cellStyle name="Normalny 14" xfId="27" xr:uid="{00000000-0005-0000-0000-000007000000}"/>
    <cellStyle name="Normalny 15" xfId="28" xr:uid="{00000000-0005-0000-0000-000008000000}"/>
    <cellStyle name="Normalny 2" xfId="1" xr:uid="{00000000-0005-0000-0000-000009000000}"/>
    <cellStyle name="Normalny 2 2" xfId="22" xr:uid="{00000000-0005-0000-0000-00000A000000}"/>
    <cellStyle name="Normalny 2 2 2" xfId="7" xr:uid="{00000000-0005-0000-0000-00000B000000}"/>
    <cellStyle name="Normalny 2 2 3" xfId="25" xr:uid="{00000000-0005-0000-0000-00000C000000}"/>
    <cellStyle name="Normalny 2 3" xfId="9" xr:uid="{00000000-0005-0000-0000-00000D000000}"/>
    <cellStyle name="Normalny 2 4" xfId="16" xr:uid="{00000000-0005-0000-0000-00000E000000}"/>
    <cellStyle name="Normalny 3" xfId="13" xr:uid="{00000000-0005-0000-0000-00000F000000}"/>
    <cellStyle name="Normalny 3 2" xfId="14" xr:uid="{00000000-0005-0000-0000-000010000000}"/>
    <cellStyle name="Normalny 4" xfId="15" xr:uid="{00000000-0005-0000-0000-000011000000}"/>
    <cellStyle name="Normalny 5" xfId="17" xr:uid="{00000000-0005-0000-0000-000012000000}"/>
    <cellStyle name="Normalny 6" xfId="2" xr:uid="{00000000-0005-0000-0000-000013000000}"/>
    <cellStyle name="Normalny 6 2" xfId="11" xr:uid="{00000000-0005-0000-0000-000014000000}"/>
    <cellStyle name="Normalny 6 3" xfId="10" xr:uid="{00000000-0005-0000-0000-000015000000}"/>
    <cellStyle name="Normalny 7" xfId="18" xr:uid="{00000000-0005-0000-0000-000016000000}"/>
    <cellStyle name="Normalny 7 2" xfId="5" xr:uid="{00000000-0005-0000-0000-000017000000}"/>
    <cellStyle name="Normalny 8" xfId="19" xr:uid="{00000000-0005-0000-0000-000018000000}"/>
    <cellStyle name="Normalny 8 2" xfId="4" xr:uid="{00000000-0005-0000-0000-000019000000}"/>
    <cellStyle name="Normalny 9" xfId="6" xr:uid="{00000000-0005-0000-0000-00001A000000}"/>
    <cellStyle name="Walutowy 3 2 2" xfId="8" xr:uid="{00000000-0005-0000-0000-00001B000000}"/>
    <cellStyle name="Walutowy 3 3" xfId="12" xr:uid="{00000000-0005-0000-0000-00001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2adc03ddaa974343b1da40e471b84874_26_08_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or&#243;wnanie_31_10_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aport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</sheetNames>
    <sheetDataSet>
      <sheetData sheetId="0">
        <row r="1">
          <cell r="N1">
            <v>2020</v>
          </cell>
        </row>
        <row r="3">
          <cell r="N3" t="str">
            <v>A7F0</v>
          </cell>
        </row>
      </sheetData>
      <sheetData sheetId="1"/>
      <sheetData sheetId="2"/>
      <sheetData sheetId="3"/>
      <sheetData sheetId="4">
        <row r="1">
          <cell r="M1">
            <v>2033</v>
          </cell>
        </row>
      </sheetData>
      <sheetData sheetId="5">
        <row r="1">
          <cell r="D1" t="str">
            <v>ver 2020-08-14a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cja"/>
      <sheetName val="WPF=Budzet (rok N)"/>
      <sheetName val="WPF a wykonanie (wybr okr)"/>
      <sheetName val="OpisZmian"/>
      <sheetName val="DaneBudzet"/>
      <sheetName val="DaneZrodlowe"/>
    </sheetNames>
    <sheetDataSet>
      <sheetData sheetId="0">
        <row r="4">
          <cell r="B4">
            <v>2019</v>
          </cell>
        </row>
        <row r="5">
          <cell r="B5">
            <v>4</v>
          </cell>
          <cell r="H5" t="b">
            <v>1</v>
          </cell>
        </row>
      </sheetData>
      <sheetData sheetId="1"/>
      <sheetData sheetId="2" refreshError="1"/>
      <sheetData sheetId="3" refreshError="1"/>
      <sheetData sheetId="4" refreshError="1"/>
      <sheetData sheetId="5">
        <row r="1">
          <cell r="O1">
            <v>2019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_WPF_bazowy"/>
      <sheetName val="WPF_Analiza"/>
      <sheetName val="rysunki"/>
      <sheetName val="opis zmian"/>
      <sheetName val="definicja"/>
      <sheetName val="DaneZrodlowe"/>
      <sheetName val="DaneZrodloweDoWsk"/>
    </sheetNames>
    <sheetDataSet>
      <sheetData sheetId="0"/>
      <sheetData sheetId="1">
        <row r="1">
          <cell r="L1" t="str">
            <v>Ostatni rok analizy:</v>
          </cell>
        </row>
      </sheetData>
      <sheetData sheetId="2" refreshError="1"/>
      <sheetData sheetId="3" refreshError="1"/>
      <sheetData sheetId="4">
        <row r="1">
          <cell r="D1" t="str">
            <v>ver 2019-11-26b</v>
          </cell>
        </row>
      </sheetData>
      <sheetData sheetId="5">
        <row r="1">
          <cell r="N1">
            <v>2020</v>
          </cell>
          <cell r="Q1">
            <v>2033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87"/>
  <sheetViews>
    <sheetView topLeftCell="A45" zoomScale="93" zoomScaleNormal="93" workbookViewId="0">
      <selection activeCell="L45" sqref="L1:L1048576"/>
    </sheetView>
  </sheetViews>
  <sheetFormatPr defaultColWidth="11.6640625" defaultRowHeight="12.75"/>
  <cols>
    <col min="1" max="1" width="5.6640625" style="39" customWidth="1"/>
    <col min="2" max="2" width="6.6640625" style="39" customWidth="1"/>
    <col min="3" max="3" width="9.33203125" style="40" customWidth="1"/>
    <col min="4" max="4" width="7.33203125" style="40" customWidth="1"/>
    <col min="5" max="5" width="81.1640625" style="41" customWidth="1"/>
    <col min="6" max="8" width="14.33203125" style="41" customWidth="1"/>
    <col min="9" max="9" width="12.5" style="41" customWidth="1"/>
    <col min="10" max="10" width="16.5" style="41" customWidth="1"/>
    <col min="11" max="11" width="29" style="42" customWidth="1"/>
    <col min="12" max="12" width="10.83203125" style="176" hidden="1" customWidth="1"/>
    <col min="13" max="13" width="15.5" style="190" bestFit="1" customWidth="1"/>
    <col min="14" max="14" width="13" style="191" bestFit="1" customWidth="1"/>
    <col min="15" max="15" width="17.1640625" style="191" customWidth="1"/>
    <col min="16" max="16" width="11.6640625" style="191"/>
    <col min="17" max="17" width="11.6640625" style="192"/>
    <col min="18" max="16384" width="11.6640625" style="41"/>
  </cols>
  <sheetData>
    <row r="1" spans="1:17" ht="12" customHeight="1"/>
    <row r="2" spans="1:17" ht="15.75" customHeight="1">
      <c r="A2" s="464" t="s">
        <v>133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</row>
    <row r="3" spans="1:17" ht="15" customHeight="1" thickBot="1">
      <c r="A3" s="44"/>
      <c r="B3" s="44"/>
      <c r="C3" s="45"/>
      <c r="D3" s="45"/>
      <c r="E3" s="46"/>
      <c r="F3" s="46"/>
      <c r="G3" s="46"/>
      <c r="H3" s="46"/>
      <c r="I3" s="46"/>
      <c r="J3" s="46"/>
      <c r="K3" s="47"/>
    </row>
    <row r="4" spans="1:17" ht="19.5" customHeight="1" thickBot="1">
      <c r="A4" s="465" t="s">
        <v>1</v>
      </c>
      <c r="B4" s="467" t="s">
        <v>0</v>
      </c>
      <c r="C4" s="468" t="s">
        <v>48</v>
      </c>
      <c r="D4" s="470" t="s">
        <v>31</v>
      </c>
      <c r="E4" s="468" t="s">
        <v>32</v>
      </c>
      <c r="F4" s="468" t="s">
        <v>33</v>
      </c>
      <c r="G4" s="472" t="s">
        <v>34</v>
      </c>
      <c r="H4" s="473"/>
      <c r="I4" s="473"/>
      <c r="J4" s="473"/>
      <c r="K4" s="474" t="s">
        <v>49</v>
      </c>
      <c r="L4" s="449"/>
    </row>
    <row r="5" spans="1:17" ht="95.25" customHeight="1" thickBot="1">
      <c r="A5" s="466"/>
      <c r="B5" s="437"/>
      <c r="C5" s="469"/>
      <c r="D5" s="471"/>
      <c r="E5" s="469"/>
      <c r="F5" s="469"/>
      <c r="G5" s="48" t="s">
        <v>50</v>
      </c>
      <c r="H5" s="48" t="s">
        <v>51</v>
      </c>
      <c r="I5" s="48" t="s">
        <v>52</v>
      </c>
      <c r="J5" s="48" t="s">
        <v>53</v>
      </c>
      <c r="K5" s="475"/>
      <c r="L5" s="450"/>
    </row>
    <row r="6" spans="1:17" s="53" customFormat="1" ht="15" customHeight="1" thickBot="1">
      <c r="A6" s="234" t="s">
        <v>2</v>
      </c>
      <c r="B6" s="49" t="s">
        <v>3</v>
      </c>
      <c r="C6" s="49" t="s">
        <v>4</v>
      </c>
      <c r="D6" s="49" t="s">
        <v>5</v>
      </c>
      <c r="E6" s="50" t="s">
        <v>6</v>
      </c>
      <c r="F6" s="49" t="s">
        <v>39</v>
      </c>
      <c r="G6" s="49" t="s">
        <v>38</v>
      </c>
      <c r="H6" s="49" t="s">
        <v>54</v>
      </c>
      <c r="I6" s="49" t="s">
        <v>37</v>
      </c>
      <c r="J6" s="49" t="s">
        <v>55</v>
      </c>
      <c r="K6" s="51" t="s">
        <v>56</v>
      </c>
      <c r="L6" s="49" t="s">
        <v>76</v>
      </c>
      <c r="M6" s="52"/>
      <c r="N6" s="166"/>
      <c r="O6" s="166"/>
      <c r="P6" s="166"/>
    </row>
    <row r="7" spans="1:17" s="56" customFormat="1" ht="27.95" customHeight="1" thickBot="1">
      <c r="A7" s="451" t="s">
        <v>57</v>
      </c>
      <c r="B7" s="452"/>
      <c r="C7" s="452"/>
      <c r="D7" s="452"/>
      <c r="E7" s="452"/>
      <c r="F7" s="54">
        <f>SUM(G7:J7)</f>
        <v>7330474</v>
      </c>
      <c r="G7" s="54">
        <f>SUM(G8:G12)</f>
        <v>171304</v>
      </c>
      <c r="H7" s="54">
        <f>SUM(H8:H12)</f>
        <v>1500000</v>
      </c>
      <c r="I7" s="54">
        <f>SUM(I8:I12)</f>
        <v>0</v>
      </c>
      <c r="J7" s="54">
        <f>4000000+159170+5500000-4000000</f>
        <v>5659170</v>
      </c>
      <c r="K7" s="55"/>
      <c r="L7" s="177"/>
      <c r="M7" s="63"/>
      <c r="N7" s="167"/>
      <c r="O7" s="167"/>
      <c r="P7" s="167"/>
      <c r="Q7" s="64"/>
    </row>
    <row r="8" spans="1:17" s="64" customFormat="1" ht="36.75" customHeight="1" thickBot="1">
      <c r="A8" s="312" t="s">
        <v>2</v>
      </c>
      <c r="B8" s="313">
        <v>600</v>
      </c>
      <c r="C8" s="313">
        <v>60014</v>
      </c>
      <c r="D8" s="313">
        <v>6050</v>
      </c>
      <c r="E8" s="314" t="s">
        <v>58</v>
      </c>
      <c r="F8" s="315">
        <v>0</v>
      </c>
      <c r="G8" s="316">
        <v>0</v>
      </c>
      <c r="H8" s="316"/>
      <c r="I8" s="317"/>
      <c r="J8" s="318" t="s">
        <v>387</v>
      </c>
      <c r="K8" s="319"/>
      <c r="L8" s="106"/>
      <c r="M8" s="63"/>
      <c r="N8" s="167"/>
      <c r="O8" s="167"/>
      <c r="P8" s="167"/>
    </row>
    <row r="9" spans="1:17" s="64" customFormat="1" ht="31.5" customHeight="1" thickBot="1">
      <c r="A9" s="65" t="s">
        <v>3</v>
      </c>
      <c r="B9" s="66">
        <v>600</v>
      </c>
      <c r="C9" s="66">
        <v>60014</v>
      </c>
      <c r="D9" s="66">
        <v>6050</v>
      </c>
      <c r="E9" s="67" t="s">
        <v>59</v>
      </c>
      <c r="F9" s="58">
        <f>SUM(G9:I9)</f>
        <v>129765</v>
      </c>
      <c r="G9" s="59">
        <f>80000+49765</f>
        <v>129765</v>
      </c>
      <c r="H9" s="59"/>
      <c r="I9" s="60"/>
      <c r="J9" s="61"/>
      <c r="K9" s="62"/>
      <c r="L9" s="102" t="s">
        <v>60</v>
      </c>
      <c r="M9" s="75"/>
      <c r="N9" s="167"/>
      <c r="O9" s="167"/>
      <c r="P9" s="167"/>
    </row>
    <row r="10" spans="1:17" s="64" customFormat="1" ht="45" customHeight="1" thickBot="1">
      <c r="A10" s="57" t="s">
        <v>4</v>
      </c>
      <c r="B10" s="66">
        <v>600</v>
      </c>
      <c r="C10" s="66">
        <v>60014</v>
      </c>
      <c r="D10" s="66">
        <v>6050</v>
      </c>
      <c r="E10" s="204" t="s">
        <v>61</v>
      </c>
      <c r="F10" s="58">
        <f>G10+159170</f>
        <v>194709</v>
      </c>
      <c r="G10" s="59">
        <f>5000+30539</f>
        <v>35539</v>
      </c>
      <c r="H10" s="59"/>
      <c r="I10" s="60"/>
      <c r="J10" s="61" t="s">
        <v>62</v>
      </c>
      <c r="K10" s="205"/>
      <c r="L10" s="102" t="s">
        <v>60</v>
      </c>
      <c r="M10" s="81"/>
      <c r="N10" s="43"/>
      <c r="O10" s="167"/>
      <c r="P10" s="167"/>
    </row>
    <row r="11" spans="1:17" s="64" customFormat="1" ht="45" customHeight="1" thickBot="1">
      <c r="A11" s="65" t="s">
        <v>5</v>
      </c>
      <c r="B11" s="66">
        <v>600</v>
      </c>
      <c r="C11" s="66">
        <v>60014</v>
      </c>
      <c r="D11" s="66">
        <v>6050</v>
      </c>
      <c r="E11" s="206" t="s">
        <v>63</v>
      </c>
      <c r="F11" s="68">
        <f>5500000+G11</f>
        <v>5506000</v>
      </c>
      <c r="G11" s="58">
        <v>6000</v>
      </c>
      <c r="H11" s="59"/>
      <c r="I11" s="60"/>
      <c r="J11" s="61" t="s">
        <v>129</v>
      </c>
      <c r="K11" s="205"/>
      <c r="L11" s="102" t="s">
        <v>60</v>
      </c>
      <c r="M11" s="81"/>
      <c r="N11" s="43"/>
      <c r="O11" s="167"/>
      <c r="P11" s="167"/>
    </row>
    <row r="12" spans="1:17" s="72" customFormat="1" ht="98.25" customHeight="1" thickBot="1">
      <c r="A12" s="57" t="s">
        <v>6</v>
      </c>
      <c r="B12" s="66">
        <v>600</v>
      </c>
      <c r="C12" s="66">
        <v>60014</v>
      </c>
      <c r="D12" s="66">
        <v>6300</v>
      </c>
      <c r="E12" s="69" t="s">
        <v>64</v>
      </c>
      <c r="F12" s="68">
        <f>SUM(G12:I12)</f>
        <v>1500000</v>
      </c>
      <c r="G12" s="68">
        <v>0</v>
      </c>
      <c r="H12" s="68">
        <v>1500000</v>
      </c>
      <c r="I12" s="70"/>
      <c r="J12" s="70"/>
      <c r="K12" s="71"/>
      <c r="L12" s="210" t="s">
        <v>60</v>
      </c>
      <c r="M12" s="78"/>
      <c r="N12" s="169"/>
      <c r="O12" s="169"/>
      <c r="P12" s="169"/>
      <c r="Q12" s="79"/>
    </row>
    <row r="13" spans="1:17" s="64" customFormat="1" ht="27.75" customHeight="1" thickBot="1">
      <c r="A13" s="453" t="s">
        <v>65</v>
      </c>
      <c r="B13" s="454"/>
      <c r="C13" s="454"/>
      <c r="D13" s="454"/>
      <c r="E13" s="455"/>
      <c r="F13" s="73">
        <f>SUM(G13:J13)</f>
        <v>246000</v>
      </c>
      <c r="G13" s="73">
        <f>SUM(G14:G14)</f>
        <v>49200</v>
      </c>
      <c r="H13" s="73">
        <f>SUM(H14:H14)</f>
        <v>0</v>
      </c>
      <c r="I13" s="73">
        <f>SUM(I14:I14)</f>
        <v>0</v>
      </c>
      <c r="J13" s="73">
        <f>150000+46800</f>
        <v>196800</v>
      </c>
      <c r="K13" s="55"/>
      <c r="L13" s="178"/>
      <c r="M13" s="63"/>
      <c r="N13" s="167"/>
      <c r="O13" s="167"/>
      <c r="P13" s="167"/>
    </row>
    <row r="14" spans="1:17" s="64" customFormat="1" ht="46.5" customHeight="1" thickBot="1">
      <c r="A14" s="65" t="s">
        <v>39</v>
      </c>
      <c r="B14" s="66">
        <v>600</v>
      </c>
      <c r="C14" s="66">
        <v>60014</v>
      </c>
      <c r="D14" s="66">
        <v>6050</v>
      </c>
      <c r="E14" s="207" t="s">
        <v>66</v>
      </c>
      <c r="F14" s="68">
        <f>196800+G14</f>
        <v>246000</v>
      </c>
      <c r="G14" s="59">
        <v>49200</v>
      </c>
      <c r="H14" s="59"/>
      <c r="I14" s="60"/>
      <c r="J14" s="61" t="s">
        <v>130</v>
      </c>
      <c r="K14" s="62"/>
      <c r="L14" s="102" t="s">
        <v>60</v>
      </c>
      <c r="M14" s="81"/>
      <c r="N14" s="43"/>
      <c r="O14" s="167"/>
      <c r="P14" s="167"/>
    </row>
    <row r="15" spans="1:17" s="76" customFormat="1" ht="27.95" customHeight="1" thickBot="1">
      <c r="A15" s="451" t="s">
        <v>67</v>
      </c>
      <c r="B15" s="452"/>
      <c r="C15" s="452"/>
      <c r="D15" s="452"/>
      <c r="E15" s="452"/>
      <c r="F15" s="54">
        <f>SUM(G15:J15)</f>
        <v>9201611</v>
      </c>
      <c r="G15" s="54">
        <f>SUM(G16:G23)</f>
        <v>1522843</v>
      </c>
      <c r="H15" s="54">
        <f t="shared" ref="H15:I15" si="0">SUM(H16:H23)</f>
        <v>1963081</v>
      </c>
      <c r="I15" s="54">
        <f t="shared" si="0"/>
        <v>0</v>
      </c>
      <c r="J15" s="54">
        <f>159090+3300000+1000000+7852323-3322+180000-7852323+1079919</f>
        <v>5715687</v>
      </c>
      <c r="K15" s="74"/>
      <c r="L15" s="179"/>
      <c r="M15" s="81"/>
      <c r="N15" s="43"/>
      <c r="O15" s="168"/>
      <c r="P15" s="168"/>
    </row>
    <row r="16" spans="1:17" s="79" customFormat="1" ht="42" customHeight="1" thickBot="1">
      <c r="A16" s="65" t="s">
        <v>38</v>
      </c>
      <c r="B16" s="66">
        <v>600</v>
      </c>
      <c r="C16" s="66">
        <v>60014</v>
      </c>
      <c r="D16" s="66">
        <v>6050</v>
      </c>
      <c r="E16" s="208" t="s">
        <v>68</v>
      </c>
      <c r="F16" s="68">
        <f>G16+155768</f>
        <v>194710</v>
      </c>
      <c r="G16" s="59">
        <f>20000+18942</f>
        <v>38942</v>
      </c>
      <c r="H16" s="59"/>
      <c r="I16" s="60"/>
      <c r="J16" s="61" t="s">
        <v>131</v>
      </c>
      <c r="K16" s="77"/>
      <c r="L16" s="102" t="s">
        <v>60</v>
      </c>
      <c r="M16" s="193"/>
      <c r="N16" s="168"/>
      <c r="O16" s="189"/>
    </row>
    <row r="17" spans="1:17" s="79" customFormat="1" ht="42.75" customHeight="1" thickBot="1">
      <c r="A17" s="65" t="s">
        <v>54</v>
      </c>
      <c r="B17" s="298">
        <v>600</v>
      </c>
      <c r="C17" s="298">
        <v>60014</v>
      </c>
      <c r="D17" s="298">
        <v>6050</v>
      </c>
      <c r="E17" s="67" t="s">
        <v>70</v>
      </c>
      <c r="F17" s="68">
        <f>3480000+94400</f>
        <v>3574400</v>
      </c>
      <c r="G17" s="59">
        <v>94400</v>
      </c>
      <c r="H17" s="59"/>
      <c r="I17" s="60"/>
      <c r="J17" s="61" t="s">
        <v>132</v>
      </c>
      <c r="K17" s="62"/>
      <c r="L17" s="102" t="s">
        <v>60</v>
      </c>
      <c r="M17" s="81"/>
      <c r="N17" s="43"/>
      <c r="O17" s="43"/>
      <c r="P17" s="169"/>
    </row>
    <row r="18" spans="1:17" s="79" customFormat="1" ht="42.75" customHeight="1" thickBot="1">
      <c r="A18" s="65" t="s">
        <v>37</v>
      </c>
      <c r="B18" s="66">
        <v>600</v>
      </c>
      <c r="C18" s="66">
        <v>60014</v>
      </c>
      <c r="D18" s="66">
        <v>6050</v>
      </c>
      <c r="E18" s="67" t="s">
        <v>71</v>
      </c>
      <c r="F18" s="68">
        <f>1000000</f>
        <v>1000000</v>
      </c>
      <c r="G18" s="59"/>
      <c r="H18" s="59"/>
      <c r="I18" s="60"/>
      <c r="J18" s="61" t="s">
        <v>72</v>
      </c>
      <c r="K18" s="62"/>
      <c r="L18" s="102" t="s">
        <v>60</v>
      </c>
      <c r="M18" s="78"/>
      <c r="N18" s="169"/>
      <c r="O18" s="169"/>
      <c r="P18" s="169"/>
    </row>
    <row r="19" spans="1:17" s="79" customFormat="1" ht="45.75" customHeight="1" thickBot="1">
      <c r="A19" s="65" t="s">
        <v>55</v>
      </c>
      <c r="B19" s="66">
        <v>600</v>
      </c>
      <c r="C19" s="66">
        <v>60014</v>
      </c>
      <c r="D19" s="66">
        <v>6050</v>
      </c>
      <c r="E19" s="67" t="s">
        <v>296</v>
      </c>
      <c r="F19" s="68">
        <v>0</v>
      </c>
      <c r="G19" s="59">
        <v>0</v>
      </c>
      <c r="H19" s="59">
        <v>0</v>
      </c>
      <c r="I19" s="60"/>
      <c r="J19" s="61" t="s">
        <v>218</v>
      </c>
      <c r="K19" s="62"/>
      <c r="L19" s="106"/>
      <c r="M19" s="78"/>
      <c r="N19" s="169"/>
      <c r="O19" s="169"/>
      <c r="P19" s="169"/>
    </row>
    <row r="20" spans="1:17" s="79" customFormat="1" ht="42.75" customHeight="1" thickBot="1">
      <c r="A20" s="65" t="s">
        <v>56</v>
      </c>
      <c r="B20" s="298">
        <v>600</v>
      </c>
      <c r="C20" s="298">
        <v>60014</v>
      </c>
      <c r="D20" s="298">
        <v>6050</v>
      </c>
      <c r="E20" s="67" t="s">
        <v>217</v>
      </c>
      <c r="F20" s="68">
        <f>SUM(G20:H20)+1079919</f>
        <v>4372501</v>
      </c>
      <c r="G20" s="59">
        <f>957000+372501</f>
        <v>1329501</v>
      </c>
      <c r="H20" s="59">
        <v>1963081</v>
      </c>
      <c r="I20" s="60"/>
      <c r="J20" s="61" t="s">
        <v>225</v>
      </c>
      <c r="K20" s="62" t="s">
        <v>295</v>
      </c>
      <c r="L20" s="102" t="s">
        <v>60</v>
      </c>
      <c r="M20" s="78"/>
      <c r="N20" s="169"/>
      <c r="O20" s="169"/>
      <c r="P20" s="169"/>
    </row>
    <row r="21" spans="1:17" s="79" customFormat="1" ht="46.5" customHeight="1" thickBot="1">
      <c r="A21" s="94" t="s">
        <v>76</v>
      </c>
      <c r="B21" s="320">
        <v>600</v>
      </c>
      <c r="C21" s="320">
        <v>60014</v>
      </c>
      <c r="D21" s="320">
        <v>6050</v>
      </c>
      <c r="E21" s="321" t="s">
        <v>214</v>
      </c>
      <c r="F21" s="322">
        <f>SUM(G21:I21)</f>
        <v>0</v>
      </c>
      <c r="G21" s="316">
        <f>598447-598447</f>
        <v>0</v>
      </c>
      <c r="H21" s="316"/>
      <c r="I21" s="317"/>
      <c r="J21" s="318"/>
      <c r="K21" s="323"/>
      <c r="L21" s="102" t="s">
        <v>60</v>
      </c>
      <c r="M21" s="78"/>
      <c r="N21" s="169"/>
      <c r="O21" s="169"/>
      <c r="P21" s="169"/>
    </row>
    <row r="22" spans="1:17" s="79" customFormat="1" ht="46.5" customHeight="1" thickBot="1">
      <c r="A22" s="94" t="s">
        <v>78</v>
      </c>
      <c r="B22" s="320">
        <v>600</v>
      </c>
      <c r="C22" s="320">
        <v>60014</v>
      </c>
      <c r="D22" s="320">
        <v>6050</v>
      </c>
      <c r="E22" s="324" t="s">
        <v>389</v>
      </c>
      <c r="F22" s="322">
        <f>SUM(G22:I22)</f>
        <v>40000</v>
      </c>
      <c r="G22" s="316">
        <v>40000</v>
      </c>
      <c r="H22" s="316"/>
      <c r="I22" s="317"/>
      <c r="J22" s="318"/>
      <c r="K22" s="323"/>
      <c r="L22" s="218"/>
      <c r="M22" s="78"/>
      <c r="N22" s="169"/>
      <c r="O22" s="169"/>
      <c r="P22" s="169"/>
    </row>
    <row r="23" spans="1:17" s="79" customFormat="1" ht="46.5" customHeight="1" thickBot="1">
      <c r="A23" s="94" t="s">
        <v>81</v>
      </c>
      <c r="B23" s="320">
        <v>600</v>
      </c>
      <c r="C23" s="320">
        <v>60014</v>
      </c>
      <c r="D23" s="320">
        <v>6050</v>
      </c>
      <c r="E23" s="324" t="s">
        <v>388</v>
      </c>
      <c r="F23" s="322">
        <f>SUM(G23:I23)</f>
        <v>20000</v>
      </c>
      <c r="G23" s="316">
        <v>20000</v>
      </c>
      <c r="H23" s="316"/>
      <c r="I23" s="317"/>
      <c r="J23" s="318"/>
      <c r="K23" s="323"/>
      <c r="L23" s="218"/>
      <c r="M23" s="78"/>
      <c r="N23" s="169"/>
      <c r="O23" s="169"/>
      <c r="P23" s="169"/>
    </row>
    <row r="24" spans="1:17" s="82" customFormat="1" ht="27.95" customHeight="1" thickBot="1">
      <c r="A24" s="451" t="s">
        <v>73</v>
      </c>
      <c r="B24" s="452"/>
      <c r="C24" s="452"/>
      <c r="D24" s="452"/>
      <c r="E24" s="452"/>
      <c r="F24" s="54">
        <f>SUM(G24:J24)</f>
        <v>1151526</v>
      </c>
      <c r="G24" s="54">
        <f>SUM(G25:G29)</f>
        <v>423439</v>
      </c>
      <c r="H24" s="54">
        <f t="shared" ref="H24:I24" si="1">SUM(H25:H29)</f>
        <v>0</v>
      </c>
      <c r="I24" s="54">
        <f t="shared" si="1"/>
        <v>0</v>
      </c>
      <c r="J24" s="80">
        <f>159090+300000+199500+500+330000-300000+38997</f>
        <v>728087</v>
      </c>
      <c r="K24" s="55"/>
      <c r="L24" s="105"/>
      <c r="M24" s="81"/>
      <c r="N24" s="43"/>
      <c r="O24" s="43"/>
      <c r="P24" s="43"/>
    </row>
    <row r="25" spans="1:17" s="64" customFormat="1" ht="30.75" customHeight="1" thickBot="1">
      <c r="A25" s="94" t="s">
        <v>83</v>
      </c>
      <c r="B25" s="325">
        <v>600</v>
      </c>
      <c r="C25" s="326">
        <v>60014</v>
      </c>
      <c r="D25" s="326">
        <v>6050</v>
      </c>
      <c r="E25" s="327" t="s">
        <v>74</v>
      </c>
      <c r="F25" s="328">
        <f>300000+38997</f>
        <v>338997</v>
      </c>
      <c r="G25" s="316">
        <f>300000-49765+49765</f>
        <v>300000</v>
      </c>
      <c r="H25" s="316"/>
      <c r="I25" s="317"/>
      <c r="J25" s="318" t="s">
        <v>390</v>
      </c>
      <c r="K25" s="319"/>
      <c r="L25" s="228"/>
      <c r="M25" s="63"/>
      <c r="N25" s="167"/>
      <c r="O25" s="167"/>
      <c r="P25" s="167"/>
    </row>
    <row r="26" spans="1:17" s="64" customFormat="1" ht="45.75" customHeight="1" thickBot="1">
      <c r="A26" s="65" t="s">
        <v>87</v>
      </c>
      <c r="B26" s="83">
        <v>600</v>
      </c>
      <c r="C26" s="84">
        <v>60014</v>
      </c>
      <c r="D26" s="84">
        <v>6050</v>
      </c>
      <c r="E26" s="67" t="s">
        <v>77</v>
      </c>
      <c r="F26" s="85">
        <f>G26+159090</f>
        <v>194709</v>
      </c>
      <c r="G26" s="59">
        <f>20000+15619</f>
        <v>35619</v>
      </c>
      <c r="H26" s="59"/>
      <c r="I26" s="60"/>
      <c r="J26" s="61" t="s">
        <v>69</v>
      </c>
      <c r="K26" s="77"/>
      <c r="L26" s="102" t="s">
        <v>60</v>
      </c>
      <c r="M26" s="81"/>
      <c r="N26" s="43"/>
      <c r="O26" s="167"/>
      <c r="P26" s="167"/>
    </row>
    <row r="27" spans="1:17" s="64" customFormat="1" ht="43.5" customHeight="1" thickBot="1">
      <c r="A27" s="65" t="s">
        <v>90</v>
      </c>
      <c r="B27" s="83">
        <v>600</v>
      </c>
      <c r="C27" s="84">
        <v>60014</v>
      </c>
      <c r="D27" s="84">
        <v>6050</v>
      </c>
      <c r="E27" s="227" t="s">
        <v>79</v>
      </c>
      <c r="F27" s="85">
        <f>SUM(G27:I27)+200000</f>
        <v>287820</v>
      </c>
      <c r="G27" s="59">
        <f>49500+38820-500</f>
        <v>87820</v>
      </c>
      <c r="H27" s="59"/>
      <c r="I27" s="60"/>
      <c r="J27" s="61" t="s">
        <v>135</v>
      </c>
      <c r="K27" s="62"/>
      <c r="L27" s="230" t="s">
        <v>60</v>
      </c>
      <c r="M27" s="63"/>
      <c r="N27" s="167"/>
      <c r="O27" s="167"/>
      <c r="P27" s="167"/>
    </row>
    <row r="28" spans="1:17" s="64" customFormat="1" ht="57" customHeight="1" thickBot="1">
      <c r="A28" s="65" t="s">
        <v>92</v>
      </c>
      <c r="B28" s="83">
        <v>600</v>
      </c>
      <c r="C28" s="84">
        <v>60014</v>
      </c>
      <c r="D28" s="84">
        <v>6050</v>
      </c>
      <c r="E28" s="236" t="s">
        <v>223</v>
      </c>
      <c r="F28" s="237">
        <v>30000</v>
      </c>
      <c r="G28" s="59"/>
      <c r="H28" s="59"/>
      <c r="I28" s="60"/>
      <c r="J28" s="61" t="s">
        <v>224</v>
      </c>
      <c r="K28" s="62"/>
      <c r="L28" s="232"/>
      <c r="M28" s="63"/>
      <c r="N28" s="167"/>
      <c r="O28" s="167"/>
      <c r="P28" s="167"/>
    </row>
    <row r="29" spans="1:17" s="64" customFormat="1" ht="43.5" customHeight="1" thickBot="1">
      <c r="A29" s="65" t="s">
        <v>94</v>
      </c>
      <c r="B29" s="83">
        <v>600</v>
      </c>
      <c r="C29" s="84">
        <v>60014</v>
      </c>
      <c r="D29" s="84">
        <v>6050</v>
      </c>
      <c r="E29" s="238" t="s">
        <v>222</v>
      </c>
      <c r="F29" s="85">
        <v>300000</v>
      </c>
      <c r="G29" s="59"/>
      <c r="H29" s="59"/>
      <c r="I29" s="60"/>
      <c r="J29" s="61" t="s">
        <v>75</v>
      </c>
      <c r="K29" s="62"/>
      <c r="L29" s="233"/>
      <c r="M29" s="63"/>
      <c r="N29" s="167"/>
      <c r="O29" s="167"/>
      <c r="P29" s="167"/>
    </row>
    <row r="30" spans="1:17" s="87" customFormat="1" ht="27.95" customHeight="1" thickBot="1">
      <c r="A30" s="451" t="s">
        <v>80</v>
      </c>
      <c r="B30" s="452"/>
      <c r="C30" s="452"/>
      <c r="D30" s="452"/>
      <c r="E30" s="452"/>
      <c r="F30" s="54">
        <f>SUM(G30:J30)</f>
        <v>150000</v>
      </c>
      <c r="G30" s="54">
        <f>SUM(G31:G33)</f>
        <v>150000</v>
      </c>
      <c r="H30" s="54">
        <f>SUM(H31:H33)</f>
        <v>0</v>
      </c>
      <c r="I30" s="54">
        <f>SUM(I31:I33)</f>
        <v>0</v>
      </c>
      <c r="J30" s="80">
        <v>0</v>
      </c>
      <c r="K30" s="55"/>
      <c r="L30" s="231"/>
      <c r="M30" s="75"/>
      <c r="N30" s="168"/>
      <c r="O30" s="168"/>
      <c r="P30" s="168"/>
      <c r="Q30" s="76"/>
    </row>
    <row r="31" spans="1:17" s="90" customFormat="1" ht="45.75" customHeight="1" thickBot="1">
      <c r="A31" s="329" t="s">
        <v>96</v>
      </c>
      <c r="B31" s="330">
        <v>600</v>
      </c>
      <c r="C31" s="330">
        <v>60014</v>
      </c>
      <c r="D31" s="330">
        <v>6050</v>
      </c>
      <c r="E31" s="331" t="s">
        <v>82</v>
      </c>
      <c r="F31" s="332">
        <f t="shared" ref="F31:F32" si="2">G31</f>
        <v>0</v>
      </c>
      <c r="G31" s="333">
        <v>0</v>
      </c>
      <c r="H31" s="333"/>
      <c r="I31" s="334"/>
      <c r="J31" s="335"/>
      <c r="K31" s="336"/>
      <c r="L31" s="102" t="s">
        <v>60</v>
      </c>
      <c r="M31" s="89"/>
      <c r="N31" s="170"/>
      <c r="O31" s="170"/>
      <c r="P31" s="170"/>
    </row>
    <row r="32" spans="1:17" s="90" customFormat="1" ht="45.75" customHeight="1" thickBot="1">
      <c r="A32" s="329" t="s">
        <v>99</v>
      </c>
      <c r="B32" s="330">
        <v>600</v>
      </c>
      <c r="C32" s="330">
        <v>60014</v>
      </c>
      <c r="D32" s="330">
        <v>6050</v>
      </c>
      <c r="E32" s="331" t="s">
        <v>391</v>
      </c>
      <c r="F32" s="332">
        <f t="shared" si="2"/>
        <v>150000</v>
      </c>
      <c r="G32" s="333">
        <v>150000</v>
      </c>
      <c r="H32" s="333"/>
      <c r="I32" s="334"/>
      <c r="J32" s="335"/>
      <c r="K32" s="336"/>
      <c r="L32" s="102" t="s">
        <v>60</v>
      </c>
      <c r="M32" s="89"/>
      <c r="N32" s="170"/>
      <c r="O32" s="170"/>
      <c r="P32" s="170"/>
    </row>
    <row r="33" spans="1:17" s="92" customFormat="1" ht="54.75" customHeight="1" thickBot="1">
      <c r="A33" s="65" t="s">
        <v>101</v>
      </c>
      <c r="B33" s="299">
        <v>600</v>
      </c>
      <c r="C33" s="299">
        <v>60014</v>
      </c>
      <c r="D33" s="299">
        <v>6050</v>
      </c>
      <c r="E33" s="300" t="s">
        <v>84</v>
      </c>
      <c r="F33" s="68">
        <f>G33</f>
        <v>0</v>
      </c>
      <c r="G33" s="59">
        <v>0</v>
      </c>
      <c r="H33" s="59"/>
      <c r="I33" s="60"/>
      <c r="J33" s="61" t="s">
        <v>218</v>
      </c>
      <c r="K33" s="77"/>
      <c r="L33" s="102" t="s">
        <v>60</v>
      </c>
      <c r="M33" s="91"/>
      <c r="N33" s="171"/>
      <c r="O33" s="171"/>
      <c r="P33" s="171"/>
    </row>
    <row r="34" spans="1:17" s="72" customFormat="1" ht="27.95" hidden="1" customHeight="1" thickBot="1">
      <c r="A34" s="456" t="s">
        <v>85</v>
      </c>
      <c r="B34" s="457"/>
      <c r="C34" s="457"/>
      <c r="D34" s="457"/>
      <c r="E34" s="458"/>
      <c r="F34" s="80">
        <f>SUM(G34:J34)</f>
        <v>0</v>
      </c>
      <c r="G34" s="80">
        <f>SUM(G35:G35)</f>
        <v>0</v>
      </c>
      <c r="H34" s="73">
        <f>SUM(H35:H35)</f>
        <v>0</v>
      </c>
      <c r="I34" s="93">
        <f>SUM(I35:I35)</f>
        <v>0</v>
      </c>
      <c r="J34" s="80"/>
      <c r="K34" s="86"/>
      <c r="L34" s="106"/>
      <c r="M34" s="78"/>
      <c r="N34" s="169"/>
      <c r="O34" s="169"/>
      <c r="P34" s="169"/>
      <c r="Q34" s="79"/>
    </row>
    <row r="35" spans="1:17" s="103" customFormat="1" ht="34.5" hidden="1" customHeight="1" thickBot="1">
      <c r="A35" s="94"/>
      <c r="B35" s="95"/>
      <c r="C35" s="95"/>
      <c r="D35" s="95"/>
      <c r="E35" s="96"/>
      <c r="F35" s="97"/>
      <c r="G35" s="98"/>
      <c r="H35" s="98"/>
      <c r="I35" s="99"/>
      <c r="J35" s="100"/>
      <c r="K35" s="101"/>
      <c r="L35" s="102" t="s">
        <v>60</v>
      </c>
      <c r="M35" s="194"/>
      <c r="N35" s="176"/>
      <c r="O35" s="176"/>
      <c r="P35" s="176"/>
      <c r="Q35" s="195"/>
    </row>
    <row r="36" spans="1:17" s="72" customFormat="1" ht="27.95" customHeight="1" thickBot="1">
      <c r="A36" s="451" t="s">
        <v>86</v>
      </c>
      <c r="B36" s="452"/>
      <c r="C36" s="452"/>
      <c r="D36" s="452"/>
      <c r="E36" s="452"/>
      <c r="F36" s="54">
        <f>SUM(G36:J36)</f>
        <v>1922007</v>
      </c>
      <c r="G36" s="54">
        <f>SUM(G37:G38)</f>
        <v>761004</v>
      </c>
      <c r="H36" s="54">
        <f>SUM(H37:H37)</f>
        <v>0</v>
      </c>
      <c r="I36" s="54">
        <f>SUM(I37:I37)</f>
        <v>0</v>
      </c>
      <c r="J36" s="80">
        <f>400000+800000-38997</f>
        <v>1161003</v>
      </c>
      <c r="K36" s="104"/>
      <c r="L36" s="105"/>
      <c r="M36" s="78"/>
      <c r="N36" s="169"/>
      <c r="O36" s="169"/>
      <c r="P36" s="169"/>
      <c r="Q36" s="79"/>
    </row>
    <row r="37" spans="1:17" s="64" customFormat="1" ht="42.75" customHeight="1" thickBot="1">
      <c r="A37" s="94" t="s">
        <v>103</v>
      </c>
      <c r="B37" s="95">
        <v>600</v>
      </c>
      <c r="C37" s="95">
        <v>60014</v>
      </c>
      <c r="D37" s="95">
        <v>6050</v>
      </c>
      <c r="E37" s="337" t="s">
        <v>88</v>
      </c>
      <c r="F37" s="322">
        <f>G37+761003</f>
        <v>1522007</v>
      </c>
      <c r="G37" s="316">
        <v>761004</v>
      </c>
      <c r="H37" s="316"/>
      <c r="I37" s="317"/>
      <c r="J37" s="318" t="s">
        <v>392</v>
      </c>
      <c r="K37" s="319"/>
      <c r="L37" s="228"/>
      <c r="M37" s="63"/>
      <c r="N37" s="167"/>
      <c r="O37" s="167"/>
      <c r="P37" s="167"/>
    </row>
    <row r="38" spans="1:17" s="64" customFormat="1" ht="42.75" customHeight="1" thickBot="1">
      <c r="A38" s="65" t="s">
        <v>106</v>
      </c>
      <c r="B38" s="299">
        <v>600</v>
      </c>
      <c r="C38" s="299">
        <v>60014</v>
      </c>
      <c r="D38" s="299">
        <v>6050</v>
      </c>
      <c r="E38" s="301" t="s">
        <v>372</v>
      </c>
      <c r="F38" s="68">
        <v>400000</v>
      </c>
      <c r="G38" s="59"/>
      <c r="H38" s="59"/>
      <c r="I38" s="60"/>
      <c r="J38" s="61" t="s">
        <v>380</v>
      </c>
      <c r="K38" s="62"/>
      <c r="L38" s="218"/>
      <c r="M38" s="63"/>
      <c r="N38" s="167"/>
      <c r="O38" s="167"/>
      <c r="P38" s="167"/>
    </row>
    <row r="39" spans="1:17" s="79" customFormat="1" ht="27.95" customHeight="1" thickBot="1">
      <c r="A39" s="451" t="s">
        <v>89</v>
      </c>
      <c r="B39" s="452"/>
      <c r="C39" s="452"/>
      <c r="D39" s="452"/>
      <c r="E39" s="452"/>
      <c r="F39" s="54">
        <f>SUM(G39:J39)</f>
        <v>549730</v>
      </c>
      <c r="G39" s="54">
        <f>SUM(G40:G42)</f>
        <v>549730</v>
      </c>
      <c r="H39" s="54">
        <f>SUM(H40:H41)</f>
        <v>0</v>
      </c>
      <c r="I39" s="54">
        <f>SUM(I40:I41)</f>
        <v>0</v>
      </c>
      <c r="J39" s="80">
        <v>0</v>
      </c>
      <c r="K39" s="74"/>
      <c r="L39" s="105"/>
      <c r="M39" s="78"/>
      <c r="N39" s="169"/>
      <c r="O39" s="169"/>
      <c r="P39" s="169"/>
    </row>
    <row r="40" spans="1:17" s="79" customFormat="1" ht="39.75" customHeight="1" thickBot="1">
      <c r="A40" s="65" t="s">
        <v>109</v>
      </c>
      <c r="B40" s="66">
        <v>600</v>
      </c>
      <c r="C40" s="66">
        <v>60014</v>
      </c>
      <c r="D40" s="66">
        <v>6050</v>
      </c>
      <c r="E40" s="268" t="s">
        <v>91</v>
      </c>
      <c r="F40" s="68">
        <f>SUM(G40:I40)</f>
        <v>309730</v>
      </c>
      <c r="G40" s="59">
        <f>300000+9730</f>
        <v>309730</v>
      </c>
      <c r="H40" s="59"/>
      <c r="I40" s="60"/>
      <c r="J40" s="61"/>
      <c r="K40" s="62"/>
      <c r="L40" s="102" t="s">
        <v>60</v>
      </c>
      <c r="M40" s="78"/>
      <c r="N40" s="169"/>
      <c r="O40" s="169"/>
      <c r="P40" s="169"/>
    </row>
    <row r="41" spans="1:17" s="79" customFormat="1" ht="45" customHeight="1" thickBot="1">
      <c r="A41" s="65" t="s">
        <v>111</v>
      </c>
      <c r="B41" s="66">
        <v>600</v>
      </c>
      <c r="C41" s="66">
        <v>60014</v>
      </c>
      <c r="D41" s="66">
        <v>6050</v>
      </c>
      <c r="E41" s="239" t="s">
        <v>93</v>
      </c>
      <c r="F41" s="68">
        <v>0</v>
      </c>
      <c r="G41" s="59">
        <v>0</v>
      </c>
      <c r="H41" s="59"/>
      <c r="I41" s="60"/>
      <c r="J41" s="61" t="s">
        <v>218</v>
      </c>
      <c r="K41" s="71"/>
      <c r="L41" s="218"/>
      <c r="M41" s="78"/>
      <c r="N41" s="169"/>
      <c r="O41" s="169"/>
      <c r="P41" s="169"/>
    </row>
    <row r="42" spans="1:17" s="92" customFormat="1" ht="45" customHeight="1" thickBot="1">
      <c r="A42" s="338" t="s">
        <v>113</v>
      </c>
      <c r="B42" s="320">
        <v>600</v>
      </c>
      <c r="C42" s="320">
        <v>60014</v>
      </c>
      <c r="D42" s="320">
        <v>6050</v>
      </c>
      <c r="E42" s="339" t="s">
        <v>393</v>
      </c>
      <c r="F42" s="322">
        <f>SUM(G42:I42)</f>
        <v>240000</v>
      </c>
      <c r="G42" s="340">
        <v>240000</v>
      </c>
      <c r="H42" s="340"/>
      <c r="I42" s="341"/>
      <c r="J42" s="342"/>
      <c r="K42" s="343"/>
      <c r="L42" s="102" t="s">
        <v>60</v>
      </c>
      <c r="M42" s="91"/>
      <c r="N42" s="171"/>
      <c r="O42" s="171"/>
      <c r="P42" s="171"/>
    </row>
    <row r="43" spans="1:17" s="110" customFormat="1" ht="27.95" customHeight="1" thickBot="1">
      <c r="A43" s="459"/>
      <c r="B43" s="460"/>
      <c r="C43" s="460"/>
      <c r="D43" s="460"/>
      <c r="E43" s="461"/>
      <c r="F43" s="107">
        <f>SUM(G43:J43)</f>
        <v>1210868</v>
      </c>
      <c r="G43" s="107">
        <f>SUM(G44:G47)</f>
        <v>1145868</v>
      </c>
      <c r="H43" s="107">
        <f t="shared" ref="H43:I43" si="3">SUM(H44:H47)</f>
        <v>0</v>
      </c>
      <c r="I43" s="107">
        <f t="shared" si="3"/>
        <v>0</v>
      </c>
      <c r="J43" s="371">
        <f>3800000+65000-3800000</f>
        <v>65000</v>
      </c>
      <c r="K43" s="108"/>
      <c r="L43" s="180"/>
      <c r="M43" s="109"/>
      <c r="N43" s="172"/>
      <c r="O43" s="172"/>
      <c r="P43" s="172"/>
    </row>
    <row r="44" spans="1:17" s="110" customFormat="1" ht="55.5" customHeight="1" thickBot="1">
      <c r="A44" s="312" t="s">
        <v>116</v>
      </c>
      <c r="B44" s="344">
        <v>600</v>
      </c>
      <c r="C44" s="344">
        <v>60014</v>
      </c>
      <c r="D44" s="344">
        <v>6050</v>
      </c>
      <c r="E44" s="346" t="s">
        <v>95</v>
      </c>
      <c r="F44" s="347">
        <f>SUM(G44:I44)</f>
        <v>200000</v>
      </c>
      <c r="G44" s="347">
        <v>200000</v>
      </c>
      <c r="H44" s="347"/>
      <c r="I44" s="347"/>
      <c r="J44" s="348" t="s">
        <v>226</v>
      </c>
      <c r="K44" s="345"/>
      <c r="L44" s="102" t="s">
        <v>60</v>
      </c>
      <c r="M44" s="109"/>
      <c r="N44" s="172"/>
      <c r="O44" s="172"/>
      <c r="P44" s="172"/>
    </row>
    <row r="45" spans="1:17" s="195" customFormat="1" ht="55.5" customHeight="1" thickBot="1">
      <c r="A45" s="57" t="s">
        <v>118</v>
      </c>
      <c r="B45" s="302">
        <v>600</v>
      </c>
      <c r="C45" s="302">
        <v>60014</v>
      </c>
      <c r="D45" s="302">
        <v>6050</v>
      </c>
      <c r="E45" s="303" t="s">
        <v>373</v>
      </c>
      <c r="F45" s="112">
        <v>65000</v>
      </c>
      <c r="G45" s="112"/>
      <c r="H45" s="112"/>
      <c r="I45" s="112"/>
      <c r="J45" s="113" t="s">
        <v>374</v>
      </c>
      <c r="K45" s="304"/>
      <c r="L45" s="102" t="s">
        <v>60</v>
      </c>
      <c r="M45" s="194"/>
      <c r="N45" s="176"/>
      <c r="O45" s="176"/>
      <c r="P45" s="176"/>
    </row>
    <row r="46" spans="1:17" s="195" customFormat="1" ht="55.5" customHeight="1" thickBot="1">
      <c r="A46" s="312" t="s">
        <v>210</v>
      </c>
      <c r="B46" s="344">
        <v>600</v>
      </c>
      <c r="C46" s="344">
        <v>60014</v>
      </c>
      <c r="D46" s="344">
        <v>6050</v>
      </c>
      <c r="E46" s="349" t="s">
        <v>394</v>
      </c>
      <c r="F46" s="347">
        <f>SUM(G46:I46)</f>
        <v>642500</v>
      </c>
      <c r="G46" s="347">
        <v>642500</v>
      </c>
      <c r="H46" s="347"/>
      <c r="I46" s="347"/>
      <c r="J46" s="348"/>
      <c r="K46" s="345"/>
      <c r="L46" s="102" t="s">
        <v>60</v>
      </c>
      <c r="M46" s="194"/>
      <c r="N46" s="176"/>
      <c r="O46" s="176"/>
      <c r="P46" s="176"/>
    </row>
    <row r="47" spans="1:17" s="72" customFormat="1" ht="30" customHeight="1" thickBot="1">
      <c r="A47" s="57" t="s">
        <v>213</v>
      </c>
      <c r="B47" s="111">
        <v>600</v>
      </c>
      <c r="C47" s="111">
        <v>60014</v>
      </c>
      <c r="D47" s="111">
        <v>6060</v>
      </c>
      <c r="E47" s="291" t="s">
        <v>97</v>
      </c>
      <c r="F47" s="112">
        <f>SUM(G47:I47)</f>
        <v>303368</v>
      </c>
      <c r="G47" s="112">
        <f>233368+70000</f>
        <v>303368</v>
      </c>
      <c r="H47" s="112"/>
      <c r="I47" s="115"/>
      <c r="J47" s="116"/>
      <c r="K47" s="117"/>
      <c r="L47" s="118"/>
      <c r="M47" s="78"/>
      <c r="N47" s="169"/>
      <c r="O47" s="169"/>
      <c r="P47" s="169"/>
      <c r="Q47" s="79"/>
    </row>
    <row r="48" spans="1:17" s="76" customFormat="1" ht="35.1" customHeight="1" thickBot="1">
      <c r="A48" s="462" t="s">
        <v>98</v>
      </c>
      <c r="B48" s="463"/>
      <c r="C48" s="463"/>
      <c r="D48" s="463"/>
      <c r="E48" s="463"/>
      <c r="F48" s="119">
        <f>SUM(F7,F13,F15,F24,F30,F34,F36,F39,F43)</f>
        <v>21762216</v>
      </c>
      <c r="G48" s="119">
        <f>SUM(G7,G13,G15,G24,G30,G34,G36,G39,G43)</f>
        <v>4773388</v>
      </c>
      <c r="H48" s="119">
        <f>SUM(H7,H13,H15,H24,H30,H34,H36,H39,H43)</f>
        <v>3463081</v>
      </c>
      <c r="I48" s="119">
        <f>SUM(I7,I13,I15,I24,I30,I34,I36,I39,I43)</f>
        <v>0</v>
      </c>
      <c r="J48" s="119">
        <f>SUM(J7,J13,J15,J24,J30,J34,J36,J39,J43)</f>
        <v>13525747</v>
      </c>
      <c r="K48" s="120"/>
      <c r="L48" s="181"/>
      <c r="M48" s="75"/>
      <c r="N48" s="173"/>
      <c r="O48" s="173"/>
      <c r="P48" s="168"/>
    </row>
    <row r="49" spans="1:17" s="76" customFormat="1" ht="35.1" customHeight="1" thickBot="1">
      <c r="A49" s="213" t="s">
        <v>215</v>
      </c>
      <c r="B49" s="214">
        <v>630</v>
      </c>
      <c r="C49" s="214">
        <v>63003</v>
      </c>
      <c r="D49" s="214">
        <v>6300</v>
      </c>
      <c r="E49" s="215" t="s">
        <v>300</v>
      </c>
      <c r="F49" s="216">
        <f>G49</f>
        <v>15000</v>
      </c>
      <c r="G49" s="216">
        <v>15000</v>
      </c>
      <c r="H49" s="244"/>
      <c r="I49" s="244"/>
      <c r="J49" s="244"/>
      <c r="K49" s="245"/>
      <c r="L49" s="243"/>
      <c r="M49" s="75"/>
      <c r="N49" s="173"/>
      <c r="O49" s="173"/>
      <c r="P49" s="168"/>
    </row>
    <row r="50" spans="1:17" s="76" customFormat="1" ht="35.1" customHeight="1" thickBot="1">
      <c r="A50" s="462" t="s">
        <v>301</v>
      </c>
      <c r="B50" s="463"/>
      <c r="C50" s="463"/>
      <c r="D50" s="463"/>
      <c r="E50" s="463"/>
      <c r="F50" s="119">
        <f>F49</f>
        <v>15000</v>
      </c>
      <c r="G50" s="119">
        <f>G49</f>
        <v>15000</v>
      </c>
      <c r="H50" s="119"/>
      <c r="I50" s="119"/>
      <c r="J50" s="119"/>
      <c r="K50" s="120"/>
      <c r="L50" s="181"/>
      <c r="M50" s="75"/>
      <c r="N50" s="173"/>
      <c r="O50" s="173"/>
      <c r="P50" s="168"/>
    </row>
    <row r="51" spans="1:17" s="92" customFormat="1" ht="37.5" customHeight="1" thickBot="1">
      <c r="A51" s="365" t="s">
        <v>227</v>
      </c>
      <c r="B51" s="366">
        <v>710</v>
      </c>
      <c r="C51" s="366">
        <v>71012</v>
      </c>
      <c r="D51" s="366">
        <v>6060</v>
      </c>
      <c r="E51" s="367" t="s">
        <v>211</v>
      </c>
      <c r="F51" s="368">
        <f>G51</f>
        <v>47970</v>
      </c>
      <c r="G51" s="368">
        <f>50000-2030</f>
        <v>47970</v>
      </c>
      <c r="H51" s="368"/>
      <c r="I51" s="368"/>
      <c r="J51" s="368"/>
      <c r="K51" s="369"/>
      <c r="L51" s="181"/>
      <c r="M51" s="91"/>
      <c r="N51" s="209"/>
      <c r="O51" s="209"/>
      <c r="P51" s="171"/>
    </row>
    <row r="52" spans="1:17" s="76" customFormat="1" ht="35.1" customHeight="1" thickBot="1">
      <c r="A52" s="443" t="s">
        <v>212</v>
      </c>
      <c r="B52" s="444"/>
      <c r="C52" s="444"/>
      <c r="D52" s="444"/>
      <c r="E52" s="445"/>
      <c r="F52" s="119">
        <f>SUM(F51)</f>
        <v>47970</v>
      </c>
      <c r="G52" s="119">
        <f>SUM(G51)</f>
        <v>47970</v>
      </c>
      <c r="H52" s="119">
        <f t="shared" ref="H52:J52" si="4">SUM(H51)</f>
        <v>0</v>
      </c>
      <c r="I52" s="119">
        <f t="shared" si="4"/>
        <v>0</v>
      </c>
      <c r="J52" s="119">
        <f t="shared" si="4"/>
        <v>0</v>
      </c>
      <c r="K52" s="120"/>
      <c r="L52" s="181"/>
      <c r="M52" s="75"/>
      <c r="N52" s="173"/>
      <c r="O52" s="173"/>
      <c r="P52" s="168"/>
    </row>
    <row r="53" spans="1:17" s="79" customFormat="1" ht="45" customHeight="1" thickBot="1">
      <c r="A53" s="121" t="s">
        <v>228</v>
      </c>
      <c r="B53" s="66">
        <v>710</v>
      </c>
      <c r="C53" s="66">
        <v>71095</v>
      </c>
      <c r="D53" s="66">
        <v>6639</v>
      </c>
      <c r="E53" s="69" t="s">
        <v>44</v>
      </c>
      <c r="F53" s="68">
        <f>G53</f>
        <v>53618</v>
      </c>
      <c r="G53" s="68">
        <v>53618</v>
      </c>
      <c r="H53" s="68"/>
      <c r="I53" s="68"/>
      <c r="J53" s="68"/>
      <c r="K53" s="62"/>
      <c r="L53" s="211" t="s">
        <v>60</v>
      </c>
      <c r="M53" s="78"/>
      <c r="N53" s="169"/>
      <c r="O53" s="169"/>
      <c r="P53" s="169"/>
    </row>
    <row r="54" spans="1:17" s="76" customFormat="1" ht="35.1" customHeight="1" thickBot="1">
      <c r="A54" s="443" t="s">
        <v>100</v>
      </c>
      <c r="B54" s="444"/>
      <c r="C54" s="444"/>
      <c r="D54" s="444"/>
      <c r="E54" s="445"/>
      <c r="F54" s="122">
        <f>SUM(F53)</f>
        <v>53618</v>
      </c>
      <c r="G54" s="122">
        <f>SUM(G53)</f>
        <v>53618</v>
      </c>
      <c r="H54" s="122">
        <f t="shared" ref="H54:J54" si="5">SUM(H53)</f>
        <v>0</v>
      </c>
      <c r="I54" s="122">
        <f t="shared" si="5"/>
        <v>0</v>
      </c>
      <c r="J54" s="122">
        <f t="shared" si="5"/>
        <v>0</v>
      </c>
      <c r="K54" s="123"/>
      <c r="L54" s="182"/>
      <c r="M54" s="75"/>
      <c r="N54" s="168"/>
      <c r="O54" s="168"/>
      <c r="P54" s="168"/>
    </row>
    <row r="55" spans="1:17" s="64" customFormat="1" ht="57.75" customHeight="1" thickBot="1">
      <c r="A55" s="124" t="s">
        <v>229</v>
      </c>
      <c r="B55" s="125">
        <v>750</v>
      </c>
      <c r="C55" s="125">
        <v>75020</v>
      </c>
      <c r="D55" s="125">
        <v>6050</v>
      </c>
      <c r="E55" s="126" t="s">
        <v>102</v>
      </c>
      <c r="F55" s="127">
        <f t="shared" ref="F55:F56" si="6">SUM(G55:H55)</f>
        <v>240000</v>
      </c>
      <c r="G55" s="127">
        <v>240000</v>
      </c>
      <c r="H55" s="127"/>
      <c r="I55" s="128"/>
      <c r="J55" s="128"/>
      <c r="K55" s="129"/>
      <c r="L55" s="102" t="s">
        <v>60</v>
      </c>
      <c r="M55" s="63"/>
      <c r="N55" s="167"/>
      <c r="O55" s="167"/>
      <c r="P55" s="167"/>
    </row>
    <row r="56" spans="1:17" s="64" customFormat="1" ht="36.75" customHeight="1" thickBot="1">
      <c r="A56" s="306" t="s">
        <v>230</v>
      </c>
      <c r="B56" s="307">
        <v>750</v>
      </c>
      <c r="C56" s="307">
        <v>75020</v>
      </c>
      <c r="D56" s="307">
        <v>6060</v>
      </c>
      <c r="E56" s="308" t="s">
        <v>104</v>
      </c>
      <c r="F56" s="309">
        <f t="shared" si="6"/>
        <v>98885</v>
      </c>
      <c r="G56" s="309">
        <f>130000-31115</f>
        <v>98885</v>
      </c>
      <c r="H56" s="309"/>
      <c r="I56" s="310"/>
      <c r="J56" s="310"/>
      <c r="K56" s="311"/>
      <c r="L56" s="130"/>
      <c r="M56" s="63"/>
      <c r="N56" s="167"/>
      <c r="O56" s="167"/>
      <c r="P56" s="167"/>
    </row>
    <row r="57" spans="1:17" s="92" customFormat="1" ht="35.25" customHeight="1" thickBot="1">
      <c r="A57" s="436" t="s">
        <v>105</v>
      </c>
      <c r="B57" s="437"/>
      <c r="C57" s="437"/>
      <c r="D57" s="437"/>
      <c r="E57" s="437"/>
      <c r="F57" s="131">
        <f t="shared" ref="F57:K57" si="7">SUM(F55:F56)</f>
        <v>338885</v>
      </c>
      <c r="G57" s="131">
        <f t="shared" si="7"/>
        <v>338885</v>
      </c>
      <c r="H57" s="131">
        <f t="shared" si="7"/>
        <v>0</v>
      </c>
      <c r="I57" s="131">
        <f t="shared" si="7"/>
        <v>0</v>
      </c>
      <c r="J57" s="131">
        <f t="shared" si="7"/>
        <v>0</v>
      </c>
      <c r="K57" s="132">
        <f t="shared" si="7"/>
        <v>0</v>
      </c>
      <c r="L57" s="183"/>
      <c r="M57" s="91"/>
      <c r="N57" s="171"/>
      <c r="O57" s="171"/>
      <c r="P57" s="171"/>
    </row>
    <row r="58" spans="1:17" s="92" customFormat="1" ht="39.75" customHeight="1" thickBot="1">
      <c r="A58" s="121" t="s">
        <v>231</v>
      </c>
      <c r="B58" s="66">
        <v>754</v>
      </c>
      <c r="C58" s="66">
        <v>75410</v>
      </c>
      <c r="D58" s="66">
        <v>6170</v>
      </c>
      <c r="E58" s="69" t="s">
        <v>216</v>
      </c>
      <c r="F58" s="68">
        <f>G58</f>
        <v>40000</v>
      </c>
      <c r="G58" s="68">
        <v>40000</v>
      </c>
      <c r="H58" s="68"/>
      <c r="I58" s="68"/>
      <c r="J58" s="68"/>
      <c r="K58" s="217"/>
      <c r="L58" s="183"/>
      <c r="M58" s="91"/>
      <c r="N58" s="171"/>
      <c r="O58" s="171"/>
      <c r="P58" s="171"/>
    </row>
    <row r="59" spans="1:17" s="92" customFormat="1" ht="35.25" customHeight="1" thickBot="1">
      <c r="A59" s="440" t="s">
        <v>209</v>
      </c>
      <c r="B59" s="441"/>
      <c r="C59" s="441"/>
      <c r="D59" s="441"/>
      <c r="E59" s="442"/>
      <c r="F59" s="131">
        <f>SUM(F58)</f>
        <v>40000</v>
      </c>
      <c r="G59" s="131">
        <f>SUM(G58)</f>
        <v>40000</v>
      </c>
      <c r="H59" s="131">
        <f t="shared" ref="H59:J59" si="8">SUM(H58)</f>
        <v>0</v>
      </c>
      <c r="I59" s="131">
        <f t="shared" si="8"/>
        <v>0</v>
      </c>
      <c r="J59" s="131">
        <f t="shared" si="8"/>
        <v>0</v>
      </c>
      <c r="K59" s="132"/>
      <c r="L59" s="183"/>
      <c r="M59" s="91"/>
      <c r="N59" s="171"/>
      <c r="O59" s="171"/>
      <c r="P59" s="171"/>
    </row>
    <row r="60" spans="1:17" s="134" customFormat="1" ht="34.5" customHeight="1" thickBot="1">
      <c r="A60" s="121" t="s">
        <v>302</v>
      </c>
      <c r="B60" s="66">
        <v>758</v>
      </c>
      <c r="C60" s="66">
        <v>75818</v>
      </c>
      <c r="D60" s="66">
        <v>6800</v>
      </c>
      <c r="E60" s="69" t="s">
        <v>107</v>
      </c>
      <c r="F60" s="68">
        <f>G60</f>
        <v>277000</v>
      </c>
      <c r="G60" s="68">
        <f>500000-191000-32000</f>
        <v>277000</v>
      </c>
      <c r="H60" s="68"/>
      <c r="I60" s="60"/>
      <c r="J60" s="60"/>
      <c r="K60" s="62"/>
      <c r="L60" s="229"/>
      <c r="M60" s="133"/>
      <c r="N60" s="174"/>
      <c r="O60" s="174"/>
      <c r="P60" s="174"/>
    </row>
    <row r="61" spans="1:17" s="79" customFormat="1" ht="35.1" customHeight="1" thickBot="1">
      <c r="A61" s="438" t="s">
        <v>108</v>
      </c>
      <c r="B61" s="439"/>
      <c r="C61" s="439"/>
      <c r="D61" s="439"/>
      <c r="E61" s="439"/>
      <c r="F61" s="122">
        <f>SUM(F60)</f>
        <v>277000</v>
      </c>
      <c r="G61" s="122">
        <f>SUM(G60)</f>
        <v>277000</v>
      </c>
      <c r="H61" s="122">
        <f>SUM(H60)</f>
        <v>0</v>
      </c>
      <c r="I61" s="135"/>
      <c r="J61" s="135"/>
      <c r="K61" s="123"/>
      <c r="L61" s="182"/>
      <c r="M61" s="78"/>
      <c r="N61" s="169"/>
      <c r="O61" s="169"/>
      <c r="P61" s="169"/>
    </row>
    <row r="62" spans="1:17" s="64" customFormat="1" ht="45" customHeight="1" thickBot="1">
      <c r="A62" s="88" t="s">
        <v>333</v>
      </c>
      <c r="B62" s="66">
        <v>851</v>
      </c>
      <c r="C62" s="66">
        <v>85111</v>
      </c>
      <c r="D62" s="66">
        <v>6010</v>
      </c>
      <c r="E62" s="60" t="s">
        <v>110</v>
      </c>
      <c r="F62" s="68">
        <f>SUM(G62:H62)</f>
        <v>1395900</v>
      </c>
      <c r="G62" s="68">
        <v>0</v>
      </c>
      <c r="H62" s="68">
        <v>1395900</v>
      </c>
      <c r="I62" s="70"/>
      <c r="J62" s="70"/>
      <c r="K62" s="71"/>
      <c r="L62" s="184"/>
      <c r="M62" s="63"/>
      <c r="N62" s="167"/>
      <c r="O62" s="167"/>
      <c r="P62" s="167"/>
    </row>
    <row r="63" spans="1:17" s="82" customFormat="1" ht="54.75" customHeight="1" thickBot="1">
      <c r="A63" s="65" t="s">
        <v>375</v>
      </c>
      <c r="B63" s="66">
        <v>851</v>
      </c>
      <c r="C63" s="66">
        <v>85111</v>
      </c>
      <c r="D63" s="66">
        <v>6230</v>
      </c>
      <c r="E63" s="60" t="s">
        <v>137</v>
      </c>
      <c r="F63" s="68">
        <v>4295224</v>
      </c>
      <c r="G63" s="68"/>
      <c r="H63" s="68"/>
      <c r="I63" s="60"/>
      <c r="J63" s="61" t="s">
        <v>136</v>
      </c>
      <c r="K63" s="62"/>
      <c r="L63" s="102" t="s">
        <v>60</v>
      </c>
      <c r="M63" s="81"/>
      <c r="N63" s="43"/>
      <c r="O63" s="43"/>
      <c r="P63" s="43"/>
    </row>
    <row r="64" spans="1:17" s="136" customFormat="1" ht="35.1" customHeight="1" thickBot="1">
      <c r="A64" s="436" t="s">
        <v>112</v>
      </c>
      <c r="B64" s="437"/>
      <c r="C64" s="437"/>
      <c r="D64" s="437"/>
      <c r="E64" s="437"/>
      <c r="F64" s="131">
        <f>SUM(F62:F63)</f>
        <v>5691124</v>
      </c>
      <c r="G64" s="131">
        <f>SUM(G62:G63)</f>
        <v>0</v>
      </c>
      <c r="H64" s="131">
        <f>SUM(H62:H63)</f>
        <v>1395900</v>
      </c>
      <c r="I64" s="131">
        <f>SUM(I62:I63)</f>
        <v>0</v>
      </c>
      <c r="J64" s="131">
        <v>4295224</v>
      </c>
      <c r="K64" s="132"/>
      <c r="L64" s="185"/>
      <c r="M64" s="81"/>
      <c r="N64" s="196"/>
      <c r="O64" s="43"/>
      <c r="P64" s="43"/>
      <c r="Q64" s="82"/>
    </row>
    <row r="65" spans="1:17" s="137" customFormat="1" ht="35.25" customHeight="1" thickBot="1">
      <c r="A65" s="241" t="s">
        <v>376</v>
      </c>
      <c r="B65" s="66">
        <v>852</v>
      </c>
      <c r="C65" s="66">
        <v>85202</v>
      </c>
      <c r="D65" s="66">
        <v>6050</v>
      </c>
      <c r="E65" s="240" t="s">
        <v>114</v>
      </c>
      <c r="F65" s="68">
        <v>0</v>
      </c>
      <c r="G65" s="68"/>
      <c r="H65" s="68"/>
      <c r="I65" s="60"/>
      <c r="J65" s="61" t="s">
        <v>226</v>
      </c>
      <c r="K65" s="62"/>
      <c r="L65" s="212" t="s">
        <v>60</v>
      </c>
      <c r="M65" s="63"/>
      <c r="N65" s="167"/>
      <c r="O65" s="167"/>
      <c r="P65" s="167"/>
      <c r="Q65" s="64"/>
    </row>
    <row r="66" spans="1:17" s="137" customFormat="1" ht="42" customHeight="1" thickBot="1">
      <c r="A66" s="350" t="s">
        <v>396</v>
      </c>
      <c r="B66" s="307">
        <v>852</v>
      </c>
      <c r="C66" s="307">
        <v>85202</v>
      </c>
      <c r="D66" s="307">
        <v>6050</v>
      </c>
      <c r="E66" s="351" t="s">
        <v>221</v>
      </c>
      <c r="F66" s="352">
        <f>SUM(G66:I66)+270728</f>
        <v>2196800</v>
      </c>
      <c r="G66" s="352">
        <v>1926072</v>
      </c>
      <c r="H66" s="352"/>
      <c r="I66" s="353"/>
      <c r="J66" s="354" t="s">
        <v>395</v>
      </c>
      <c r="K66" s="355"/>
      <c r="L66" s="212" t="s">
        <v>60</v>
      </c>
      <c r="M66" s="63"/>
      <c r="N66" s="167"/>
      <c r="O66" s="167"/>
      <c r="P66" s="167"/>
      <c r="Q66" s="64"/>
    </row>
    <row r="67" spans="1:17" s="136" customFormat="1" ht="42" customHeight="1" thickBot="1">
      <c r="A67" s="440" t="s">
        <v>115</v>
      </c>
      <c r="B67" s="441"/>
      <c r="C67" s="441"/>
      <c r="D67" s="441"/>
      <c r="E67" s="442"/>
      <c r="F67" s="131">
        <f>SUM(F65:F66)</f>
        <v>2196800</v>
      </c>
      <c r="G67" s="131">
        <f t="shared" ref="G67:I67" si="9">SUM(G65:G66)</f>
        <v>1926072</v>
      </c>
      <c r="H67" s="131">
        <f t="shared" si="9"/>
        <v>0</v>
      </c>
      <c r="I67" s="131">
        <f t="shared" si="9"/>
        <v>0</v>
      </c>
      <c r="J67" s="131">
        <v>270728</v>
      </c>
      <c r="K67" s="138"/>
      <c r="L67" s="186"/>
      <c r="M67" s="81"/>
      <c r="N67" s="43"/>
      <c r="O67" s="43"/>
      <c r="P67" s="43"/>
      <c r="Q67" s="82"/>
    </row>
    <row r="68" spans="1:17" s="136" customFormat="1" ht="62.25" customHeight="1" thickBot="1">
      <c r="A68" s="241" t="s">
        <v>397</v>
      </c>
      <c r="B68" s="66">
        <v>853</v>
      </c>
      <c r="C68" s="66">
        <v>85311</v>
      </c>
      <c r="D68" s="66">
        <v>6230</v>
      </c>
      <c r="E68" s="69" t="s">
        <v>219</v>
      </c>
      <c r="F68" s="68">
        <f>SUM(G68:I68)</f>
        <v>15942</v>
      </c>
      <c r="G68" s="68">
        <v>15942</v>
      </c>
      <c r="H68" s="68"/>
      <c r="I68" s="68"/>
      <c r="J68" s="68"/>
      <c r="K68" s="242"/>
      <c r="L68" s="370"/>
      <c r="M68" s="81"/>
      <c r="N68" s="43"/>
      <c r="O68" s="43"/>
      <c r="P68" s="43"/>
      <c r="Q68" s="82"/>
    </row>
    <row r="69" spans="1:17" s="136" customFormat="1" ht="42" customHeight="1" thickBot="1">
      <c r="A69" s="440" t="s">
        <v>220</v>
      </c>
      <c r="B69" s="441"/>
      <c r="C69" s="441"/>
      <c r="D69" s="441"/>
      <c r="E69" s="442"/>
      <c r="F69" s="131">
        <f>SUM(F68)</f>
        <v>15942</v>
      </c>
      <c r="G69" s="131">
        <f t="shared" ref="G69:I69" si="10">SUM(G68)</f>
        <v>15942</v>
      </c>
      <c r="H69" s="131">
        <f t="shared" si="10"/>
        <v>0</v>
      </c>
      <c r="I69" s="131">
        <f t="shared" si="10"/>
        <v>0</v>
      </c>
      <c r="J69" s="131"/>
      <c r="K69" s="219"/>
      <c r="L69" s="220"/>
      <c r="M69" s="81"/>
      <c r="N69" s="43"/>
      <c r="O69" s="43"/>
      <c r="P69" s="43"/>
      <c r="Q69" s="82"/>
    </row>
    <row r="70" spans="1:17" s="64" customFormat="1" ht="45.75" customHeight="1" thickBot="1">
      <c r="A70" s="121" t="s">
        <v>398</v>
      </c>
      <c r="B70" s="66">
        <v>854</v>
      </c>
      <c r="C70" s="221">
        <v>85403</v>
      </c>
      <c r="D70" s="221">
        <v>6050</v>
      </c>
      <c r="E70" s="222" t="s">
        <v>47</v>
      </c>
      <c r="F70" s="223">
        <f>SUM(G70:I70)</f>
        <v>600000</v>
      </c>
      <c r="G70" s="224">
        <v>293981</v>
      </c>
      <c r="H70" s="224">
        <v>306019</v>
      </c>
      <c r="I70" s="225"/>
      <c r="J70" s="226"/>
      <c r="K70" s="139"/>
      <c r="L70" s="211" t="s">
        <v>60</v>
      </c>
      <c r="M70" s="63"/>
      <c r="N70" s="167"/>
      <c r="O70" s="167"/>
      <c r="P70" s="167"/>
    </row>
    <row r="71" spans="1:17" s="82" customFormat="1" ht="35.1" customHeight="1" thickBot="1">
      <c r="A71" s="443" t="s">
        <v>117</v>
      </c>
      <c r="B71" s="444"/>
      <c r="C71" s="444"/>
      <c r="D71" s="444"/>
      <c r="E71" s="445"/>
      <c r="F71" s="122">
        <f>SUM(F70:F70)</f>
        <v>600000</v>
      </c>
      <c r="G71" s="122">
        <f>SUM(G70:G70)</f>
        <v>293981</v>
      </c>
      <c r="H71" s="122">
        <f>SUM(H70:H70)</f>
        <v>306019</v>
      </c>
      <c r="I71" s="122">
        <f>SUM(I70:I70)</f>
        <v>0</v>
      </c>
      <c r="J71" s="122">
        <f>SUM(J70:J70)</f>
        <v>0</v>
      </c>
      <c r="K71" s="123"/>
      <c r="L71" s="182"/>
      <c r="M71" s="81"/>
      <c r="N71" s="43"/>
      <c r="O71" s="43"/>
      <c r="P71" s="43"/>
    </row>
    <row r="72" spans="1:17" s="64" customFormat="1" ht="35.1" customHeight="1" thickBot="1">
      <c r="A72" s="111" t="s">
        <v>399</v>
      </c>
      <c r="B72" s="111">
        <v>855</v>
      </c>
      <c r="C72" s="111">
        <v>85510</v>
      </c>
      <c r="D72" s="111">
        <v>6050</v>
      </c>
      <c r="E72" s="114" t="s">
        <v>119</v>
      </c>
      <c r="F72" s="112">
        <v>50000</v>
      </c>
      <c r="G72" s="112">
        <v>50000</v>
      </c>
      <c r="H72" s="112"/>
      <c r="I72" s="115"/>
      <c r="J72" s="115"/>
      <c r="K72" s="117"/>
      <c r="L72" s="106"/>
      <c r="M72" s="63"/>
      <c r="N72" s="167"/>
      <c r="O72" s="167"/>
      <c r="P72" s="167"/>
    </row>
    <row r="73" spans="1:17" s="82" customFormat="1" ht="35.1" customHeight="1" thickBot="1">
      <c r="A73" s="446" t="s">
        <v>120</v>
      </c>
      <c r="B73" s="447"/>
      <c r="C73" s="447"/>
      <c r="D73" s="447"/>
      <c r="E73" s="448"/>
      <c r="F73" s="119">
        <f>SUM(F72:F72)</f>
        <v>50000</v>
      </c>
      <c r="G73" s="119">
        <f>SUM(G72:G72)</f>
        <v>50000</v>
      </c>
      <c r="H73" s="119">
        <f>SUM(H72:H72)</f>
        <v>0</v>
      </c>
      <c r="I73" s="119">
        <f>SUM(I72:I72)</f>
        <v>0</v>
      </c>
      <c r="J73" s="119">
        <f>SUM(J72:J72)</f>
        <v>0</v>
      </c>
      <c r="K73" s="120"/>
      <c r="L73" s="182"/>
      <c r="M73" s="81"/>
      <c r="N73" s="43"/>
      <c r="O73" s="43"/>
      <c r="P73" s="43"/>
    </row>
    <row r="74" spans="1:17" s="195" customFormat="1" ht="35.1" customHeight="1" thickBot="1">
      <c r="A74" s="111" t="s">
        <v>400</v>
      </c>
      <c r="B74" s="302">
        <v>921</v>
      </c>
      <c r="C74" s="302">
        <v>92120</v>
      </c>
      <c r="D74" s="302">
        <v>6560</v>
      </c>
      <c r="E74" s="114" t="s">
        <v>371</v>
      </c>
      <c r="F74" s="112">
        <v>50000</v>
      </c>
      <c r="G74" s="112">
        <v>50000</v>
      </c>
      <c r="H74" s="112"/>
      <c r="I74" s="112"/>
      <c r="J74" s="112"/>
      <c r="K74" s="305"/>
      <c r="L74" s="182"/>
      <c r="M74" s="194"/>
      <c r="N74" s="176"/>
      <c r="O74" s="176"/>
      <c r="P74" s="176"/>
    </row>
    <row r="75" spans="1:17" s="82" customFormat="1" ht="35.1" customHeight="1" thickBot="1">
      <c r="A75" s="446" t="s">
        <v>332</v>
      </c>
      <c r="B75" s="447"/>
      <c r="C75" s="447"/>
      <c r="D75" s="447"/>
      <c r="E75" s="448"/>
      <c r="F75" s="119">
        <f>F74</f>
        <v>50000</v>
      </c>
      <c r="G75" s="119">
        <f t="shared" ref="G75:J75" si="11">G74</f>
        <v>50000</v>
      </c>
      <c r="H75" s="119">
        <f t="shared" si="11"/>
        <v>0</v>
      </c>
      <c r="I75" s="119">
        <f t="shared" si="11"/>
        <v>0</v>
      </c>
      <c r="J75" s="119">
        <f t="shared" si="11"/>
        <v>0</v>
      </c>
      <c r="K75" s="120"/>
      <c r="L75" s="182"/>
      <c r="M75" s="81"/>
      <c r="N75" s="43"/>
      <c r="O75" s="43"/>
      <c r="P75" s="43"/>
    </row>
    <row r="76" spans="1:17" s="142" customFormat="1" ht="36" customHeight="1" thickBot="1">
      <c r="A76" s="433" t="s">
        <v>35</v>
      </c>
      <c r="B76" s="434"/>
      <c r="C76" s="434"/>
      <c r="D76" s="434"/>
      <c r="E76" s="435"/>
      <c r="F76" s="140">
        <f>F48+F50+F52+F54+F57+F59+F61+F64+F67+F69+F71+F73+F75</f>
        <v>31138555</v>
      </c>
      <c r="G76" s="140">
        <f>G48+G50+G52+G54+G57+G59+G61+G64+G67+G69+G71+G73+G75</f>
        <v>7881856</v>
      </c>
      <c r="H76" s="140">
        <f t="shared" ref="H76:I76" si="12">H48+H52+H54+H57+H59+H61+H64+H67+H69+H71+H73</f>
        <v>5165000</v>
      </c>
      <c r="I76" s="140">
        <f t="shared" si="12"/>
        <v>0</v>
      </c>
      <c r="J76" s="140">
        <f>J48+J52+J54+J57+J59+J61+J64+J67+J69+J71+J73</f>
        <v>18091699</v>
      </c>
      <c r="K76" s="141"/>
      <c r="L76" s="187"/>
      <c r="M76" s="197"/>
      <c r="N76" s="198"/>
      <c r="O76" s="199"/>
      <c r="P76" s="199"/>
      <c r="Q76" s="200"/>
    </row>
    <row r="77" spans="1:17" s="82" customFormat="1" ht="27" customHeight="1">
      <c r="A77" s="143" t="s">
        <v>121</v>
      </c>
      <c r="B77" s="144"/>
      <c r="C77" s="144"/>
      <c r="D77" s="144"/>
      <c r="E77" s="45"/>
      <c r="F77" s="145"/>
      <c r="G77" s="145"/>
      <c r="H77" s="145"/>
      <c r="I77" s="146"/>
      <c r="J77" s="146"/>
      <c r="K77" s="147"/>
      <c r="L77" s="176"/>
      <c r="M77" s="81"/>
      <c r="N77" s="43"/>
      <c r="O77" s="43"/>
      <c r="P77" s="43"/>
    </row>
    <row r="78" spans="1:17" s="72" customFormat="1" ht="20.25" customHeight="1">
      <c r="A78" s="143" t="s">
        <v>122</v>
      </c>
      <c r="B78" s="144"/>
      <c r="C78" s="144"/>
      <c r="D78" s="144"/>
      <c r="E78" s="45"/>
      <c r="F78" s="146"/>
      <c r="G78" s="146"/>
      <c r="H78" s="146"/>
      <c r="I78" s="145"/>
      <c r="J78" s="145"/>
      <c r="K78" s="147"/>
      <c r="L78" s="176"/>
      <c r="M78" s="78"/>
      <c r="N78" s="169"/>
      <c r="O78" s="169"/>
      <c r="P78" s="169"/>
      <c r="Q78" s="79"/>
    </row>
    <row r="79" spans="1:17" s="82" customFormat="1" ht="21" customHeight="1">
      <c r="A79" s="143" t="s">
        <v>123</v>
      </c>
      <c r="B79" s="144"/>
      <c r="C79" s="144"/>
      <c r="D79" s="144"/>
      <c r="E79" s="45"/>
      <c r="F79" s="145"/>
      <c r="G79" s="146"/>
      <c r="H79" s="146"/>
      <c r="I79" s="146"/>
      <c r="J79" s="145"/>
      <c r="K79" s="147"/>
      <c r="L79" s="176"/>
      <c r="M79" s="81"/>
      <c r="N79" s="43"/>
      <c r="O79" s="43"/>
      <c r="P79" s="43"/>
    </row>
    <row r="80" spans="1:17" s="151" customFormat="1" ht="21" customHeight="1">
      <c r="A80" s="143" t="s">
        <v>124</v>
      </c>
      <c r="B80" s="148"/>
      <c r="C80" s="144"/>
      <c r="D80" s="144"/>
      <c r="E80" s="144"/>
      <c r="F80" s="146"/>
      <c r="G80" s="146"/>
      <c r="H80" s="146"/>
      <c r="I80" s="145"/>
      <c r="J80" s="145"/>
      <c r="K80" s="147"/>
      <c r="L80" s="188"/>
      <c r="M80" s="150"/>
      <c r="N80" s="149"/>
      <c r="O80" s="149"/>
      <c r="P80" s="149"/>
    </row>
    <row r="81" spans="1:17" s="154" customFormat="1" ht="19.5" customHeight="1">
      <c r="A81" s="44" t="s">
        <v>125</v>
      </c>
      <c r="B81" s="148"/>
      <c r="C81" s="144"/>
      <c r="D81" s="144"/>
      <c r="E81" s="146"/>
      <c r="F81" s="145"/>
      <c r="G81" s="146"/>
      <c r="H81" s="146"/>
      <c r="I81" s="146"/>
      <c r="J81" s="146"/>
      <c r="K81" s="152"/>
      <c r="L81" s="188"/>
      <c r="M81" s="153"/>
      <c r="N81" s="175"/>
      <c r="O81" s="175"/>
      <c r="P81" s="175"/>
    </row>
    <row r="82" spans="1:17" s="82" customFormat="1" ht="30" customHeight="1">
      <c r="A82" s="39"/>
      <c r="B82" s="39"/>
      <c r="C82" s="40"/>
      <c r="D82" s="40"/>
      <c r="E82" s="41"/>
      <c r="F82" s="41"/>
      <c r="G82" s="41"/>
      <c r="H82" s="155"/>
      <c r="I82" s="41"/>
      <c r="J82" s="155"/>
      <c r="K82" s="42"/>
      <c r="L82" s="176"/>
      <c r="M82" s="81"/>
      <c r="N82" s="43"/>
      <c r="O82" s="43"/>
      <c r="P82" s="43"/>
    </row>
    <row r="83" spans="1:17" s="56" customFormat="1" ht="27" customHeight="1">
      <c r="A83" s="39"/>
      <c r="B83" s="39"/>
      <c r="C83" s="40"/>
      <c r="D83" s="40"/>
      <c r="E83" s="41"/>
      <c r="F83" s="41"/>
      <c r="G83" s="41"/>
      <c r="H83" s="41"/>
      <c r="I83" s="41"/>
      <c r="J83" s="41"/>
      <c r="K83" s="42"/>
      <c r="L83" s="176"/>
      <c r="M83" s="63"/>
      <c r="N83" s="167"/>
      <c r="O83" s="167"/>
      <c r="P83" s="167"/>
      <c r="Q83" s="64"/>
    </row>
    <row r="85" spans="1:17" s="156" customFormat="1" ht="12.75" customHeight="1">
      <c r="A85" s="39"/>
      <c r="B85" s="39"/>
      <c r="C85" s="40"/>
      <c r="D85" s="40"/>
      <c r="E85" s="41"/>
      <c r="F85" s="41"/>
      <c r="G85" s="41"/>
      <c r="H85" s="41"/>
      <c r="I85" s="41"/>
      <c r="J85" s="41"/>
      <c r="K85" s="42"/>
      <c r="L85" s="176"/>
      <c r="M85" s="201"/>
      <c r="N85" s="202"/>
      <c r="O85" s="202"/>
      <c r="P85" s="202"/>
      <c r="Q85" s="203"/>
    </row>
    <row r="86" spans="1:17" s="156" customFormat="1" ht="12.75" customHeight="1">
      <c r="A86" s="39"/>
      <c r="B86" s="39"/>
      <c r="C86" s="40"/>
      <c r="D86" s="40"/>
      <c r="E86" s="41"/>
      <c r="F86" s="41"/>
      <c r="G86" s="41"/>
      <c r="H86" s="41"/>
      <c r="I86" s="41"/>
      <c r="J86" s="41"/>
      <c r="K86" s="42"/>
      <c r="L86" s="176"/>
      <c r="M86" s="201"/>
      <c r="N86" s="202"/>
      <c r="O86" s="202"/>
      <c r="P86" s="202"/>
      <c r="Q86" s="203"/>
    </row>
    <row r="87" spans="1:17" s="156" customFormat="1" ht="12.75" customHeight="1">
      <c r="A87" s="39"/>
      <c r="B87" s="39"/>
      <c r="C87" s="40"/>
      <c r="D87" s="40"/>
      <c r="E87" s="41"/>
      <c r="F87" s="41"/>
      <c r="G87" s="41"/>
      <c r="H87" s="41"/>
      <c r="I87" s="41"/>
      <c r="J87" s="41"/>
      <c r="K87" s="42"/>
      <c r="L87" s="176"/>
      <c r="M87" s="201"/>
      <c r="N87" s="202"/>
      <c r="O87" s="202"/>
      <c r="P87" s="202"/>
      <c r="Q87" s="203"/>
    </row>
  </sheetData>
  <sheetProtection algorithmName="SHA-512" hashValue="/zl7Sm43cCwNqT/OR8RtMIkORq7hQG/UUZ5jOn6492ij1KHiBrHGYGrPG+h6DY+hygWepIX+rE38ZJyYP7eEVA==" saltValue="BWq+BxSxL2Ob5p5niMaDKg==" spinCount="100000" sheet="1" objects="1" scenarios="1"/>
  <autoFilter ref="L1:L87" xr:uid="{00000000-0009-0000-0000-000000000000}"/>
  <mergeCells count="33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A54:E54"/>
    <mergeCell ref="L4:L5"/>
    <mergeCell ref="A7:E7"/>
    <mergeCell ref="A13:E13"/>
    <mergeCell ref="A15:E15"/>
    <mergeCell ref="A24:E24"/>
    <mergeCell ref="A30:E30"/>
    <mergeCell ref="A34:E34"/>
    <mergeCell ref="A36:E36"/>
    <mergeCell ref="A39:E39"/>
    <mergeCell ref="A43:E43"/>
    <mergeCell ref="A48:E48"/>
    <mergeCell ref="A52:E52"/>
    <mergeCell ref="A50:E50"/>
    <mergeCell ref="A76:E76"/>
    <mergeCell ref="A57:E57"/>
    <mergeCell ref="A61:E61"/>
    <mergeCell ref="A64:E64"/>
    <mergeCell ref="A67:E67"/>
    <mergeCell ref="A71:E71"/>
    <mergeCell ref="A73:E73"/>
    <mergeCell ref="A59:E59"/>
    <mergeCell ref="A69:E69"/>
    <mergeCell ref="A75:E75"/>
  </mergeCells>
  <phoneticPr fontId="28" type="noConversion"/>
  <pageMargins left="0.51181102362204722" right="0.31496062992125984" top="1.3385826771653544" bottom="0.70866141732283472" header="0.59055118110236227" footer="0.31496062992125984"/>
  <pageSetup paperSize="9" scale="80" fitToHeight="0" orientation="landscape" horizontalDpi="4294967295" r:id="rId1"/>
  <headerFooter differentOddEven="1" differentFirst="1" alignWithMargins="0">
    <oddFooter>&amp;C&amp;P</oddFooter>
    <evenFooter>&amp;C&amp;P</evenFooter>
    <firstHeader>&amp;R&amp;10Tabela Nr 2a
do uchwały Nr ............
Rady Powiatu  Otwockiego
z dnia 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3:H34"/>
  <sheetViews>
    <sheetView showGridLines="0" topLeftCell="A19" workbookViewId="0">
      <selection activeCell="P30" sqref="P30"/>
    </sheetView>
  </sheetViews>
  <sheetFormatPr defaultColWidth="9.33203125" defaultRowHeight="12.75"/>
  <cols>
    <col min="1" max="1" width="5.83203125" style="2" customWidth="1"/>
    <col min="2" max="2" width="67.1640625" style="2" customWidth="1"/>
    <col min="3" max="3" width="15.33203125" style="2" customWidth="1"/>
    <col min="4" max="4" width="20.33203125" style="2" customWidth="1"/>
    <col min="5" max="5" width="9.33203125" style="2"/>
    <col min="6" max="6" width="11.83203125" style="2" bestFit="1" customWidth="1"/>
    <col min="7" max="7" width="9.33203125" style="2"/>
    <col min="8" max="8" width="13.83203125" style="2" bestFit="1" customWidth="1"/>
    <col min="9" max="16384" width="9.33203125" style="2"/>
  </cols>
  <sheetData>
    <row r="3" spans="1:4" s="1" customFormat="1" ht="15" customHeight="1">
      <c r="A3" s="476" t="s">
        <v>134</v>
      </c>
      <c r="B3" s="476"/>
      <c r="C3" s="476"/>
      <c r="D3" s="476"/>
    </row>
    <row r="4" spans="1:4">
      <c r="D4" s="3"/>
    </row>
    <row r="5" spans="1:4" ht="54" customHeight="1">
      <c r="A5" s="4" t="s">
        <v>1</v>
      </c>
      <c r="B5" s="4" t="s">
        <v>7</v>
      </c>
      <c r="C5" s="5" t="s">
        <v>8</v>
      </c>
      <c r="D5" s="5" t="s">
        <v>9</v>
      </c>
    </row>
    <row r="6" spans="1:4" s="30" customFormat="1" ht="16.5" customHeight="1">
      <c r="A6" s="31">
        <v>1</v>
      </c>
      <c r="B6" s="31">
        <v>2</v>
      </c>
      <c r="C6" s="31">
        <v>3</v>
      </c>
      <c r="D6" s="32">
        <v>4</v>
      </c>
    </row>
    <row r="7" spans="1:4" s="9" customFormat="1" ht="24.75" customHeight="1">
      <c r="A7" s="6" t="s">
        <v>2</v>
      </c>
      <c r="B7" s="7" t="s">
        <v>10</v>
      </c>
      <c r="C7" s="6"/>
      <c r="D7" s="8">
        <f>SUM(D8:D9)</f>
        <v>169593125</v>
      </c>
    </row>
    <row r="8" spans="1:4" s="13" customFormat="1" ht="24.75" customHeight="1">
      <c r="A8" s="10"/>
      <c r="B8" s="11" t="s">
        <v>11</v>
      </c>
      <c r="C8" s="10"/>
      <c r="D8" s="12">
        <v>163134077</v>
      </c>
    </row>
    <row r="9" spans="1:4" s="13" customFormat="1" ht="24.75" customHeight="1">
      <c r="A9" s="10"/>
      <c r="B9" s="11" t="s">
        <v>12</v>
      </c>
      <c r="C9" s="10"/>
      <c r="D9" s="14">
        <v>6459048</v>
      </c>
    </row>
    <row r="10" spans="1:4" s="9" customFormat="1" ht="24.75" customHeight="1">
      <c r="A10" s="6" t="s">
        <v>3</v>
      </c>
      <c r="B10" s="7" t="s">
        <v>13</v>
      </c>
      <c r="C10" s="6"/>
      <c r="D10" s="15">
        <f>SUM(D11,D12)</f>
        <v>209240030</v>
      </c>
    </row>
    <row r="11" spans="1:4" s="13" customFormat="1" ht="24.75" customHeight="1">
      <c r="A11" s="10"/>
      <c r="B11" s="11" t="s">
        <v>26</v>
      </c>
      <c r="C11" s="10"/>
      <c r="D11" s="16">
        <v>178101475</v>
      </c>
    </row>
    <row r="12" spans="1:4" s="13" customFormat="1" ht="24.75" customHeight="1">
      <c r="A12" s="10"/>
      <c r="B12" s="11" t="s">
        <v>14</v>
      </c>
      <c r="C12" s="10"/>
      <c r="D12" s="17">
        <v>31138555</v>
      </c>
    </row>
    <row r="13" spans="1:4" s="9" customFormat="1" ht="24.75" customHeight="1">
      <c r="A13" s="6" t="s">
        <v>4</v>
      </c>
      <c r="B13" s="7" t="s">
        <v>15</v>
      </c>
      <c r="C13" s="18"/>
      <c r="D13" s="8">
        <f>D7-D10</f>
        <v>-39646905</v>
      </c>
    </row>
    <row r="14" spans="1:4" ht="24.75" customHeight="1">
      <c r="A14" s="477" t="s">
        <v>16</v>
      </c>
      <c r="B14" s="478"/>
      <c r="C14" s="19"/>
      <c r="D14" s="20">
        <f>D15+D20+D21+D22+D24</f>
        <v>46023574</v>
      </c>
    </row>
    <row r="15" spans="1:4" ht="81.75" customHeight="1">
      <c r="A15" s="35" t="s">
        <v>2</v>
      </c>
      <c r="B15" s="164" t="s">
        <v>42</v>
      </c>
      <c r="C15" s="6" t="s">
        <v>41</v>
      </c>
      <c r="D15" s="163">
        <f>SUM(D17:D19)</f>
        <v>23849017</v>
      </c>
    </row>
    <row r="16" spans="1:4" ht="18.75" customHeight="1">
      <c r="A16" s="157"/>
      <c r="B16" s="479" t="s">
        <v>36</v>
      </c>
      <c r="C16" s="479"/>
      <c r="D16" s="479"/>
    </row>
    <row r="17" spans="1:8" s="13" customFormat="1" ht="24.95" customHeight="1">
      <c r="A17" s="158"/>
      <c r="B17" s="161" t="s">
        <v>126</v>
      </c>
      <c r="C17" s="162"/>
      <c r="D17" s="292">
        <f>8800000+4490000+1180000-194776+200000+65000+270728</f>
        <v>14810952</v>
      </c>
      <c r="H17" s="235"/>
    </row>
    <row r="18" spans="1:8" s="13" customFormat="1" ht="24.95" customHeight="1">
      <c r="A18" s="158"/>
      <c r="B18" s="159" t="s">
        <v>127</v>
      </c>
      <c r="C18" s="160"/>
      <c r="D18" s="293">
        <f>985940+43478+500-159090</f>
        <v>870828</v>
      </c>
      <c r="H18" s="235"/>
    </row>
    <row r="19" spans="1:8" s="13" customFormat="1" ht="24.95" customHeight="1">
      <c r="A19" s="158"/>
      <c r="B19" s="159" t="s">
        <v>128</v>
      </c>
      <c r="C19" s="160"/>
      <c r="D19" s="293">
        <v>8167237</v>
      </c>
    </row>
    <row r="20" spans="1:8" ht="60.75" customHeight="1">
      <c r="A20" s="35" t="s">
        <v>3</v>
      </c>
      <c r="B20" s="36" t="s">
        <v>43</v>
      </c>
      <c r="C20" s="6" t="s">
        <v>40</v>
      </c>
      <c r="D20" s="163">
        <f>211997+367704+14642</f>
        <v>594343</v>
      </c>
      <c r="F20" s="38"/>
    </row>
    <row r="21" spans="1:8" ht="31.5" customHeight="1">
      <c r="A21" s="35" t="s">
        <v>4</v>
      </c>
      <c r="B21" s="37" t="s">
        <v>45</v>
      </c>
      <c r="C21" s="165" t="s">
        <v>46</v>
      </c>
      <c r="D21" s="163">
        <v>0</v>
      </c>
    </row>
    <row r="22" spans="1:8" ht="31.5" customHeight="1">
      <c r="A22" s="35" t="s">
        <v>5</v>
      </c>
      <c r="B22" s="24" t="s">
        <v>23</v>
      </c>
      <c r="C22" s="6" t="s">
        <v>18</v>
      </c>
      <c r="D22" s="294">
        <f>9682461-8167237+44820+2693646+1655063+4093792+1200000+377669</f>
        <v>11580214</v>
      </c>
    </row>
    <row r="23" spans="1:8" ht="32.25" customHeight="1">
      <c r="A23" s="35" t="s">
        <v>6</v>
      </c>
      <c r="B23" s="33" t="s">
        <v>27</v>
      </c>
      <c r="C23" s="6" t="s">
        <v>28</v>
      </c>
      <c r="D23" s="23">
        <v>0</v>
      </c>
    </row>
    <row r="24" spans="1:8" ht="24.75" customHeight="1">
      <c r="A24" s="35" t="s">
        <v>39</v>
      </c>
      <c r="B24" s="22" t="s">
        <v>21</v>
      </c>
      <c r="C24" s="6" t="s">
        <v>17</v>
      </c>
      <c r="D24" s="15">
        <v>10000000</v>
      </c>
    </row>
    <row r="25" spans="1:8" ht="27" customHeight="1">
      <c r="A25" s="35" t="s">
        <v>38</v>
      </c>
      <c r="B25" s="24" t="s">
        <v>22</v>
      </c>
      <c r="C25" s="6" t="s">
        <v>17</v>
      </c>
      <c r="D25" s="25">
        <v>0</v>
      </c>
    </row>
    <row r="26" spans="1:8" ht="24.75" customHeight="1">
      <c r="A26" s="477" t="s">
        <v>19</v>
      </c>
      <c r="B26" s="478"/>
      <c r="C26" s="26"/>
      <c r="D26" s="20">
        <f>SUM(D27:D30)</f>
        <v>6376669</v>
      </c>
    </row>
    <row r="27" spans="1:8" s="34" customFormat="1" ht="24.75" customHeight="1">
      <c r="A27" s="21" t="s">
        <v>2</v>
      </c>
      <c r="B27" s="24" t="s">
        <v>30</v>
      </c>
      <c r="C27" s="6" t="s">
        <v>29</v>
      </c>
      <c r="D27" s="23">
        <v>0</v>
      </c>
    </row>
    <row r="28" spans="1:8" ht="24.75" customHeight="1">
      <c r="A28" s="21" t="s">
        <v>3</v>
      </c>
      <c r="B28" s="24" t="s">
        <v>24</v>
      </c>
      <c r="C28" s="6" t="s">
        <v>20</v>
      </c>
      <c r="D28" s="23">
        <f>4835000</f>
        <v>4835000</v>
      </c>
    </row>
    <row r="29" spans="1:8" ht="24.75" customHeight="1">
      <c r="A29" s="21" t="s">
        <v>4</v>
      </c>
      <c r="B29" s="24" t="s">
        <v>25</v>
      </c>
      <c r="C29" s="6" t="s">
        <v>20</v>
      </c>
      <c r="D29" s="295"/>
    </row>
    <row r="30" spans="1:8" ht="29.25" customHeight="1">
      <c r="A30" s="21" t="s">
        <v>5</v>
      </c>
      <c r="B30" s="296" t="s">
        <v>378</v>
      </c>
      <c r="C30" s="6" t="s">
        <v>379</v>
      </c>
      <c r="D30" s="23">
        <v>1541669</v>
      </c>
    </row>
    <row r="31" spans="1:8" ht="21.75" customHeight="1">
      <c r="A31" s="27"/>
      <c r="B31" s="28"/>
      <c r="C31" s="27"/>
      <c r="D31" s="29"/>
    </row>
    <row r="32" spans="1:8" ht="24.75" customHeight="1"/>
    <row r="33" ht="24.75" customHeight="1"/>
    <row r="34" ht="24.75" customHeight="1"/>
  </sheetData>
  <sheetProtection algorithmName="SHA-512" hashValue="BXr7ar4H5196hv8Xy7STaqxzhARo2StyJjqnhdMshLzm6fxnlQvjU1JXmGKzKjsbbs4hErAN6l1lIZizkHQIUA==" saltValue="IALPltA4iBJxihD3KrwjkQ==" spinCount="100000" sheet="1" formatColumns="0" formatRows="0"/>
  <mergeCells count="4">
    <mergeCell ref="A3:D3"/>
    <mergeCell ref="A14:B14"/>
    <mergeCell ref="A26:B26"/>
    <mergeCell ref="B16:D16"/>
  </mergeCells>
  <phoneticPr fontId="28" type="noConversion"/>
  <printOptions horizontalCentered="1"/>
  <pageMargins left="0.47244094488188981" right="0.23622047244094491" top="1.6535433070866143" bottom="0.59055118110236227" header="0.86614173228346458" footer="0.51181102362204722"/>
  <pageSetup paperSize="9" scale="91" orientation="portrait" horizontalDpi="4294967295" verticalDpi="300" r:id="rId1"/>
  <headerFooter alignWithMargins="0">
    <oddHeader>&amp;R&amp;10Tabela Nr 3 
do uchwały Nr ...............
Rady Powiatu  Otwockiego
z dnia..........................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175"/>
  <sheetViews>
    <sheetView zoomScaleNormal="100" workbookViewId="0">
      <pane ySplit="4" topLeftCell="A134" activePane="bottomLeft" state="frozen"/>
      <selection activeCell="M10" sqref="M10"/>
      <selection pane="bottomLeft" activeCell="F113" sqref="F113"/>
    </sheetView>
  </sheetViews>
  <sheetFormatPr defaultColWidth="9.33203125" defaultRowHeight="12.75"/>
  <cols>
    <col min="1" max="1" width="6.33203125" style="252" customWidth="1"/>
    <col min="2" max="2" width="10.5" style="252" customWidth="1"/>
    <col min="3" max="3" width="10.1640625" style="251" customWidth="1"/>
    <col min="4" max="4" width="63.6640625" style="253" customWidth="1"/>
    <col min="5" max="6" width="20.6640625" style="254" customWidth="1"/>
    <col min="7" max="16384" width="9.33203125" style="246"/>
  </cols>
  <sheetData>
    <row r="2" spans="1:6" ht="41.25" customHeight="1">
      <c r="A2" s="480" t="s">
        <v>208</v>
      </c>
      <c r="B2" s="480"/>
      <c r="C2" s="480"/>
      <c r="D2" s="480"/>
      <c r="E2" s="480"/>
      <c r="F2" s="480"/>
    </row>
    <row r="4" spans="1:6" s="251" customFormat="1" ht="18" customHeight="1">
      <c r="A4" s="247" t="s">
        <v>0</v>
      </c>
      <c r="B4" s="247" t="s">
        <v>138</v>
      </c>
      <c r="C4" s="248" t="s">
        <v>139</v>
      </c>
      <c r="D4" s="249" t="s">
        <v>140</v>
      </c>
      <c r="E4" s="250" t="s">
        <v>141</v>
      </c>
      <c r="F4" s="250" t="s">
        <v>142</v>
      </c>
    </row>
    <row r="5" spans="1:6" s="424" customFormat="1" ht="18" customHeight="1">
      <c r="A5" s="427" t="s">
        <v>143</v>
      </c>
      <c r="B5" s="427" t="s">
        <v>232</v>
      </c>
      <c r="C5" s="427" t="s">
        <v>232</v>
      </c>
      <c r="D5" s="428" t="s">
        <v>144</v>
      </c>
      <c r="E5" s="429">
        <v>12000</v>
      </c>
      <c r="F5" s="429">
        <v>12000</v>
      </c>
    </row>
    <row r="6" spans="1:6" s="424" customFormat="1" ht="18" customHeight="1">
      <c r="A6" s="430" t="s">
        <v>232</v>
      </c>
      <c r="B6" s="430" t="s">
        <v>145</v>
      </c>
      <c r="C6" s="430" t="s">
        <v>232</v>
      </c>
      <c r="D6" s="431" t="s">
        <v>146</v>
      </c>
      <c r="E6" s="432">
        <v>12000</v>
      </c>
      <c r="F6" s="432">
        <v>12000</v>
      </c>
    </row>
    <row r="7" spans="1:6" s="424" customFormat="1" ht="38.25">
      <c r="A7" s="422" t="s">
        <v>232</v>
      </c>
      <c r="B7" s="422" t="s">
        <v>232</v>
      </c>
      <c r="C7" s="422" t="s">
        <v>233</v>
      </c>
      <c r="D7" s="423" t="s">
        <v>234</v>
      </c>
      <c r="E7" s="425">
        <v>12000</v>
      </c>
      <c r="F7" s="425">
        <v>0</v>
      </c>
    </row>
    <row r="8" spans="1:6" s="424" customFormat="1">
      <c r="A8" s="422" t="s">
        <v>232</v>
      </c>
      <c r="B8" s="422" t="s">
        <v>232</v>
      </c>
      <c r="C8" s="422" t="s">
        <v>235</v>
      </c>
      <c r="D8" s="423" t="s">
        <v>147</v>
      </c>
      <c r="E8" s="425">
        <v>0</v>
      </c>
      <c r="F8" s="425">
        <v>12000</v>
      </c>
    </row>
    <row r="9" spans="1:6" s="424" customFormat="1" ht="18" customHeight="1">
      <c r="A9" s="427" t="s">
        <v>236</v>
      </c>
      <c r="B9" s="427" t="s">
        <v>232</v>
      </c>
      <c r="C9" s="427" t="s">
        <v>232</v>
      </c>
      <c r="D9" s="428" t="s">
        <v>148</v>
      </c>
      <c r="E9" s="429">
        <v>291000</v>
      </c>
      <c r="F9" s="429">
        <v>291000</v>
      </c>
    </row>
    <row r="10" spans="1:6" s="424" customFormat="1" ht="18" customHeight="1">
      <c r="A10" s="430" t="s">
        <v>232</v>
      </c>
      <c r="B10" s="430" t="s">
        <v>237</v>
      </c>
      <c r="C10" s="430" t="s">
        <v>232</v>
      </c>
      <c r="D10" s="431" t="s">
        <v>149</v>
      </c>
      <c r="E10" s="432">
        <v>291000</v>
      </c>
      <c r="F10" s="432">
        <v>291000</v>
      </c>
    </row>
    <row r="11" spans="1:6" s="424" customFormat="1" ht="38.25">
      <c r="A11" s="422" t="s">
        <v>232</v>
      </c>
      <c r="B11" s="422" t="s">
        <v>232</v>
      </c>
      <c r="C11" s="422" t="s">
        <v>233</v>
      </c>
      <c r="D11" s="423" t="s">
        <v>234</v>
      </c>
      <c r="E11" s="425">
        <v>291000</v>
      </c>
      <c r="F11" s="425">
        <v>0</v>
      </c>
    </row>
    <row r="12" spans="1:6" s="424" customFormat="1">
      <c r="A12" s="422" t="s">
        <v>232</v>
      </c>
      <c r="B12" s="422" t="s">
        <v>232</v>
      </c>
      <c r="C12" s="422" t="s">
        <v>238</v>
      </c>
      <c r="D12" s="423" t="s">
        <v>150</v>
      </c>
      <c r="E12" s="425">
        <v>0</v>
      </c>
      <c r="F12" s="425">
        <v>52248</v>
      </c>
    </row>
    <row r="13" spans="1:6" s="424" customFormat="1">
      <c r="A13" s="422" t="s">
        <v>232</v>
      </c>
      <c r="B13" s="422" t="s">
        <v>232</v>
      </c>
      <c r="C13" s="422" t="s">
        <v>239</v>
      </c>
      <c r="D13" s="423" t="s">
        <v>151</v>
      </c>
      <c r="E13" s="425">
        <v>0</v>
      </c>
      <c r="F13" s="425">
        <v>8982</v>
      </c>
    </row>
    <row r="14" spans="1:6" s="424" customFormat="1">
      <c r="A14" s="422" t="s">
        <v>232</v>
      </c>
      <c r="B14" s="422" t="s">
        <v>232</v>
      </c>
      <c r="C14" s="422" t="s">
        <v>240</v>
      </c>
      <c r="D14" s="423" t="s">
        <v>152</v>
      </c>
      <c r="E14" s="425">
        <v>0</v>
      </c>
      <c r="F14" s="425">
        <v>1280</v>
      </c>
    </row>
    <row r="15" spans="1:6" s="424" customFormat="1">
      <c r="A15" s="422" t="s">
        <v>232</v>
      </c>
      <c r="B15" s="422" t="s">
        <v>232</v>
      </c>
      <c r="C15" s="422" t="s">
        <v>241</v>
      </c>
      <c r="D15" s="423" t="s">
        <v>153</v>
      </c>
      <c r="E15" s="425">
        <v>0</v>
      </c>
      <c r="F15" s="425">
        <v>0</v>
      </c>
    </row>
    <row r="16" spans="1:6" s="424" customFormat="1">
      <c r="A16" s="422" t="s">
        <v>232</v>
      </c>
      <c r="B16" s="422" t="s">
        <v>232</v>
      </c>
      <c r="C16" s="422" t="s">
        <v>242</v>
      </c>
      <c r="D16" s="423" t="s">
        <v>154</v>
      </c>
      <c r="E16" s="425">
        <v>0</v>
      </c>
      <c r="F16" s="425">
        <v>435</v>
      </c>
    </row>
    <row r="17" spans="1:6" s="424" customFormat="1">
      <c r="A17" s="422" t="s">
        <v>232</v>
      </c>
      <c r="B17" s="422" t="s">
        <v>232</v>
      </c>
      <c r="C17" s="422" t="s">
        <v>243</v>
      </c>
      <c r="D17" s="423" t="s">
        <v>155</v>
      </c>
      <c r="E17" s="425">
        <v>0</v>
      </c>
      <c r="F17" s="425">
        <v>0</v>
      </c>
    </row>
    <row r="18" spans="1:6" s="424" customFormat="1">
      <c r="A18" s="422" t="s">
        <v>232</v>
      </c>
      <c r="B18" s="422" t="s">
        <v>232</v>
      </c>
      <c r="C18" s="422" t="s">
        <v>244</v>
      </c>
      <c r="D18" s="423" t="s">
        <v>156</v>
      </c>
      <c r="E18" s="425">
        <v>0</v>
      </c>
      <c r="F18" s="425">
        <v>26000</v>
      </c>
    </row>
    <row r="19" spans="1:6" s="424" customFormat="1">
      <c r="A19" s="422" t="s">
        <v>232</v>
      </c>
      <c r="B19" s="422" t="s">
        <v>232</v>
      </c>
      <c r="C19" s="422" t="s">
        <v>235</v>
      </c>
      <c r="D19" s="423" t="s">
        <v>147</v>
      </c>
      <c r="E19" s="425">
        <v>0</v>
      </c>
      <c r="F19" s="425">
        <v>45000</v>
      </c>
    </row>
    <row r="20" spans="1:6" s="424" customFormat="1" ht="25.5">
      <c r="A20" s="422" t="s">
        <v>232</v>
      </c>
      <c r="B20" s="422" t="s">
        <v>232</v>
      </c>
      <c r="C20" s="422" t="s">
        <v>245</v>
      </c>
      <c r="D20" s="423" t="s">
        <v>157</v>
      </c>
      <c r="E20" s="425">
        <v>0</v>
      </c>
      <c r="F20" s="425">
        <v>56100</v>
      </c>
    </row>
    <row r="21" spans="1:6" s="424" customFormat="1">
      <c r="A21" s="422" t="s">
        <v>232</v>
      </c>
      <c r="B21" s="422" t="s">
        <v>232</v>
      </c>
      <c r="C21" s="422" t="s">
        <v>246</v>
      </c>
      <c r="D21" s="423" t="s">
        <v>158</v>
      </c>
      <c r="E21" s="425">
        <v>0</v>
      </c>
      <c r="F21" s="425">
        <v>0</v>
      </c>
    </row>
    <row r="22" spans="1:6" s="424" customFormat="1">
      <c r="A22" s="422" t="s">
        <v>232</v>
      </c>
      <c r="B22" s="422" t="s">
        <v>232</v>
      </c>
      <c r="C22" s="422" t="s">
        <v>247</v>
      </c>
      <c r="D22" s="423" t="s">
        <v>159</v>
      </c>
      <c r="E22" s="425">
        <v>0</v>
      </c>
      <c r="F22" s="425">
        <v>49000</v>
      </c>
    </row>
    <row r="23" spans="1:6" s="424" customFormat="1">
      <c r="A23" s="422" t="s">
        <v>232</v>
      </c>
      <c r="B23" s="422" t="s">
        <v>232</v>
      </c>
      <c r="C23" s="422" t="s">
        <v>248</v>
      </c>
      <c r="D23" s="423" t="s">
        <v>160</v>
      </c>
      <c r="E23" s="425">
        <v>0</v>
      </c>
      <c r="F23" s="425">
        <v>10000</v>
      </c>
    </row>
    <row r="24" spans="1:6" s="424" customFormat="1" ht="18" customHeight="1">
      <c r="A24" s="422" t="s">
        <v>232</v>
      </c>
      <c r="B24" s="422" t="s">
        <v>232</v>
      </c>
      <c r="C24" s="422" t="s">
        <v>249</v>
      </c>
      <c r="D24" s="423" t="s">
        <v>161</v>
      </c>
      <c r="E24" s="425">
        <v>0</v>
      </c>
      <c r="F24" s="425">
        <v>18955</v>
      </c>
    </row>
    <row r="25" spans="1:6" s="424" customFormat="1">
      <c r="A25" s="422" t="s">
        <v>232</v>
      </c>
      <c r="B25" s="422" t="s">
        <v>232</v>
      </c>
      <c r="C25" s="422" t="s">
        <v>250</v>
      </c>
      <c r="D25" s="423" t="s">
        <v>162</v>
      </c>
      <c r="E25" s="425">
        <v>0</v>
      </c>
      <c r="F25" s="425">
        <v>6000</v>
      </c>
    </row>
    <row r="26" spans="1:6" s="424" customFormat="1" ht="18" customHeight="1">
      <c r="A26" s="422" t="s">
        <v>232</v>
      </c>
      <c r="B26" s="422" t="s">
        <v>232</v>
      </c>
      <c r="C26" s="422" t="s">
        <v>251</v>
      </c>
      <c r="D26" s="423" t="s">
        <v>163</v>
      </c>
      <c r="E26" s="425">
        <v>0</v>
      </c>
      <c r="F26" s="425">
        <v>17000</v>
      </c>
    </row>
    <row r="27" spans="1:6" s="424" customFormat="1" ht="18" customHeight="1">
      <c r="A27" s="427" t="s">
        <v>252</v>
      </c>
      <c r="B27" s="427" t="s">
        <v>232</v>
      </c>
      <c r="C27" s="427" t="s">
        <v>232</v>
      </c>
      <c r="D27" s="428" t="s">
        <v>164</v>
      </c>
      <c r="E27" s="429">
        <v>1487169</v>
      </c>
      <c r="F27" s="429">
        <v>1487169</v>
      </c>
    </row>
    <row r="28" spans="1:6" s="424" customFormat="1" ht="18" customHeight="1">
      <c r="A28" s="430" t="s">
        <v>232</v>
      </c>
      <c r="B28" s="430" t="s">
        <v>165</v>
      </c>
      <c r="C28" s="430" t="s">
        <v>232</v>
      </c>
      <c r="D28" s="431" t="s">
        <v>166</v>
      </c>
      <c r="E28" s="432">
        <v>331000</v>
      </c>
      <c r="F28" s="432">
        <v>331000</v>
      </c>
    </row>
    <row r="29" spans="1:6" s="424" customFormat="1" ht="38.25">
      <c r="A29" s="422" t="s">
        <v>232</v>
      </c>
      <c r="B29" s="422" t="s">
        <v>232</v>
      </c>
      <c r="C29" s="422" t="s">
        <v>233</v>
      </c>
      <c r="D29" s="423" t="s">
        <v>234</v>
      </c>
      <c r="E29" s="425">
        <v>331000</v>
      </c>
      <c r="F29" s="425">
        <v>0</v>
      </c>
    </row>
    <row r="30" spans="1:6" s="424" customFormat="1">
      <c r="A30" s="422" t="s">
        <v>232</v>
      </c>
      <c r="B30" s="422" t="s">
        <v>232</v>
      </c>
      <c r="C30" s="422" t="s">
        <v>238</v>
      </c>
      <c r="D30" s="423" t="s">
        <v>150</v>
      </c>
      <c r="E30" s="425">
        <v>0</v>
      </c>
      <c r="F30" s="425">
        <v>205007</v>
      </c>
    </row>
    <row r="31" spans="1:6" s="424" customFormat="1">
      <c r="A31" s="422" t="s">
        <v>232</v>
      </c>
      <c r="B31" s="422" t="s">
        <v>232</v>
      </c>
      <c r="C31" s="422" t="s">
        <v>239</v>
      </c>
      <c r="D31" s="423" t="s">
        <v>151</v>
      </c>
      <c r="E31" s="425">
        <v>0</v>
      </c>
      <c r="F31" s="425">
        <v>35241</v>
      </c>
    </row>
    <row r="32" spans="1:6" s="424" customFormat="1">
      <c r="A32" s="422" t="s">
        <v>232</v>
      </c>
      <c r="B32" s="422" t="s">
        <v>232</v>
      </c>
      <c r="C32" s="422" t="s">
        <v>240</v>
      </c>
      <c r="D32" s="423" t="s">
        <v>152</v>
      </c>
      <c r="E32" s="425">
        <v>0</v>
      </c>
      <c r="F32" s="425">
        <v>5023</v>
      </c>
    </row>
    <row r="33" spans="1:6" s="424" customFormat="1">
      <c r="A33" s="422" t="s">
        <v>232</v>
      </c>
      <c r="B33" s="422" t="s">
        <v>232</v>
      </c>
      <c r="C33" s="422" t="s">
        <v>235</v>
      </c>
      <c r="D33" s="423" t="s">
        <v>147</v>
      </c>
      <c r="E33" s="425">
        <v>0</v>
      </c>
      <c r="F33" s="425">
        <v>85729</v>
      </c>
    </row>
    <row r="34" spans="1:6" s="424" customFormat="1" ht="18" customHeight="1">
      <c r="A34" s="430" t="s">
        <v>232</v>
      </c>
      <c r="B34" s="430" t="s">
        <v>253</v>
      </c>
      <c r="C34" s="430" t="s">
        <v>232</v>
      </c>
      <c r="D34" s="431" t="s">
        <v>167</v>
      </c>
      <c r="E34" s="432">
        <v>1156169</v>
      </c>
      <c r="F34" s="432">
        <v>1156169</v>
      </c>
    </row>
    <row r="35" spans="1:6" s="424" customFormat="1" ht="38.25">
      <c r="A35" s="422" t="s">
        <v>232</v>
      </c>
      <c r="B35" s="422" t="s">
        <v>232</v>
      </c>
      <c r="C35" s="422" t="s">
        <v>233</v>
      </c>
      <c r="D35" s="423" t="s">
        <v>234</v>
      </c>
      <c r="E35" s="425">
        <v>1156169</v>
      </c>
      <c r="F35" s="425">
        <v>0</v>
      </c>
    </row>
    <row r="36" spans="1:6" s="424" customFormat="1">
      <c r="A36" s="422" t="s">
        <v>232</v>
      </c>
      <c r="B36" s="422" t="s">
        <v>232</v>
      </c>
      <c r="C36" s="422" t="s">
        <v>254</v>
      </c>
      <c r="D36" s="423" t="s">
        <v>168</v>
      </c>
      <c r="E36" s="425">
        <v>0</v>
      </c>
      <c r="F36" s="425">
        <v>220</v>
      </c>
    </row>
    <row r="37" spans="1:6" s="424" customFormat="1">
      <c r="A37" s="422" t="s">
        <v>232</v>
      </c>
      <c r="B37" s="422" t="s">
        <v>232</v>
      </c>
      <c r="C37" s="422" t="s">
        <v>238</v>
      </c>
      <c r="D37" s="423" t="s">
        <v>150</v>
      </c>
      <c r="E37" s="425">
        <v>0</v>
      </c>
      <c r="F37" s="425">
        <v>240121</v>
      </c>
    </row>
    <row r="38" spans="1:6" s="424" customFormat="1">
      <c r="A38" s="422" t="s">
        <v>232</v>
      </c>
      <c r="B38" s="422" t="s">
        <v>232</v>
      </c>
      <c r="C38" s="422" t="s">
        <v>255</v>
      </c>
      <c r="D38" s="423" t="s">
        <v>169</v>
      </c>
      <c r="E38" s="425">
        <v>0</v>
      </c>
      <c r="F38" s="425">
        <v>551914</v>
      </c>
    </row>
    <row r="39" spans="1:6" s="424" customFormat="1">
      <c r="A39" s="422" t="s">
        <v>232</v>
      </c>
      <c r="B39" s="422" t="s">
        <v>232</v>
      </c>
      <c r="C39" s="422" t="s">
        <v>256</v>
      </c>
      <c r="D39" s="423" t="s">
        <v>170</v>
      </c>
      <c r="E39" s="425">
        <v>0</v>
      </c>
      <c r="F39" s="425">
        <v>51983</v>
      </c>
    </row>
    <row r="40" spans="1:6" s="424" customFormat="1">
      <c r="A40" s="422" t="s">
        <v>232</v>
      </c>
      <c r="B40" s="422" t="s">
        <v>232</v>
      </c>
      <c r="C40" s="422" t="s">
        <v>239</v>
      </c>
      <c r="D40" s="423" t="s">
        <v>151</v>
      </c>
      <c r="E40" s="425">
        <v>0</v>
      </c>
      <c r="F40" s="425">
        <v>134132</v>
      </c>
    </row>
    <row r="41" spans="1:6" s="424" customFormat="1">
      <c r="A41" s="422" t="s">
        <v>232</v>
      </c>
      <c r="B41" s="422" t="s">
        <v>232</v>
      </c>
      <c r="C41" s="422" t="s">
        <v>240</v>
      </c>
      <c r="D41" s="423" t="s">
        <v>152</v>
      </c>
      <c r="E41" s="425">
        <v>0</v>
      </c>
      <c r="F41" s="425">
        <v>18464</v>
      </c>
    </row>
    <row r="42" spans="1:6" s="424" customFormat="1">
      <c r="A42" s="422" t="s">
        <v>232</v>
      </c>
      <c r="B42" s="422" t="s">
        <v>232</v>
      </c>
      <c r="C42" s="422" t="s">
        <v>241</v>
      </c>
      <c r="D42" s="423" t="s">
        <v>153</v>
      </c>
      <c r="E42" s="425">
        <v>0</v>
      </c>
      <c r="F42" s="425">
        <v>1225</v>
      </c>
    </row>
    <row r="43" spans="1:6" s="424" customFormat="1">
      <c r="A43" s="422" t="s">
        <v>232</v>
      </c>
      <c r="B43" s="422" t="s">
        <v>232</v>
      </c>
      <c r="C43" s="422" t="s">
        <v>242</v>
      </c>
      <c r="D43" s="423" t="s">
        <v>154</v>
      </c>
      <c r="E43" s="425">
        <v>0</v>
      </c>
      <c r="F43" s="425">
        <v>13316</v>
      </c>
    </row>
    <row r="44" spans="1:6" s="424" customFormat="1">
      <c r="A44" s="422" t="s">
        <v>232</v>
      </c>
      <c r="B44" s="422" t="s">
        <v>232</v>
      </c>
      <c r="C44" s="422" t="s">
        <v>243</v>
      </c>
      <c r="D44" s="423" t="s">
        <v>155</v>
      </c>
      <c r="E44" s="425">
        <v>0</v>
      </c>
      <c r="F44" s="425">
        <v>18030</v>
      </c>
    </row>
    <row r="45" spans="1:6" s="424" customFormat="1">
      <c r="A45" s="422" t="s">
        <v>232</v>
      </c>
      <c r="B45" s="422" t="s">
        <v>232</v>
      </c>
      <c r="C45" s="422" t="s">
        <v>244</v>
      </c>
      <c r="D45" s="423" t="s">
        <v>156</v>
      </c>
      <c r="E45" s="425">
        <v>0</v>
      </c>
      <c r="F45" s="425">
        <v>5050</v>
      </c>
    </row>
    <row r="46" spans="1:6" s="424" customFormat="1">
      <c r="A46" s="422" t="s">
        <v>232</v>
      </c>
      <c r="B46" s="422" t="s">
        <v>232</v>
      </c>
      <c r="C46" s="422" t="s">
        <v>257</v>
      </c>
      <c r="D46" s="423" t="s">
        <v>171</v>
      </c>
      <c r="E46" s="425">
        <v>0</v>
      </c>
      <c r="F46" s="425">
        <v>964</v>
      </c>
    </row>
    <row r="47" spans="1:6" s="424" customFormat="1">
      <c r="A47" s="422" t="s">
        <v>232</v>
      </c>
      <c r="B47" s="422" t="s">
        <v>232</v>
      </c>
      <c r="C47" s="422" t="s">
        <v>235</v>
      </c>
      <c r="D47" s="423" t="s">
        <v>147</v>
      </c>
      <c r="E47" s="425">
        <v>0</v>
      </c>
      <c r="F47" s="425">
        <v>85228</v>
      </c>
    </row>
    <row r="48" spans="1:6" s="424" customFormat="1">
      <c r="A48" s="422" t="s">
        <v>232</v>
      </c>
      <c r="B48" s="422" t="s">
        <v>232</v>
      </c>
      <c r="C48" s="422" t="s">
        <v>258</v>
      </c>
      <c r="D48" s="423" t="s">
        <v>259</v>
      </c>
      <c r="E48" s="425">
        <v>0</v>
      </c>
      <c r="F48" s="425">
        <v>4251</v>
      </c>
    </row>
    <row r="49" spans="1:6" s="424" customFormat="1">
      <c r="A49" s="422" t="s">
        <v>232</v>
      </c>
      <c r="B49" s="422" t="s">
        <v>232</v>
      </c>
      <c r="C49" s="422" t="s">
        <v>260</v>
      </c>
      <c r="D49" s="423" t="s">
        <v>172</v>
      </c>
      <c r="E49" s="425">
        <v>0</v>
      </c>
      <c r="F49" s="425">
        <v>512</v>
      </c>
    </row>
    <row r="50" spans="1:6" s="424" customFormat="1">
      <c r="A50" s="422" t="s">
        <v>232</v>
      </c>
      <c r="B50" s="422" t="s">
        <v>232</v>
      </c>
      <c r="C50" s="422" t="s">
        <v>246</v>
      </c>
      <c r="D50" s="423" t="s">
        <v>158</v>
      </c>
      <c r="E50" s="425">
        <v>0</v>
      </c>
      <c r="F50" s="425">
        <v>4796</v>
      </c>
    </row>
    <row r="51" spans="1:6" s="424" customFormat="1">
      <c r="A51" s="422" t="s">
        <v>232</v>
      </c>
      <c r="B51" s="422" t="s">
        <v>232</v>
      </c>
      <c r="C51" s="422" t="s">
        <v>261</v>
      </c>
      <c r="D51" s="423" t="s">
        <v>173</v>
      </c>
      <c r="E51" s="425">
        <v>0</v>
      </c>
      <c r="F51" s="425">
        <v>18709</v>
      </c>
    </row>
    <row r="52" spans="1:6" s="424" customFormat="1">
      <c r="A52" s="422" t="s">
        <v>232</v>
      </c>
      <c r="B52" s="422" t="s">
        <v>232</v>
      </c>
      <c r="C52" s="422" t="s">
        <v>247</v>
      </c>
      <c r="D52" s="423" t="s">
        <v>159</v>
      </c>
      <c r="E52" s="425">
        <v>0</v>
      </c>
      <c r="F52" s="425">
        <v>1300</v>
      </c>
    </row>
    <row r="53" spans="1:6" s="424" customFormat="1" ht="18" customHeight="1">
      <c r="A53" s="422" t="s">
        <v>232</v>
      </c>
      <c r="B53" s="422" t="s">
        <v>232</v>
      </c>
      <c r="C53" s="422" t="s">
        <v>262</v>
      </c>
      <c r="D53" s="423" t="s">
        <v>174</v>
      </c>
      <c r="E53" s="425">
        <v>0</v>
      </c>
      <c r="F53" s="425">
        <v>1171</v>
      </c>
    </row>
    <row r="54" spans="1:6" s="424" customFormat="1" ht="18" customHeight="1">
      <c r="A54" s="422" t="s">
        <v>232</v>
      </c>
      <c r="B54" s="422" t="s">
        <v>232</v>
      </c>
      <c r="C54" s="422" t="s">
        <v>251</v>
      </c>
      <c r="D54" s="423" t="s">
        <v>163</v>
      </c>
      <c r="E54" s="425">
        <v>0</v>
      </c>
      <c r="F54" s="425">
        <v>1085</v>
      </c>
    </row>
    <row r="55" spans="1:6" s="424" customFormat="1" ht="34.9" customHeight="1">
      <c r="A55" s="422" t="s">
        <v>232</v>
      </c>
      <c r="B55" s="422" t="s">
        <v>232</v>
      </c>
      <c r="C55" s="422" t="s">
        <v>263</v>
      </c>
      <c r="D55" s="423" t="s">
        <v>175</v>
      </c>
      <c r="E55" s="425">
        <v>0</v>
      </c>
      <c r="F55" s="425">
        <v>1171</v>
      </c>
    </row>
    <row r="56" spans="1:6" s="424" customFormat="1" ht="18.600000000000001" customHeight="1">
      <c r="A56" s="422" t="s">
        <v>232</v>
      </c>
      <c r="B56" s="422" t="s">
        <v>232</v>
      </c>
      <c r="C56" s="422" t="s">
        <v>264</v>
      </c>
      <c r="D56" s="423" t="s">
        <v>176</v>
      </c>
      <c r="E56" s="425">
        <v>0</v>
      </c>
      <c r="F56" s="425">
        <v>2527</v>
      </c>
    </row>
    <row r="57" spans="1:6" s="424" customFormat="1" ht="18" customHeight="1">
      <c r="A57" s="427" t="s">
        <v>265</v>
      </c>
      <c r="B57" s="427" t="s">
        <v>232</v>
      </c>
      <c r="C57" s="427" t="s">
        <v>232</v>
      </c>
      <c r="D57" s="428" t="s">
        <v>177</v>
      </c>
      <c r="E57" s="429">
        <v>57451</v>
      </c>
      <c r="F57" s="429">
        <v>57451</v>
      </c>
    </row>
    <row r="58" spans="1:6" s="424" customFormat="1" ht="18" customHeight="1">
      <c r="A58" s="430" t="s">
        <v>232</v>
      </c>
      <c r="B58" s="430" t="s">
        <v>266</v>
      </c>
      <c r="C58" s="430" t="s">
        <v>232</v>
      </c>
      <c r="D58" s="431" t="s">
        <v>178</v>
      </c>
      <c r="E58" s="432">
        <v>34791</v>
      </c>
      <c r="F58" s="432">
        <v>34791</v>
      </c>
    </row>
    <row r="59" spans="1:6" s="424" customFormat="1" ht="38.25">
      <c r="A59" s="422" t="s">
        <v>232</v>
      </c>
      <c r="B59" s="422" t="s">
        <v>232</v>
      </c>
      <c r="C59" s="422" t="s">
        <v>233</v>
      </c>
      <c r="D59" s="423" t="s">
        <v>234</v>
      </c>
      <c r="E59" s="425">
        <v>34791</v>
      </c>
      <c r="F59" s="425">
        <v>0</v>
      </c>
    </row>
    <row r="60" spans="1:6" s="424" customFormat="1">
      <c r="A60" s="422" t="s">
        <v>232</v>
      </c>
      <c r="B60" s="422" t="s">
        <v>232</v>
      </c>
      <c r="C60" s="422" t="s">
        <v>238</v>
      </c>
      <c r="D60" s="423" t="s">
        <v>150</v>
      </c>
      <c r="E60" s="425">
        <v>0</v>
      </c>
      <c r="F60" s="425">
        <v>29080</v>
      </c>
    </row>
    <row r="61" spans="1:6" s="424" customFormat="1">
      <c r="A61" s="422" t="s">
        <v>232</v>
      </c>
      <c r="B61" s="422" t="s">
        <v>232</v>
      </c>
      <c r="C61" s="422" t="s">
        <v>239</v>
      </c>
      <c r="D61" s="423" t="s">
        <v>151</v>
      </c>
      <c r="E61" s="425">
        <v>0</v>
      </c>
      <c r="F61" s="425">
        <v>4999</v>
      </c>
    </row>
    <row r="62" spans="1:6" s="424" customFormat="1">
      <c r="A62" s="422" t="s">
        <v>232</v>
      </c>
      <c r="B62" s="422" t="s">
        <v>232</v>
      </c>
      <c r="C62" s="422" t="s">
        <v>240</v>
      </c>
      <c r="D62" s="423" t="s">
        <v>152</v>
      </c>
      <c r="E62" s="425">
        <v>0</v>
      </c>
      <c r="F62" s="425">
        <v>712</v>
      </c>
    </row>
    <row r="63" spans="1:6" s="424" customFormat="1" ht="18" customHeight="1">
      <c r="A63" s="430" t="s">
        <v>232</v>
      </c>
      <c r="B63" s="430" t="s">
        <v>267</v>
      </c>
      <c r="C63" s="430" t="s">
        <v>232</v>
      </c>
      <c r="D63" s="431" t="s">
        <v>179</v>
      </c>
      <c r="E63" s="432">
        <v>22660</v>
      </c>
      <c r="F63" s="432">
        <v>22660</v>
      </c>
    </row>
    <row r="64" spans="1:6" s="424" customFormat="1" ht="38.25">
      <c r="A64" s="422" t="s">
        <v>232</v>
      </c>
      <c r="B64" s="422" t="s">
        <v>232</v>
      </c>
      <c r="C64" s="422" t="s">
        <v>233</v>
      </c>
      <c r="D64" s="423" t="s">
        <v>234</v>
      </c>
      <c r="E64" s="425">
        <v>22660</v>
      </c>
      <c r="F64" s="425">
        <v>0</v>
      </c>
    </row>
    <row r="65" spans="1:6" s="424" customFormat="1">
      <c r="A65" s="422" t="s">
        <v>232</v>
      </c>
      <c r="B65" s="422" t="s">
        <v>232</v>
      </c>
      <c r="C65" s="422" t="s">
        <v>239</v>
      </c>
      <c r="D65" s="423" t="s">
        <v>151</v>
      </c>
      <c r="E65" s="425">
        <v>0</v>
      </c>
      <c r="F65" s="425">
        <v>2581</v>
      </c>
    </row>
    <row r="66" spans="1:6" s="424" customFormat="1">
      <c r="A66" s="422" t="s">
        <v>232</v>
      </c>
      <c r="B66" s="422" t="s">
        <v>232</v>
      </c>
      <c r="C66" s="422" t="s">
        <v>240</v>
      </c>
      <c r="D66" s="423" t="s">
        <v>152</v>
      </c>
      <c r="E66" s="425">
        <v>0</v>
      </c>
      <c r="F66" s="425">
        <v>368</v>
      </c>
    </row>
    <row r="67" spans="1:6" s="424" customFormat="1">
      <c r="A67" s="422" t="s">
        <v>232</v>
      </c>
      <c r="B67" s="422" t="s">
        <v>232</v>
      </c>
      <c r="C67" s="422" t="s">
        <v>241</v>
      </c>
      <c r="D67" s="423" t="s">
        <v>153</v>
      </c>
      <c r="E67" s="425">
        <v>0</v>
      </c>
      <c r="F67" s="425">
        <v>18011</v>
      </c>
    </row>
    <row r="68" spans="1:6" s="424" customFormat="1">
      <c r="A68" s="422" t="s">
        <v>232</v>
      </c>
      <c r="B68" s="422" t="s">
        <v>232</v>
      </c>
      <c r="C68" s="422" t="s">
        <v>242</v>
      </c>
      <c r="D68" s="423" t="s">
        <v>154</v>
      </c>
      <c r="E68" s="425">
        <v>0</v>
      </c>
      <c r="F68" s="425">
        <v>1500</v>
      </c>
    </row>
    <row r="69" spans="1:6" s="424" customFormat="1">
      <c r="A69" s="422" t="s">
        <v>232</v>
      </c>
      <c r="B69" s="422" t="s">
        <v>232</v>
      </c>
      <c r="C69" s="422" t="s">
        <v>235</v>
      </c>
      <c r="D69" s="423" t="s">
        <v>147</v>
      </c>
      <c r="E69" s="425">
        <v>0</v>
      </c>
      <c r="F69" s="425">
        <v>200</v>
      </c>
    </row>
    <row r="70" spans="1:6" s="424" customFormat="1">
      <c r="A70" s="427" t="s">
        <v>268</v>
      </c>
      <c r="B70" s="427" t="s">
        <v>232</v>
      </c>
      <c r="C70" s="427" t="s">
        <v>232</v>
      </c>
      <c r="D70" s="428" t="s">
        <v>180</v>
      </c>
      <c r="E70" s="429">
        <v>9596400</v>
      </c>
      <c r="F70" s="429">
        <v>9596400</v>
      </c>
    </row>
    <row r="71" spans="1:6" s="424" customFormat="1" ht="18" customHeight="1">
      <c r="A71" s="430" t="s">
        <v>232</v>
      </c>
      <c r="B71" s="430" t="s">
        <v>269</v>
      </c>
      <c r="C71" s="430" t="s">
        <v>232</v>
      </c>
      <c r="D71" s="431" t="s">
        <v>181</v>
      </c>
      <c r="E71" s="432">
        <v>9596400</v>
      </c>
      <c r="F71" s="432">
        <v>9596400</v>
      </c>
    </row>
    <row r="72" spans="1:6" s="424" customFormat="1" ht="38.25">
      <c r="A72" s="422" t="s">
        <v>232</v>
      </c>
      <c r="B72" s="422" t="s">
        <v>232</v>
      </c>
      <c r="C72" s="422" t="s">
        <v>233</v>
      </c>
      <c r="D72" s="423" t="s">
        <v>234</v>
      </c>
      <c r="E72" s="425">
        <v>9596400</v>
      </c>
      <c r="F72" s="425">
        <v>0</v>
      </c>
    </row>
    <row r="73" spans="1:6" s="424" customFormat="1" ht="25.5">
      <c r="A73" s="422" t="s">
        <v>232</v>
      </c>
      <c r="B73" s="422" t="s">
        <v>232</v>
      </c>
      <c r="C73" s="422" t="s">
        <v>270</v>
      </c>
      <c r="D73" s="423" t="s">
        <v>182</v>
      </c>
      <c r="E73" s="425">
        <v>0</v>
      </c>
      <c r="F73" s="425">
        <v>322345</v>
      </c>
    </row>
    <row r="74" spans="1:6" s="424" customFormat="1">
      <c r="A74" s="422" t="s">
        <v>232</v>
      </c>
      <c r="B74" s="422" t="s">
        <v>232</v>
      </c>
      <c r="C74" s="422" t="s">
        <v>238</v>
      </c>
      <c r="D74" s="423" t="s">
        <v>150</v>
      </c>
      <c r="E74" s="425">
        <v>0</v>
      </c>
      <c r="F74" s="425">
        <v>70614</v>
      </c>
    </row>
    <row r="75" spans="1:6" s="424" customFormat="1">
      <c r="A75" s="422" t="s">
        <v>232</v>
      </c>
      <c r="B75" s="422" t="s">
        <v>232</v>
      </c>
      <c r="C75" s="422" t="s">
        <v>255</v>
      </c>
      <c r="D75" s="423" t="s">
        <v>169</v>
      </c>
      <c r="E75" s="425">
        <v>0</v>
      </c>
      <c r="F75" s="425">
        <v>158641</v>
      </c>
    </row>
    <row r="76" spans="1:6" s="424" customFormat="1">
      <c r="A76" s="422" t="s">
        <v>232</v>
      </c>
      <c r="B76" s="422" t="s">
        <v>232</v>
      </c>
      <c r="C76" s="422" t="s">
        <v>256</v>
      </c>
      <c r="D76" s="423" t="s">
        <v>170</v>
      </c>
      <c r="E76" s="425">
        <v>0</v>
      </c>
      <c r="F76" s="425">
        <v>11916</v>
      </c>
    </row>
    <row r="77" spans="1:6" s="424" customFormat="1" ht="18" customHeight="1">
      <c r="A77" s="422" t="s">
        <v>232</v>
      </c>
      <c r="B77" s="422" t="s">
        <v>232</v>
      </c>
      <c r="C77" s="422" t="s">
        <v>271</v>
      </c>
      <c r="D77" s="423" t="s">
        <v>183</v>
      </c>
      <c r="E77" s="425">
        <v>0</v>
      </c>
      <c r="F77" s="425">
        <v>6578963</v>
      </c>
    </row>
    <row r="78" spans="1:6" s="424" customFormat="1" ht="40.15" customHeight="1">
      <c r="A78" s="422"/>
      <c r="B78" s="422" t="s">
        <v>232</v>
      </c>
      <c r="C78" s="422" t="s">
        <v>272</v>
      </c>
      <c r="D78" s="423" t="s">
        <v>184</v>
      </c>
      <c r="E78" s="425">
        <v>0</v>
      </c>
      <c r="F78" s="425">
        <v>174779</v>
      </c>
    </row>
    <row r="79" spans="1:6" s="424" customFormat="1" ht="40.15" customHeight="1">
      <c r="A79" s="422" t="s">
        <v>232</v>
      </c>
      <c r="B79" s="422" t="s">
        <v>232</v>
      </c>
      <c r="C79" s="422" t="s">
        <v>273</v>
      </c>
      <c r="D79" s="423" t="s">
        <v>185</v>
      </c>
      <c r="E79" s="425">
        <v>0</v>
      </c>
      <c r="F79" s="425">
        <v>471177</v>
      </c>
    </row>
    <row r="80" spans="1:6" s="424" customFormat="1" ht="40.15" customHeight="1">
      <c r="A80" s="422" t="s">
        <v>232</v>
      </c>
      <c r="B80" s="422" t="s">
        <v>232</v>
      </c>
      <c r="C80" s="422" t="s">
        <v>274</v>
      </c>
      <c r="D80" s="423" t="s">
        <v>186</v>
      </c>
      <c r="E80" s="425">
        <v>0</v>
      </c>
      <c r="F80" s="425">
        <v>20592</v>
      </c>
    </row>
    <row r="81" spans="1:6" s="424" customFormat="1" ht="18" customHeight="1">
      <c r="A81" s="422" t="s">
        <v>232</v>
      </c>
      <c r="B81" s="422" t="s">
        <v>232</v>
      </c>
      <c r="C81" s="422" t="s">
        <v>239</v>
      </c>
      <c r="D81" s="423" t="s">
        <v>151</v>
      </c>
      <c r="E81" s="425">
        <v>0</v>
      </c>
      <c r="F81" s="425">
        <v>42444</v>
      </c>
    </row>
    <row r="82" spans="1:6" s="424" customFormat="1" ht="18" customHeight="1">
      <c r="A82" s="422" t="s">
        <v>232</v>
      </c>
      <c r="B82" s="422" t="s">
        <v>232</v>
      </c>
      <c r="C82" s="422" t="s">
        <v>240</v>
      </c>
      <c r="D82" s="423" t="s">
        <v>152</v>
      </c>
      <c r="E82" s="425">
        <v>0</v>
      </c>
      <c r="F82" s="425">
        <v>5758</v>
      </c>
    </row>
    <row r="83" spans="1:6" s="424" customFormat="1" ht="18" customHeight="1">
      <c r="A83" s="422" t="s">
        <v>232</v>
      </c>
      <c r="B83" s="422" t="s">
        <v>232</v>
      </c>
      <c r="C83" s="422" t="s">
        <v>241</v>
      </c>
      <c r="D83" s="423" t="s">
        <v>153</v>
      </c>
      <c r="E83" s="425">
        <v>0</v>
      </c>
      <c r="F83" s="425">
        <v>1458</v>
      </c>
    </row>
    <row r="84" spans="1:6" s="424" customFormat="1" ht="37.15" customHeight="1">
      <c r="A84" s="422" t="s">
        <v>232</v>
      </c>
      <c r="B84" s="422" t="s">
        <v>232</v>
      </c>
      <c r="C84" s="422" t="s">
        <v>275</v>
      </c>
      <c r="D84" s="423" t="s">
        <v>276</v>
      </c>
      <c r="E84" s="425">
        <v>0</v>
      </c>
      <c r="F84" s="425">
        <v>1225537</v>
      </c>
    </row>
    <row r="85" spans="1:6" s="424" customFormat="1" ht="18" customHeight="1">
      <c r="A85" s="422" t="s">
        <v>232</v>
      </c>
      <c r="B85" s="422" t="s">
        <v>232</v>
      </c>
      <c r="C85" s="422" t="s">
        <v>242</v>
      </c>
      <c r="D85" s="423" t="s">
        <v>154</v>
      </c>
      <c r="E85" s="425">
        <v>0</v>
      </c>
      <c r="F85" s="425">
        <v>212117</v>
      </c>
    </row>
    <row r="86" spans="1:6" s="424" customFormat="1" ht="18" customHeight="1">
      <c r="A86" s="422" t="s">
        <v>232</v>
      </c>
      <c r="B86" s="422" t="s">
        <v>232</v>
      </c>
      <c r="C86" s="422" t="s">
        <v>277</v>
      </c>
      <c r="D86" s="423" t="s">
        <v>187</v>
      </c>
      <c r="E86" s="425">
        <v>0</v>
      </c>
      <c r="F86" s="425">
        <v>13250</v>
      </c>
    </row>
    <row r="87" spans="1:6" s="424" customFormat="1" ht="33.6" customHeight="1">
      <c r="A87" s="422" t="s">
        <v>232</v>
      </c>
      <c r="B87" s="422" t="s">
        <v>232</v>
      </c>
      <c r="C87" s="422" t="s">
        <v>278</v>
      </c>
      <c r="D87" s="423" t="s">
        <v>188</v>
      </c>
      <c r="E87" s="425">
        <v>0</v>
      </c>
      <c r="F87" s="425">
        <v>3701</v>
      </c>
    </row>
    <row r="88" spans="1:6" s="424" customFormat="1" ht="18" customHeight="1">
      <c r="A88" s="422" t="s">
        <v>232</v>
      </c>
      <c r="B88" s="422" t="s">
        <v>232</v>
      </c>
      <c r="C88" s="422" t="s">
        <v>279</v>
      </c>
      <c r="D88" s="423" t="s">
        <v>189</v>
      </c>
      <c r="E88" s="425">
        <v>0</v>
      </c>
      <c r="F88" s="425">
        <v>4759</v>
      </c>
    </row>
    <row r="89" spans="1:6" s="424" customFormat="1" ht="18" customHeight="1">
      <c r="A89" s="422" t="s">
        <v>232</v>
      </c>
      <c r="B89" s="422" t="s">
        <v>232</v>
      </c>
      <c r="C89" s="422" t="s">
        <v>243</v>
      </c>
      <c r="D89" s="423" t="s">
        <v>155</v>
      </c>
      <c r="E89" s="425">
        <v>0</v>
      </c>
      <c r="F89" s="425">
        <v>116302</v>
      </c>
    </row>
    <row r="90" spans="1:6" s="424" customFormat="1" ht="18" customHeight="1">
      <c r="A90" s="422" t="s">
        <v>232</v>
      </c>
      <c r="B90" s="422" t="s">
        <v>232</v>
      </c>
      <c r="C90" s="422" t="s">
        <v>244</v>
      </c>
      <c r="D90" s="423" t="s">
        <v>156</v>
      </c>
      <c r="E90" s="425">
        <v>0</v>
      </c>
      <c r="F90" s="425">
        <v>48685</v>
      </c>
    </row>
    <row r="91" spans="1:6" s="424" customFormat="1" ht="18" customHeight="1">
      <c r="A91" s="422" t="s">
        <v>232</v>
      </c>
      <c r="B91" s="422" t="s">
        <v>232</v>
      </c>
      <c r="C91" s="422" t="s">
        <v>257</v>
      </c>
      <c r="D91" s="423" t="s">
        <v>171</v>
      </c>
      <c r="E91" s="425">
        <v>0</v>
      </c>
      <c r="F91" s="425">
        <v>13000</v>
      </c>
    </row>
    <row r="92" spans="1:6" s="424" customFormat="1" ht="18" customHeight="1">
      <c r="A92" s="422" t="s">
        <v>232</v>
      </c>
      <c r="B92" s="422" t="s">
        <v>232</v>
      </c>
      <c r="C92" s="422" t="s">
        <v>235</v>
      </c>
      <c r="D92" s="423" t="s">
        <v>147</v>
      </c>
      <c r="E92" s="425">
        <v>0</v>
      </c>
      <c r="F92" s="425">
        <v>51068</v>
      </c>
    </row>
    <row r="93" spans="1:6" s="424" customFormat="1" ht="18" customHeight="1">
      <c r="A93" s="422" t="s">
        <v>232</v>
      </c>
      <c r="B93" s="422" t="s">
        <v>232</v>
      </c>
      <c r="C93" s="422" t="s">
        <v>258</v>
      </c>
      <c r="D93" s="423" t="s">
        <v>259</v>
      </c>
      <c r="E93" s="425">
        <v>0</v>
      </c>
      <c r="F93" s="425">
        <v>5580</v>
      </c>
    </row>
    <row r="94" spans="1:6" s="424" customFormat="1" ht="18" customHeight="1">
      <c r="A94" s="422" t="s">
        <v>232</v>
      </c>
      <c r="B94" s="422" t="s">
        <v>232</v>
      </c>
      <c r="C94" s="422" t="s">
        <v>260</v>
      </c>
      <c r="D94" s="423" t="s">
        <v>172</v>
      </c>
      <c r="E94" s="425">
        <v>0</v>
      </c>
      <c r="F94" s="425">
        <v>11211</v>
      </c>
    </row>
    <row r="95" spans="1:6" s="424" customFormat="1" ht="18" customHeight="1">
      <c r="A95" s="422" t="s">
        <v>232</v>
      </c>
      <c r="B95" s="422" t="s">
        <v>232</v>
      </c>
      <c r="C95" s="422" t="s">
        <v>246</v>
      </c>
      <c r="D95" s="423" t="s">
        <v>158</v>
      </c>
      <c r="E95" s="425">
        <v>0</v>
      </c>
      <c r="F95" s="425">
        <v>1936</v>
      </c>
    </row>
    <row r="96" spans="1:6" s="424" customFormat="1" ht="18" customHeight="1">
      <c r="A96" s="422" t="s">
        <v>232</v>
      </c>
      <c r="B96" s="422" t="s">
        <v>232</v>
      </c>
      <c r="C96" s="422" t="s">
        <v>261</v>
      </c>
      <c r="D96" s="423" t="s">
        <v>173</v>
      </c>
      <c r="E96" s="425">
        <v>0</v>
      </c>
      <c r="F96" s="425">
        <v>6652</v>
      </c>
    </row>
    <row r="97" spans="1:6" s="424" customFormat="1" ht="18" customHeight="1">
      <c r="A97" s="422" t="s">
        <v>232</v>
      </c>
      <c r="B97" s="422" t="s">
        <v>232</v>
      </c>
      <c r="C97" s="422" t="s">
        <v>247</v>
      </c>
      <c r="D97" s="423" t="s">
        <v>159</v>
      </c>
      <c r="E97" s="425">
        <v>0</v>
      </c>
      <c r="F97" s="425">
        <v>15510</v>
      </c>
    </row>
    <row r="98" spans="1:6" s="424" customFormat="1" ht="18" customHeight="1">
      <c r="A98" s="422" t="s">
        <v>232</v>
      </c>
      <c r="B98" s="422" t="s">
        <v>232</v>
      </c>
      <c r="C98" s="422" t="s">
        <v>298</v>
      </c>
      <c r="D98" s="423" t="s">
        <v>299</v>
      </c>
      <c r="E98" s="425">
        <v>0</v>
      </c>
      <c r="F98" s="425">
        <v>4097</v>
      </c>
    </row>
    <row r="99" spans="1:6" s="424" customFormat="1" ht="34.15" customHeight="1">
      <c r="A99" s="422" t="s">
        <v>232</v>
      </c>
      <c r="B99" s="422" t="s">
        <v>232</v>
      </c>
      <c r="C99" s="422" t="s">
        <v>248</v>
      </c>
      <c r="D99" s="423" t="s">
        <v>160</v>
      </c>
      <c r="E99" s="425">
        <v>0</v>
      </c>
      <c r="F99" s="425">
        <v>0</v>
      </c>
    </row>
    <row r="100" spans="1:6" s="424" customFormat="1" ht="18" customHeight="1">
      <c r="A100" s="422" t="s">
        <v>232</v>
      </c>
      <c r="B100" s="422" t="s">
        <v>232</v>
      </c>
      <c r="C100" s="422" t="s">
        <v>262</v>
      </c>
      <c r="D100" s="423" t="s">
        <v>174</v>
      </c>
      <c r="E100" s="425">
        <v>0</v>
      </c>
      <c r="F100" s="425">
        <v>1000</v>
      </c>
    </row>
    <row r="101" spans="1:6" s="424" customFormat="1" ht="45" customHeight="1">
      <c r="A101" s="422" t="s">
        <v>232</v>
      </c>
      <c r="B101" s="422" t="s">
        <v>232</v>
      </c>
      <c r="C101" s="422" t="s">
        <v>263</v>
      </c>
      <c r="D101" s="423" t="s">
        <v>175</v>
      </c>
      <c r="E101" s="425">
        <v>0</v>
      </c>
      <c r="F101" s="425">
        <v>3000</v>
      </c>
    </row>
    <row r="102" spans="1:6" s="424" customFormat="1" ht="19.149999999999999" customHeight="1">
      <c r="A102" s="422" t="s">
        <v>232</v>
      </c>
      <c r="B102" s="422" t="s">
        <v>232</v>
      </c>
      <c r="C102" s="422" t="s">
        <v>264</v>
      </c>
      <c r="D102" s="423" t="s">
        <v>176</v>
      </c>
      <c r="E102" s="425">
        <v>0</v>
      </c>
      <c r="F102" s="425">
        <v>308</v>
      </c>
    </row>
    <row r="103" spans="1:6" s="424" customFormat="1" ht="18" customHeight="1">
      <c r="A103" s="427" t="s">
        <v>190</v>
      </c>
      <c r="B103" s="427" t="s">
        <v>232</v>
      </c>
      <c r="C103" s="427" t="s">
        <v>232</v>
      </c>
      <c r="D103" s="428" t="s">
        <v>191</v>
      </c>
      <c r="E103" s="429">
        <v>330000</v>
      </c>
      <c r="F103" s="429">
        <v>330000</v>
      </c>
    </row>
    <row r="104" spans="1:6" s="424" customFormat="1" ht="18" customHeight="1">
      <c r="A104" s="430" t="s">
        <v>232</v>
      </c>
      <c r="B104" s="430" t="s">
        <v>192</v>
      </c>
      <c r="C104" s="430" t="s">
        <v>232</v>
      </c>
      <c r="D104" s="431" t="s">
        <v>193</v>
      </c>
      <c r="E104" s="432">
        <v>330000</v>
      </c>
      <c r="F104" s="432">
        <v>330000</v>
      </c>
    </row>
    <row r="105" spans="1:6" s="424" customFormat="1" ht="49.9" customHeight="1">
      <c r="A105" s="422" t="s">
        <v>232</v>
      </c>
      <c r="B105" s="422" t="s">
        <v>232</v>
      </c>
      <c r="C105" s="422" t="s">
        <v>233</v>
      </c>
      <c r="D105" s="423" t="s">
        <v>234</v>
      </c>
      <c r="E105" s="425">
        <v>330000</v>
      </c>
      <c r="F105" s="425">
        <v>0</v>
      </c>
    </row>
    <row r="106" spans="1:6" s="424" customFormat="1" ht="79.900000000000006" customHeight="1">
      <c r="A106" s="422" t="s">
        <v>232</v>
      </c>
      <c r="B106" s="422" t="s">
        <v>232</v>
      </c>
      <c r="C106" s="422" t="s">
        <v>280</v>
      </c>
      <c r="D106" s="423" t="s">
        <v>281</v>
      </c>
      <c r="E106" s="425">
        <v>0</v>
      </c>
      <c r="F106" s="425">
        <v>190080</v>
      </c>
    </row>
    <row r="107" spans="1:6" s="424" customFormat="1">
      <c r="A107" s="422" t="s">
        <v>232</v>
      </c>
      <c r="B107" s="422" t="s">
        <v>232</v>
      </c>
      <c r="C107" s="422" t="s">
        <v>238</v>
      </c>
      <c r="D107" s="423" t="s">
        <v>150</v>
      </c>
      <c r="E107" s="425">
        <v>0</v>
      </c>
      <c r="F107" s="425">
        <v>5400</v>
      </c>
    </row>
    <row r="108" spans="1:6" s="424" customFormat="1" ht="18" customHeight="1">
      <c r="A108" s="422" t="s">
        <v>232</v>
      </c>
      <c r="B108" s="422" t="s">
        <v>232</v>
      </c>
      <c r="C108" s="422" t="s">
        <v>239</v>
      </c>
      <c r="D108" s="423" t="s">
        <v>151</v>
      </c>
      <c r="E108" s="425">
        <v>0</v>
      </c>
      <c r="F108" s="425">
        <v>924</v>
      </c>
    </row>
    <row r="109" spans="1:6" s="424" customFormat="1" ht="18" customHeight="1">
      <c r="A109" s="422" t="s">
        <v>232</v>
      </c>
      <c r="B109" s="422" t="s">
        <v>232</v>
      </c>
      <c r="C109" s="422" t="s">
        <v>240</v>
      </c>
      <c r="D109" s="423" t="s">
        <v>152</v>
      </c>
      <c r="E109" s="425">
        <v>0</v>
      </c>
      <c r="F109" s="425">
        <v>132</v>
      </c>
    </row>
    <row r="110" spans="1:6" s="424" customFormat="1" ht="18" customHeight="1">
      <c r="A110" s="422" t="s">
        <v>232</v>
      </c>
      <c r="B110" s="422" t="s">
        <v>232</v>
      </c>
      <c r="C110" s="422" t="s">
        <v>242</v>
      </c>
      <c r="D110" s="423" t="s">
        <v>154</v>
      </c>
      <c r="E110" s="425">
        <v>0</v>
      </c>
      <c r="F110" s="425">
        <v>12344</v>
      </c>
    </row>
    <row r="111" spans="1:6" s="424" customFormat="1" ht="18" customHeight="1">
      <c r="A111" s="422" t="s">
        <v>232</v>
      </c>
      <c r="B111" s="422" t="s">
        <v>232</v>
      </c>
      <c r="C111" s="422" t="s">
        <v>235</v>
      </c>
      <c r="D111" s="423" t="s">
        <v>147</v>
      </c>
      <c r="E111" s="425">
        <v>0</v>
      </c>
      <c r="F111" s="425">
        <v>121120</v>
      </c>
    </row>
    <row r="112" spans="1:6" s="424" customFormat="1" ht="18" customHeight="1">
      <c r="A112" s="427" t="s">
        <v>381</v>
      </c>
      <c r="B112" s="427" t="s">
        <v>232</v>
      </c>
      <c r="C112" s="427" t="s">
        <v>232</v>
      </c>
      <c r="D112" s="428" t="s">
        <v>358</v>
      </c>
      <c r="E112" s="429">
        <v>63801</v>
      </c>
      <c r="F112" s="429">
        <v>63801</v>
      </c>
    </row>
    <row r="113" spans="1:6" s="424" customFormat="1" ht="43.9" customHeight="1">
      <c r="A113" s="430" t="s">
        <v>232</v>
      </c>
      <c r="B113" s="430" t="s">
        <v>382</v>
      </c>
      <c r="C113" s="430" t="s">
        <v>232</v>
      </c>
      <c r="D113" s="431" t="s">
        <v>383</v>
      </c>
      <c r="E113" s="432">
        <v>63801</v>
      </c>
      <c r="F113" s="432">
        <v>63801</v>
      </c>
    </row>
    <row r="114" spans="1:6" s="424" customFormat="1" ht="49.9" customHeight="1">
      <c r="A114" s="422" t="s">
        <v>232</v>
      </c>
      <c r="B114" s="422" t="s">
        <v>232</v>
      </c>
      <c r="C114" s="422" t="s">
        <v>233</v>
      </c>
      <c r="D114" s="423" t="s">
        <v>234</v>
      </c>
      <c r="E114" s="425">
        <v>63801</v>
      </c>
      <c r="F114" s="425">
        <v>0</v>
      </c>
    </row>
    <row r="115" spans="1:6" s="424" customFormat="1" ht="70.150000000000006" customHeight="1">
      <c r="A115" s="422" t="s">
        <v>232</v>
      </c>
      <c r="B115" s="422" t="s">
        <v>232</v>
      </c>
      <c r="C115" s="422" t="s">
        <v>322</v>
      </c>
      <c r="D115" s="423" t="s">
        <v>384</v>
      </c>
      <c r="E115" s="425">
        <v>0</v>
      </c>
      <c r="F115" s="425">
        <v>26971</v>
      </c>
    </row>
    <row r="116" spans="1:6" s="424" customFormat="1" ht="18" customHeight="1">
      <c r="A116" s="422" t="s">
        <v>232</v>
      </c>
      <c r="B116" s="422" t="s">
        <v>232</v>
      </c>
      <c r="C116" s="422" t="s">
        <v>385</v>
      </c>
      <c r="D116" s="423" t="s">
        <v>386</v>
      </c>
      <c r="E116" s="425">
        <v>0</v>
      </c>
      <c r="F116" s="425">
        <v>36830</v>
      </c>
    </row>
    <row r="117" spans="1:6" s="424" customFormat="1" ht="18" customHeight="1">
      <c r="A117" s="427" t="s">
        <v>282</v>
      </c>
      <c r="B117" s="427" t="s">
        <v>232</v>
      </c>
      <c r="C117" s="427" t="s">
        <v>232</v>
      </c>
      <c r="D117" s="428" t="s">
        <v>194</v>
      </c>
      <c r="E117" s="429">
        <v>1754800</v>
      </c>
      <c r="F117" s="429">
        <v>1754800</v>
      </c>
    </row>
    <row r="118" spans="1:6" s="424" customFormat="1" ht="25.5">
      <c r="A118" s="430" t="s">
        <v>232</v>
      </c>
      <c r="B118" s="430" t="s">
        <v>283</v>
      </c>
      <c r="C118" s="430" t="s">
        <v>232</v>
      </c>
      <c r="D118" s="431" t="s">
        <v>284</v>
      </c>
      <c r="E118" s="432">
        <v>1754800</v>
      </c>
      <c r="F118" s="432">
        <v>1754800</v>
      </c>
    </row>
    <row r="119" spans="1:6" s="424" customFormat="1" ht="49.9" customHeight="1">
      <c r="A119" s="422" t="s">
        <v>232</v>
      </c>
      <c r="B119" s="422" t="s">
        <v>232</v>
      </c>
      <c r="C119" s="422" t="s">
        <v>233</v>
      </c>
      <c r="D119" s="423" t="s">
        <v>234</v>
      </c>
      <c r="E119" s="425">
        <v>1754800</v>
      </c>
      <c r="F119" s="425">
        <v>0</v>
      </c>
    </row>
    <row r="120" spans="1:6" s="424" customFormat="1" ht="18" customHeight="1">
      <c r="A120" s="422" t="s">
        <v>232</v>
      </c>
      <c r="B120" s="422" t="s">
        <v>232</v>
      </c>
      <c r="C120" s="422" t="s">
        <v>285</v>
      </c>
      <c r="D120" s="423" t="s">
        <v>195</v>
      </c>
      <c r="E120" s="425">
        <v>0</v>
      </c>
      <c r="F120" s="425">
        <v>1754800</v>
      </c>
    </row>
    <row r="121" spans="1:6" s="424" customFormat="1" ht="18" customHeight="1">
      <c r="A121" s="427" t="s">
        <v>196</v>
      </c>
      <c r="B121" s="427" t="s">
        <v>232</v>
      </c>
      <c r="C121" s="427" t="s">
        <v>232</v>
      </c>
      <c r="D121" s="428" t="s">
        <v>197</v>
      </c>
      <c r="E121" s="429">
        <v>1106085</v>
      </c>
      <c r="F121" s="429">
        <v>1106085</v>
      </c>
    </row>
    <row r="122" spans="1:6" s="424" customFormat="1" ht="18" customHeight="1">
      <c r="A122" s="430" t="s">
        <v>232</v>
      </c>
      <c r="B122" s="430" t="s">
        <v>286</v>
      </c>
      <c r="C122" s="430" t="s">
        <v>232</v>
      </c>
      <c r="D122" s="431" t="s">
        <v>198</v>
      </c>
      <c r="E122" s="432">
        <v>991438</v>
      </c>
      <c r="F122" s="432">
        <v>991438</v>
      </c>
    </row>
    <row r="123" spans="1:6" s="424" customFormat="1" ht="49.9" customHeight="1">
      <c r="A123" s="422" t="s">
        <v>232</v>
      </c>
      <c r="B123" s="422" t="s">
        <v>232</v>
      </c>
      <c r="C123" s="422" t="s">
        <v>233</v>
      </c>
      <c r="D123" s="423" t="s">
        <v>234</v>
      </c>
      <c r="E123" s="425">
        <v>991438</v>
      </c>
      <c r="F123" s="425">
        <v>0</v>
      </c>
    </row>
    <row r="124" spans="1:6" s="424" customFormat="1" ht="18" customHeight="1">
      <c r="A124" s="422" t="s">
        <v>232</v>
      </c>
      <c r="B124" s="422" t="s">
        <v>232</v>
      </c>
      <c r="C124" s="422" t="s">
        <v>254</v>
      </c>
      <c r="D124" s="423" t="s">
        <v>168</v>
      </c>
      <c r="E124" s="425">
        <v>0</v>
      </c>
      <c r="F124" s="425">
        <v>300</v>
      </c>
    </row>
    <row r="125" spans="1:6" s="424" customFormat="1" ht="18" customHeight="1">
      <c r="A125" s="422" t="s">
        <v>232</v>
      </c>
      <c r="B125" s="422" t="s">
        <v>232</v>
      </c>
      <c r="C125" s="422" t="s">
        <v>238</v>
      </c>
      <c r="D125" s="423" t="s">
        <v>150</v>
      </c>
      <c r="E125" s="425">
        <v>0</v>
      </c>
      <c r="F125" s="425">
        <v>559006</v>
      </c>
    </row>
    <row r="126" spans="1:6" s="424" customFormat="1" ht="18" customHeight="1">
      <c r="A126" s="422" t="s">
        <v>232</v>
      </c>
      <c r="B126" s="422" t="s">
        <v>232</v>
      </c>
      <c r="C126" s="422" t="s">
        <v>256</v>
      </c>
      <c r="D126" s="423" t="s">
        <v>170</v>
      </c>
      <c r="E126" s="425">
        <v>0</v>
      </c>
      <c r="F126" s="425">
        <v>34931</v>
      </c>
    </row>
    <row r="127" spans="1:6" s="424" customFormat="1" ht="18" customHeight="1">
      <c r="A127" s="422" t="s">
        <v>232</v>
      </c>
      <c r="B127" s="422" t="s">
        <v>232</v>
      </c>
      <c r="C127" s="422" t="s">
        <v>239</v>
      </c>
      <c r="D127" s="423" t="s">
        <v>151</v>
      </c>
      <c r="E127" s="425">
        <v>0</v>
      </c>
      <c r="F127" s="425">
        <v>104737</v>
      </c>
    </row>
    <row r="128" spans="1:6" s="424" customFormat="1" ht="18" customHeight="1">
      <c r="A128" s="422" t="s">
        <v>232</v>
      </c>
      <c r="B128" s="422" t="s">
        <v>232</v>
      </c>
      <c r="C128" s="422" t="s">
        <v>240</v>
      </c>
      <c r="D128" s="423" t="s">
        <v>152</v>
      </c>
      <c r="E128" s="425">
        <v>0</v>
      </c>
      <c r="F128" s="425">
        <v>11742</v>
      </c>
    </row>
    <row r="129" spans="1:6" s="424" customFormat="1" ht="18" customHeight="1">
      <c r="A129" s="422" t="s">
        <v>232</v>
      </c>
      <c r="B129" s="422" t="s">
        <v>232</v>
      </c>
      <c r="C129" s="422" t="s">
        <v>241</v>
      </c>
      <c r="D129" s="423" t="s">
        <v>153</v>
      </c>
      <c r="E129" s="425">
        <v>0</v>
      </c>
      <c r="F129" s="425">
        <v>2730</v>
      </c>
    </row>
    <row r="130" spans="1:6" s="424" customFormat="1" ht="18" customHeight="1">
      <c r="A130" s="422" t="s">
        <v>232</v>
      </c>
      <c r="B130" s="422" t="s">
        <v>232</v>
      </c>
      <c r="C130" s="422" t="s">
        <v>242</v>
      </c>
      <c r="D130" s="423" t="s">
        <v>154</v>
      </c>
      <c r="E130" s="425">
        <v>0</v>
      </c>
      <c r="F130" s="425">
        <v>73402</v>
      </c>
    </row>
    <row r="131" spans="1:6" s="424" customFormat="1" ht="18" customHeight="1">
      <c r="A131" s="422" t="s">
        <v>232</v>
      </c>
      <c r="B131" s="422" t="s">
        <v>232</v>
      </c>
      <c r="C131" s="422" t="s">
        <v>277</v>
      </c>
      <c r="D131" s="423" t="s">
        <v>187</v>
      </c>
      <c r="E131" s="425">
        <v>0</v>
      </c>
      <c r="F131" s="425">
        <v>20001</v>
      </c>
    </row>
    <row r="132" spans="1:6" s="424" customFormat="1" ht="18" customHeight="1">
      <c r="A132" s="422" t="s">
        <v>232</v>
      </c>
      <c r="B132" s="422" t="s">
        <v>232</v>
      </c>
      <c r="C132" s="422" t="s">
        <v>243</v>
      </c>
      <c r="D132" s="423" t="s">
        <v>155</v>
      </c>
      <c r="E132" s="425">
        <v>0</v>
      </c>
      <c r="F132" s="425">
        <v>9500</v>
      </c>
    </row>
    <row r="133" spans="1:6" s="424" customFormat="1" ht="18" customHeight="1">
      <c r="A133" s="422" t="s">
        <v>232</v>
      </c>
      <c r="B133" s="422" t="s">
        <v>232</v>
      </c>
      <c r="C133" s="422" t="s">
        <v>244</v>
      </c>
      <c r="D133" s="423" t="s">
        <v>156</v>
      </c>
      <c r="E133" s="425">
        <v>0</v>
      </c>
      <c r="F133" s="425">
        <v>5000</v>
      </c>
    </row>
    <row r="134" spans="1:6" s="424" customFormat="1" ht="18" customHeight="1">
      <c r="A134" s="422" t="s">
        <v>232</v>
      </c>
      <c r="B134" s="422" t="s">
        <v>232</v>
      </c>
      <c r="C134" s="422" t="s">
        <v>257</v>
      </c>
      <c r="D134" s="423" t="s">
        <v>171</v>
      </c>
      <c r="E134" s="425">
        <v>0</v>
      </c>
      <c r="F134" s="425">
        <v>450</v>
      </c>
    </row>
    <row r="135" spans="1:6" s="424" customFormat="1" ht="18" customHeight="1">
      <c r="A135" s="422" t="s">
        <v>232</v>
      </c>
      <c r="B135" s="422" t="s">
        <v>232</v>
      </c>
      <c r="C135" s="422" t="s">
        <v>235</v>
      </c>
      <c r="D135" s="423" t="s">
        <v>147</v>
      </c>
      <c r="E135" s="425">
        <v>0</v>
      </c>
      <c r="F135" s="425">
        <v>119878</v>
      </c>
    </row>
    <row r="136" spans="1:6" s="424" customFormat="1" ht="18" customHeight="1">
      <c r="A136" s="422" t="s">
        <v>232</v>
      </c>
      <c r="B136" s="422" t="s">
        <v>232</v>
      </c>
      <c r="C136" s="422" t="s">
        <v>258</v>
      </c>
      <c r="D136" s="423" t="s">
        <v>259</v>
      </c>
      <c r="E136" s="425">
        <v>0</v>
      </c>
      <c r="F136" s="425">
        <v>1975</v>
      </c>
    </row>
    <row r="137" spans="1:6" s="424" customFormat="1" ht="18" customHeight="1">
      <c r="A137" s="422" t="s">
        <v>232</v>
      </c>
      <c r="B137" s="422" t="s">
        <v>232</v>
      </c>
      <c r="C137" s="422" t="s">
        <v>260</v>
      </c>
      <c r="D137" s="423" t="s">
        <v>172</v>
      </c>
      <c r="E137" s="425">
        <v>0</v>
      </c>
      <c r="F137" s="425">
        <v>2006</v>
      </c>
    </row>
    <row r="138" spans="1:6" s="424" customFormat="1" ht="18" customHeight="1">
      <c r="A138" s="422" t="s">
        <v>232</v>
      </c>
      <c r="B138" s="422" t="s">
        <v>232</v>
      </c>
      <c r="C138" s="422" t="s">
        <v>246</v>
      </c>
      <c r="D138" s="423" t="s">
        <v>158</v>
      </c>
      <c r="E138" s="425">
        <v>0</v>
      </c>
      <c r="F138" s="425">
        <v>4572</v>
      </c>
    </row>
    <row r="139" spans="1:6" s="424" customFormat="1" ht="18" customHeight="1">
      <c r="A139" s="422" t="s">
        <v>232</v>
      </c>
      <c r="B139" s="422" t="s">
        <v>232</v>
      </c>
      <c r="C139" s="422" t="s">
        <v>261</v>
      </c>
      <c r="D139" s="423" t="s">
        <v>173</v>
      </c>
      <c r="E139" s="425">
        <v>0</v>
      </c>
      <c r="F139" s="425">
        <v>15521</v>
      </c>
    </row>
    <row r="140" spans="1:6" s="424" customFormat="1" ht="18" customHeight="1">
      <c r="A140" s="422" t="s">
        <v>232</v>
      </c>
      <c r="B140" s="422" t="s">
        <v>232</v>
      </c>
      <c r="C140" s="422" t="s">
        <v>247</v>
      </c>
      <c r="D140" s="423" t="s">
        <v>159</v>
      </c>
      <c r="E140" s="425">
        <v>0</v>
      </c>
      <c r="F140" s="425">
        <v>3632</v>
      </c>
    </row>
    <row r="141" spans="1:6" s="424" customFormat="1" ht="34.15" customHeight="1">
      <c r="A141" s="422" t="s">
        <v>232</v>
      </c>
      <c r="B141" s="422" t="s">
        <v>232</v>
      </c>
      <c r="C141" s="422" t="s">
        <v>248</v>
      </c>
      <c r="D141" s="423" t="s">
        <v>160</v>
      </c>
      <c r="E141" s="425">
        <v>0</v>
      </c>
      <c r="F141" s="425">
        <v>3057</v>
      </c>
    </row>
    <row r="142" spans="1:6" s="424" customFormat="1" ht="34.9" customHeight="1">
      <c r="A142" s="422" t="s">
        <v>232</v>
      </c>
      <c r="B142" s="422" t="s">
        <v>232</v>
      </c>
      <c r="C142" s="422" t="s">
        <v>263</v>
      </c>
      <c r="D142" s="423" t="s">
        <v>175</v>
      </c>
      <c r="E142" s="425">
        <v>0</v>
      </c>
      <c r="F142" s="425">
        <v>12000</v>
      </c>
    </row>
    <row r="143" spans="1:6" s="424" customFormat="1" ht="18" customHeight="1">
      <c r="A143" s="422" t="s">
        <v>232</v>
      </c>
      <c r="B143" s="422" t="s">
        <v>232</v>
      </c>
      <c r="C143" s="422" t="s">
        <v>264</v>
      </c>
      <c r="D143" s="423" t="s">
        <v>176</v>
      </c>
      <c r="E143" s="425">
        <v>0</v>
      </c>
      <c r="F143" s="425">
        <v>6998</v>
      </c>
    </row>
    <row r="144" spans="1:6" s="424" customFormat="1" ht="18" customHeight="1">
      <c r="A144" s="430" t="s">
        <v>232</v>
      </c>
      <c r="B144" s="430" t="s">
        <v>287</v>
      </c>
      <c r="C144" s="430" t="s">
        <v>232</v>
      </c>
      <c r="D144" s="431" t="s">
        <v>288</v>
      </c>
      <c r="E144" s="432">
        <v>114647</v>
      </c>
      <c r="F144" s="432">
        <v>114647</v>
      </c>
    </row>
    <row r="145" spans="1:6" s="424" customFormat="1" ht="49.9" customHeight="1">
      <c r="A145" s="422" t="s">
        <v>232</v>
      </c>
      <c r="B145" s="422" t="s">
        <v>232</v>
      </c>
      <c r="C145" s="422" t="s">
        <v>233</v>
      </c>
      <c r="D145" s="423" t="s">
        <v>234</v>
      </c>
      <c r="E145" s="425">
        <v>114647</v>
      </c>
      <c r="F145" s="425">
        <v>0</v>
      </c>
    </row>
    <row r="146" spans="1:6" s="424" customFormat="1" ht="18" customHeight="1">
      <c r="A146" s="422" t="s">
        <v>232</v>
      </c>
      <c r="B146" s="422" t="s">
        <v>232</v>
      </c>
      <c r="C146" s="422" t="s">
        <v>289</v>
      </c>
      <c r="D146" s="423" t="s">
        <v>205</v>
      </c>
      <c r="E146" s="425">
        <v>0</v>
      </c>
      <c r="F146" s="425">
        <v>114647</v>
      </c>
    </row>
    <row r="147" spans="1:6" s="424" customFormat="1" ht="18" customHeight="1">
      <c r="A147" s="427" t="s">
        <v>290</v>
      </c>
      <c r="B147" s="427" t="s">
        <v>232</v>
      </c>
      <c r="C147" s="427" t="s">
        <v>232</v>
      </c>
      <c r="D147" s="428" t="s">
        <v>199</v>
      </c>
      <c r="E147" s="429">
        <v>313964</v>
      </c>
      <c r="F147" s="429">
        <v>313964</v>
      </c>
    </row>
    <row r="148" spans="1:6" s="424" customFormat="1" ht="18" customHeight="1">
      <c r="A148" s="430" t="s">
        <v>232</v>
      </c>
      <c r="B148" s="430" t="s">
        <v>291</v>
      </c>
      <c r="C148" s="430" t="s">
        <v>232</v>
      </c>
      <c r="D148" s="431" t="s">
        <v>200</v>
      </c>
      <c r="E148" s="432">
        <v>286904</v>
      </c>
      <c r="F148" s="432">
        <v>286904</v>
      </c>
    </row>
    <row r="149" spans="1:6" s="424" customFormat="1" ht="49.9" customHeight="1">
      <c r="A149" s="422" t="s">
        <v>232</v>
      </c>
      <c r="B149" s="422" t="s">
        <v>232</v>
      </c>
      <c r="C149" s="422" t="s">
        <v>233</v>
      </c>
      <c r="D149" s="423" t="s">
        <v>234</v>
      </c>
      <c r="E149" s="425">
        <v>286904</v>
      </c>
      <c r="F149" s="425">
        <v>0</v>
      </c>
    </row>
    <row r="150" spans="1:6" s="424" customFormat="1" ht="18" customHeight="1">
      <c r="A150" s="422" t="s">
        <v>232</v>
      </c>
      <c r="B150" s="422" t="s">
        <v>232</v>
      </c>
      <c r="C150" s="422" t="s">
        <v>254</v>
      </c>
      <c r="D150" s="423" t="s">
        <v>168</v>
      </c>
      <c r="E150" s="425">
        <v>0</v>
      </c>
      <c r="F150" s="425">
        <v>300</v>
      </c>
    </row>
    <row r="151" spans="1:6" s="424" customFormat="1" ht="18" customHeight="1">
      <c r="A151" s="422" t="s">
        <v>232</v>
      </c>
      <c r="B151" s="422" t="s">
        <v>232</v>
      </c>
      <c r="C151" s="422" t="s">
        <v>238</v>
      </c>
      <c r="D151" s="423" t="s">
        <v>150</v>
      </c>
      <c r="E151" s="425">
        <v>0</v>
      </c>
      <c r="F151" s="425">
        <v>127593</v>
      </c>
    </row>
    <row r="152" spans="1:6" s="424" customFormat="1" ht="18" customHeight="1">
      <c r="A152" s="422" t="s">
        <v>232</v>
      </c>
      <c r="B152" s="422" t="s">
        <v>232</v>
      </c>
      <c r="C152" s="422" t="s">
        <v>256</v>
      </c>
      <c r="D152" s="423" t="s">
        <v>170</v>
      </c>
      <c r="E152" s="425">
        <v>0</v>
      </c>
      <c r="F152" s="425">
        <v>8347</v>
      </c>
    </row>
    <row r="153" spans="1:6" s="424" customFormat="1" ht="18" customHeight="1">
      <c r="A153" s="422" t="s">
        <v>232</v>
      </c>
      <c r="B153" s="422" t="s">
        <v>232</v>
      </c>
      <c r="C153" s="422" t="s">
        <v>239</v>
      </c>
      <c r="D153" s="423" t="s">
        <v>151</v>
      </c>
      <c r="E153" s="425">
        <v>0</v>
      </c>
      <c r="F153" s="425">
        <v>30162</v>
      </c>
    </row>
    <row r="154" spans="1:6" s="424" customFormat="1" ht="18" customHeight="1">
      <c r="A154" s="422" t="s">
        <v>232</v>
      </c>
      <c r="B154" s="422" t="s">
        <v>232</v>
      </c>
      <c r="C154" s="422" t="s">
        <v>240</v>
      </c>
      <c r="D154" s="423" t="s">
        <v>152</v>
      </c>
      <c r="E154" s="425">
        <v>0</v>
      </c>
      <c r="F154" s="425">
        <v>3011</v>
      </c>
    </row>
    <row r="155" spans="1:6" s="424" customFormat="1" ht="18" customHeight="1">
      <c r="A155" s="422" t="s">
        <v>232</v>
      </c>
      <c r="B155" s="422" t="s">
        <v>232</v>
      </c>
      <c r="C155" s="422" t="s">
        <v>241</v>
      </c>
      <c r="D155" s="423" t="s">
        <v>153</v>
      </c>
      <c r="E155" s="425">
        <v>0</v>
      </c>
      <c r="F155" s="425">
        <v>43520</v>
      </c>
    </row>
    <row r="156" spans="1:6" s="424" customFormat="1" ht="18" customHeight="1">
      <c r="A156" s="422" t="s">
        <v>232</v>
      </c>
      <c r="B156" s="422" t="s">
        <v>232</v>
      </c>
      <c r="C156" s="422" t="s">
        <v>242</v>
      </c>
      <c r="D156" s="423" t="s">
        <v>154</v>
      </c>
      <c r="E156" s="425">
        <v>0</v>
      </c>
      <c r="F156" s="425">
        <v>1720</v>
      </c>
    </row>
    <row r="157" spans="1:6" s="424" customFormat="1" ht="18" customHeight="1">
      <c r="A157" s="422" t="s">
        <v>232</v>
      </c>
      <c r="B157" s="422" t="s">
        <v>232</v>
      </c>
      <c r="C157" s="422" t="s">
        <v>257</v>
      </c>
      <c r="D157" s="423" t="s">
        <v>171</v>
      </c>
      <c r="E157" s="425">
        <v>0</v>
      </c>
      <c r="F157" s="425">
        <v>100</v>
      </c>
    </row>
    <row r="158" spans="1:6" s="424" customFormat="1" ht="7.9" customHeight="1">
      <c r="A158" s="422" t="s">
        <v>232</v>
      </c>
      <c r="B158" s="422" t="s">
        <v>232</v>
      </c>
      <c r="C158" s="422" t="s">
        <v>235</v>
      </c>
      <c r="D158" s="423" t="s">
        <v>147</v>
      </c>
      <c r="E158" s="425">
        <v>0</v>
      </c>
      <c r="F158" s="425">
        <v>66207</v>
      </c>
    </row>
    <row r="159" spans="1:6" s="424" customFormat="1" ht="18" customHeight="1">
      <c r="A159" s="422" t="s">
        <v>232</v>
      </c>
      <c r="B159" s="422" t="s">
        <v>232</v>
      </c>
      <c r="C159" s="422" t="s">
        <v>261</v>
      </c>
      <c r="D159" s="423" t="s">
        <v>173</v>
      </c>
      <c r="E159" s="425">
        <v>0</v>
      </c>
      <c r="F159" s="425">
        <v>3604</v>
      </c>
    </row>
    <row r="160" spans="1:6" s="424" customFormat="1" ht="18" customHeight="1">
      <c r="A160" s="422" t="s">
        <v>232</v>
      </c>
      <c r="B160" s="422" t="s">
        <v>232</v>
      </c>
      <c r="C160" s="422" t="s">
        <v>264</v>
      </c>
      <c r="D160" s="423" t="s">
        <v>176</v>
      </c>
      <c r="E160" s="425">
        <v>0</v>
      </c>
      <c r="F160" s="425">
        <v>2340</v>
      </c>
    </row>
    <row r="161" spans="1:6" s="424" customFormat="1" ht="18" customHeight="1">
      <c r="A161" s="430" t="s">
        <v>232</v>
      </c>
      <c r="B161" s="430" t="s">
        <v>303</v>
      </c>
      <c r="C161" s="430" t="s">
        <v>232</v>
      </c>
      <c r="D161" s="431" t="s">
        <v>297</v>
      </c>
      <c r="E161" s="432">
        <v>27060</v>
      </c>
      <c r="F161" s="432">
        <v>27060</v>
      </c>
    </row>
    <row r="162" spans="1:6" s="424" customFormat="1" ht="49.9" customHeight="1">
      <c r="A162" s="422" t="s">
        <v>232</v>
      </c>
      <c r="B162" s="422" t="s">
        <v>232</v>
      </c>
      <c r="C162" s="422" t="s">
        <v>233</v>
      </c>
      <c r="D162" s="423" t="s">
        <v>234</v>
      </c>
      <c r="E162" s="425">
        <v>27060</v>
      </c>
      <c r="F162" s="425">
        <v>0</v>
      </c>
    </row>
    <row r="163" spans="1:6" s="424" customFormat="1" ht="18" customHeight="1">
      <c r="A163" s="422" t="s">
        <v>232</v>
      </c>
      <c r="B163" s="422" t="s">
        <v>232</v>
      </c>
      <c r="C163" s="422" t="s">
        <v>289</v>
      </c>
      <c r="D163" s="423" t="s">
        <v>205</v>
      </c>
      <c r="E163" s="425">
        <v>0</v>
      </c>
      <c r="F163" s="425">
        <v>27060</v>
      </c>
    </row>
    <row r="164" spans="1:6" s="424" customFormat="1" ht="18" customHeight="1">
      <c r="A164" s="427" t="s">
        <v>201</v>
      </c>
      <c r="B164" s="427" t="s">
        <v>232</v>
      </c>
      <c r="C164" s="427" t="s">
        <v>232</v>
      </c>
      <c r="D164" s="428" t="s">
        <v>202</v>
      </c>
      <c r="E164" s="429">
        <v>376961</v>
      </c>
      <c r="F164" s="429">
        <v>376961</v>
      </c>
    </row>
    <row r="165" spans="1:6" s="424" customFormat="1" ht="18" customHeight="1">
      <c r="A165" s="430" t="s">
        <v>232</v>
      </c>
      <c r="B165" s="430" t="s">
        <v>203</v>
      </c>
      <c r="C165" s="430" t="s">
        <v>232</v>
      </c>
      <c r="D165" s="431" t="s">
        <v>204</v>
      </c>
      <c r="E165" s="432">
        <v>220119</v>
      </c>
      <c r="F165" s="432">
        <v>220119</v>
      </c>
    </row>
    <row r="166" spans="1:6" s="424" customFormat="1" ht="94.9" customHeight="1">
      <c r="A166" s="422" t="s">
        <v>232</v>
      </c>
      <c r="B166" s="422" t="s">
        <v>232</v>
      </c>
      <c r="C166" s="422" t="s">
        <v>292</v>
      </c>
      <c r="D166" s="423" t="s">
        <v>293</v>
      </c>
      <c r="E166" s="425">
        <v>220119</v>
      </c>
      <c r="F166" s="425">
        <v>0</v>
      </c>
    </row>
    <row r="167" spans="1:6" s="424" customFormat="1" ht="18" customHeight="1">
      <c r="A167" s="422" t="s">
        <v>232</v>
      </c>
      <c r="B167" s="422" t="s">
        <v>232</v>
      </c>
      <c r="C167" s="422" t="s">
        <v>289</v>
      </c>
      <c r="D167" s="423" t="s">
        <v>205</v>
      </c>
      <c r="E167" s="425">
        <v>0</v>
      </c>
      <c r="F167" s="425">
        <v>217939</v>
      </c>
    </row>
    <row r="168" spans="1:6" s="424" customFormat="1" ht="18" customHeight="1">
      <c r="A168" s="422" t="s">
        <v>232</v>
      </c>
      <c r="B168" s="422" t="s">
        <v>232</v>
      </c>
      <c r="C168" s="422" t="s">
        <v>238</v>
      </c>
      <c r="D168" s="423" t="s">
        <v>150</v>
      </c>
      <c r="E168" s="425">
        <v>0</v>
      </c>
      <c r="F168" s="425">
        <v>2180</v>
      </c>
    </row>
    <row r="169" spans="1:6" s="424" customFormat="1" ht="18" customHeight="1">
      <c r="A169" s="430" t="s">
        <v>232</v>
      </c>
      <c r="B169" s="430" t="s">
        <v>206</v>
      </c>
      <c r="C169" s="430" t="s">
        <v>232</v>
      </c>
      <c r="D169" s="431" t="s">
        <v>207</v>
      </c>
      <c r="E169" s="432">
        <v>156842</v>
      </c>
      <c r="F169" s="432">
        <v>156842</v>
      </c>
    </row>
    <row r="170" spans="1:6" s="424" customFormat="1" ht="49.9" customHeight="1">
      <c r="A170" s="422" t="s">
        <v>232</v>
      </c>
      <c r="B170" s="422" t="s">
        <v>232</v>
      </c>
      <c r="C170" s="422" t="s">
        <v>233</v>
      </c>
      <c r="D170" s="423" t="s">
        <v>234</v>
      </c>
      <c r="E170" s="425">
        <v>0</v>
      </c>
      <c r="F170" s="425">
        <v>0</v>
      </c>
    </row>
    <row r="171" spans="1:6" s="424" customFormat="1" ht="94.9" customHeight="1">
      <c r="A171" s="422" t="s">
        <v>232</v>
      </c>
      <c r="B171" s="422" t="s">
        <v>232</v>
      </c>
      <c r="C171" s="422" t="s">
        <v>292</v>
      </c>
      <c r="D171" s="423" t="s">
        <v>293</v>
      </c>
      <c r="E171" s="425">
        <v>156842</v>
      </c>
      <c r="F171" s="425">
        <v>0</v>
      </c>
    </row>
    <row r="172" spans="1:6" s="424" customFormat="1" ht="18" customHeight="1">
      <c r="A172" s="422" t="s">
        <v>232</v>
      </c>
      <c r="B172" s="422" t="s">
        <v>232</v>
      </c>
      <c r="C172" s="422" t="s">
        <v>289</v>
      </c>
      <c r="D172" s="423" t="s">
        <v>205</v>
      </c>
      <c r="E172" s="425">
        <v>0</v>
      </c>
      <c r="F172" s="425">
        <v>155289</v>
      </c>
    </row>
    <row r="173" spans="1:6" s="424" customFormat="1" ht="18" customHeight="1">
      <c r="A173" s="422" t="s">
        <v>232</v>
      </c>
      <c r="B173" s="422" t="s">
        <v>232</v>
      </c>
      <c r="C173" s="422" t="s">
        <v>238</v>
      </c>
      <c r="D173" s="423" t="s">
        <v>150</v>
      </c>
      <c r="E173" s="425">
        <v>0</v>
      </c>
      <c r="F173" s="425">
        <v>1553</v>
      </c>
    </row>
    <row r="174" spans="1:6" s="424" customFormat="1" ht="18" customHeight="1">
      <c r="A174" s="481" t="s">
        <v>294</v>
      </c>
      <c r="B174" s="481"/>
      <c r="C174" s="481"/>
      <c r="D174" s="481"/>
      <c r="E174" s="426">
        <v>15389631</v>
      </c>
      <c r="F174" s="426">
        <v>15389631</v>
      </c>
    </row>
    <row r="175" spans="1:6" ht="9" customHeight="1"/>
  </sheetData>
  <sheetProtection algorithmName="SHA-512" hashValue="xYvAj5bGTTTh5/6jBS97KtqWhvCkBqKHzFhqGFQ7RpPDKJhR3HxUb9CMyZmai5kseGA6ntWch+5MB819HnVzhA==" saltValue="jXE6jIzSwL/vi4O7caQNmQ==" spinCount="100000" sheet="1" formatColumns="0" formatRows="0"/>
  <autoFilter ref="B2:B175" xr:uid="{00000000-0009-0000-0000-000002000000}"/>
  <mergeCells count="2">
    <mergeCell ref="A2:F2"/>
    <mergeCell ref="A174:D174"/>
  </mergeCells>
  <pageMargins left="0.6692913385826772" right="0.62992125984251968" top="1.299212598425197" bottom="0.70866141732283472" header="0.51181102362204722" footer="0.39370078740157483"/>
  <pageSetup paperSize="9" scale="83" fitToWidth="0" fitToHeight="4" orientation="portrait" horizontalDpi="4294967294" verticalDpi="300" r:id="rId1"/>
  <headerFooter differentOddEven="1" differentFirst="1" alignWithMargins="0">
    <oddFooter>&amp;C&amp;P</oddFooter>
    <evenFooter>&amp;C&amp;P</evenFooter>
    <firstHeader>&amp;R&amp;10Tabela Nr 5
do uchwały Nr ..................
Rady  Powiatu  Otwockiego
z dnia ............................</firstHead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G44"/>
  <sheetViews>
    <sheetView zoomScaleNormal="100" workbookViewId="0">
      <pane ySplit="4" topLeftCell="A41" activePane="bottomLeft" state="frozen"/>
      <selection activeCell="M10" sqref="M10"/>
      <selection pane="bottomLeft" activeCell="G45" sqref="G45"/>
    </sheetView>
  </sheetViews>
  <sheetFormatPr defaultColWidth="9.33203125" defaultRowHeight="12"/>
  <cols>
    <col min="1" max="1" width="3.6640625" style="285" customWidth="1"/>
    <col min="2" max="2" width="6.33203125" style="282" customWidth="1"/>
    <col min="3" max="4" width="10" style="282" customWidth="1"/>
    <col min="5" max="5" width="63.5" style="283" customWidth="1"/>
    <col min="6" max="7" width="16.6640625" style="284" customWidth="1"/>
    <col min="8" max="16384" width="9.33203125" style="285"/>
  </cols>
  <sheetData>
    <row r="1" spans="2:7" ht="16.5" customHeight="1"/>
    <row r="2" spans="2:7" ht="29.25" customHeight="1">
      <c r="B2" s="482" t="s">
        <v>347</v>
      </c>
      <c r="C2" s="482"/>
      <c r="D2" s="482"/>
      <c r="E2" s="482"/>
      <c r="F2" s="482"/>
      <c r="G2" s="482"/>
    </row>
    <row r="3" spans="2:7" ht="15.75" customHeight="1">
      <c r="B3" s="364"/>
      <c r="C3" s="364"/>
      <c r="D3" s="364"/>
      <c r="E3" s="364"/>
      <c r="F3" s="364"/>
      <c r="G3" s="364"/>
    </row>
    <row r="4" spans="2:7" s="286" customFormat="1" ht="42" customHeight="1">
      <c r="B4" s="372" t="s">
        <v>0</v>
      </c>
      <c r="C4" s="372" t="s">
        <v>138</v>
      </c>
      <c r="D4" s="372" t="s">
        <v>139</v>
      </c>
      <c r="E4" s="373" t="s">
        <v>140</v>
      </c>
      <c r="F4" s="374" t="s">
        <v>141</v>
      </c>
      <c r="G4" s="374" t="s">
        <v>142</v>
      </c>
    </row>
    <row r="5" spans="2:7" s="286" customFormat="1" ht="17.25" customHeight="1">
      <c r="B5" s="375">
        <v>600</v>
      </c>
      <c r="C5" s="375"/>
      <c r="D5" s="375"/>
      <c r="E5" s="376" t="s">
        <v>348</v>
      </c>
      <c r="F5" s="377">
        <f>SUM(F6,F8,)</f>
        <v>530000</v>
      </c>
      <c r="G5" s="377">
        <f>SUM(G6,G8,)</f>
        <v>1780000</v>
      </c>
    </row>
    <row r="6" spans="2:7" s="287" customFormat="1" ht="17.25" customHeight="1">
      <c r="B6" s="378"/>
      <c r="C6" s="378">
        <v>60004</v>
      </c>
      <c r="D6" s="378"/>
      <c r="E6" s="379" t="s">
        <v>349</v>
      </c>
      <c r="F6" s="380"/>
      <c r="G6" s="380">
        <f>SUM(G7:G7)</f>
        <v>280000</v>
      </c>
    </row>
    <row r="7" spans="2:7" s="288" customFormat="1" ht="46.5" customHeight="1">
      <c r="B7" s="381"/>
      <c r="C7" s="381"/>
      <c r="D7" s="381">
        <v>2310</v>
      </c>
      <c r="E7" s="382" t="s">
        <v>350</v>
      </c>
      <c r="F7" s="383"/>
      <c r="G7" s="383">
        <f>260000+20000</f>
        <v>280000</v>
      </c>
    </row>
    <row r="8" spans="2:7" s="287" customFormat="1" ht="17.25" customHeight="1">
      <c r="B8" s="378"/>
      <c r="C8" s="378">
        <v>60014</v>
      </c>
      <c r="D8" s="378"/>
      <c r="E8" s="379" t="s">
        <v>351</v>
      </c>
      <c r="F8" s="380">
        <f>SUM(F9:F10)</f>
        <v>530000</v>
      </c>
      <c r="G8" s="380">
        <f>SUM(G9:G10)</f>
        <v>1500000</v>
      </c>
    </row>
    <row r="9" spans="2:7" s="289" customFormat="1" ht="58.5" customHeight="1">
      <c r="B9" s="384"/>
      <c r="C9" s="384"/>
      <c r="D9" s="384">
        <v>6300</v>
      </c>
      <c r="E9" s="385" t="s">
        <v>352</v>
      </c>
      <c r="F9" s="386">
        <v>530000</v>
      </c>
      <c r="G9" s="386"/>
    </row>
    <row r="10" spans="2:7" s="287" customFormat="1" ht="47.25" customHeight="1">
      <c r="B10" s="387"/>
      <c r="C10" s="387"/>
      <c r="D10" s="387">
        <v>6300</v>
      </c>
      <c r="E10" s="382" t="s">
        <v>312</v>
      </c>
      <c r="F10" s="388"/>
      <c r="G10" s="388">
        <v>1500000</v>
      </c>
    </row>
    <row r="11" spans="2:7" s="286" customFormat="1" ht="18.75" customHeight="1">
      <c r="B11" s="389">
        <v>630</v>
      </c>
      <c r="C11" s="389"/>
      <c r="D11" s="389"/>
      <c r="E11" s="390" t="s">
        <v>353</v>
      </c>
      <c r="F11" s="391">
        <f>F12</f>
        <v>0</v>
      </c>
      <c r="G11" s="391">
        <f>G12</f>
        <v>15000</v>
      </c>
    </row>
    <row r="12" spans="2:7" s="286" customFormat="1" ht="18.75" customHeight="1">
      <c r="B12" s="392"/>
      <c r="C12" s="392">
        <v>63003</v>
      </c>
      <c r="D12" s="392"/>
      <c r="E12" s="393" t="s">
        <v>354</v>
      </c>
      <c r="F12" s="394">
        <f>F13</f>
        <v>0</v>
      </c>
      <c r="G12" s="394">
        <f>G13</f>
        <v>15000</v>
      </c>
    </row>
    <row r="13" spans="2:7" s="287" customFormat="1" ht="49.5" customHeight="1">
      <c r="B13" s="387"/>
      <c r="C13" s="387"/>
      <c r="D13" s="387">
        <v>6300</v>
      </c>
      <c r="E13" s="382" t="s">
        <v>312</v>
      </c>
      <c r="F13" s="388"/>
      <c r="G13" s="388">
        <v>15000</v>
      </c>
    </row>
    <row r="14" spans="2:7" s="286" customFormat="1" ht="17.25" customHeight="1">
      <c r="B14" s="375">
        <v>710</v>
      </c>
      <c r="C14" s="375"/>
      <c r="D14" s="375"/>
      <c r="E14" s="376" t="s">
        <v>164</v>
      </c>
      <c r="F14" s="377">
        <f>F15</f>
        <v>0</v>
      </c>
      <c r="G14" s="377">
        <f>SUM(G15)</f>
        <v>53618</v>
      </c>
    </row>
    <row r="15" spans="2:7" s="287" customFormat="1" ht="17.25" customHeight="1">
      <c r="B15" s="378"/>
      <c r="C15" s="378">
        <v>71095</v>
      </c>
      <c r="D15" s="378"/>
      <c r="E15" s="379" t="s">
        <v>297</v>
      </c>
      <c r="F15" s="380">
        <f>F16</f>
        <v>0</v>
      </c>
      <c r="G15" s="380">
        <f>SUM(G16)</f>
        <v>53618</v>
      </c>
    </row>
    <row r="16" spans="2:7" s="287" customFormat="1" ht="51" customHeight="1">
      <c r="B16" s="387"/>
      <c r="C16" s="387"/>
      <c r="D16" s="387">
        <v>6639</v>
      </c>
      <c r="E16" s="395" t="s">
        <v>355</v>
      </c>
      <c r="F16" s="383"/>
      <c r="G16" s="383">
        <v>53618</v>
      </c>
    </row>
    <row r="17" spans="2:7" s="287" customFormat="1" ht="24" customHeight="1">
      <c r="B17" s="389">
        <v>750</v>
      </c>
      <c r="C17" s="389"/>
      <c r="D17" s="389"/>
      <c r="E17" s="396" t="s">
        <v>177</v>
      </c>
      <c r="F17" s="397">
        <f>F18</f>
        <v>30000</v>
      </c>
      <c r="G17" s="397">
        <f>G18+G20</f>
        <v>10000</v>
      </c>
    </row>
    <row r="18" spans="2:7" s="287" customFormat="1" ht="21" customHeight="1">
      <c r="B18" s="378"/>
      <c r="C18" s="378">
        <v>75020</v>
      </c>
      <c r="D18" s="378"/>
      <c r="E18" s="379" t="s">
        <v>356</v>
      </c>
      <c r="F18" s="398">
        <f>SUM(F19)</f>
        <v>30000</v>
      </c>
      <c r="G18" s="398">
        <v>0</v>
      </c>
    </row>
    <row r="19" spans="2:7" s="287" customFormat="1" ht="51" customHeight="1">
      <c r="B19" s="387"/>
      <c r="C19" s="387"/>
      <c r="D19" s="387">
        <v>2710</v>
      </c>
      <c r="E19" s="395" t="s">
        <v>314</v>
      </c>
      <c r="F19" s="383">
        <v>30000</v>
      </c>
      <c r="G19" s="383"/>
    </row>
    <row r="20" spans="2:7" s="287" customFormat="1" ht="23.25" customHeight="1">
      <c r="B20" s="378"/>
      <c r="C20" s="378">
        <v>75095</v>
      </c>
      <c r="D20" s="378"/>
      <c r="E20" s="379" t="s">
        <v>357</v>
      </c>
      <c r="F20" s="398"/>
      <c r="G20" s="398">
        <v>10000</v>
      </c>
    </row>
    <row r="21" spans="2:7" s="287" customFormat="1" ht="51" customHeight="1">
      <c r="B21" s="387"/>
      <c r="C21" s="387"/>
      <c r="D21" s="387">
        <v>2710</v>
      </c>
      <c r="E21" s="395" t="s">
        <v>314</v>
      </c>
      <c r="F21" s="383"/>
      <c r="G21" s="383">
        <v>10000</v>
      </c>
    </row>
    <row r="22" spans="2:7" s="286" customFormat="1" ht="22.5" customHeight="1">
      <c r="B22" s="389">
        <v>801</v>
      </c>
      <c r="C22" s="389"/>
      <c r="D22" s="389"/>
      <c r="E22" s="399" t="s">
        <v>358</v>
      </c>
      <c r="F22" s="397">
        <f>F23</f>
        <v>22500</v>
      </c>
      <c r="G22" s="397">
        <v>0</v>
      </c>
    </row>
    <row r="23" spans="2:7" s="286" customFormat="1" ht="22.5" customHeight="1">
      <c r="B23" s="392"/>
      <c r="C23" s="392">
        <v>80195</v>
      </c>
      <c r="D23" s="392"/>
      <c r="E23" s="400" t="s">
        <v>297</v>
      </c>
      <c r="F23" s="401">
        <f>F24</f>
        <v>22500</v>
      </c>
      <c r="G23" s="401">
        <v>0</v>
      </c>
    </row>
    <row r="24" spans="2:7" s="287" customFormat="1" ht="51" customHeight="1">
      <c r="B24" s="387"/>
      <c r="C24" s="387"/>
      <c r="D24" s="387" t="s">
        <v>359</v>
      </c>
      <c r="E24" s="395" t="s">
        <v>360</v>
      </c>
      <c r="F24" s="383">
        <v>22500</v>
      </c>
      <c r="G24" s="383"/>
    </row>
    <row r="25" spans="2:7" s="286" customFormat="1" ht="17.25" customHeight="1">
      <c r="B25" s="375">
        <v>853</v>
      </c>
      <c r="C25" s="375"/>
      <c r="D25" s="375"/>
      <c r="E25" s="376" t="s">
        <v>199</v>
      </c>
      <c r="F25" s="377">
        <f>SUM(F26)</f>
        <v>16064</v>
      </c>
      <c r="G25" s="377">
        <f>SUM(G26)</f>
        <v>2700</v>
      </c>
    </row>
    <row r="26" spans="2:7" s="287" customFormat="1" ht="19.5" customHeight="1">
      <c r="B26" s="378"/>
      <c r="C26" s="378">
        <v>85311</v>
      </c>
      <c r="D26" s="378"/>
      <c r="E26" s="379" t="s">
        <v>361</v>
      </c>
      <c r="F26" s="380">
        <f>SUM(F27)</f>
        <v>16064</v>
      </c>
      <c r="G26" s="380">
        <f>SUM(G27:G28)</f>
        <v>2700</v>
      </c>
    </row>
    <row r="27" spans="2:7" s="288" customFormat="1" ht="47.25" customHeight="1">
      <c r="B27" s="381"/>
      <c r="C27" s="381"/>
      <c r="D27" s="381">
        <v>2320</v>
      </c>
      <c r="E27" s="382" t="s">
        <v>362</v>
      </c>
      <c r="F27" s="383">
        <v>16064</v>
      </c>
      <c r="G27" s="383"/>
    </row>
    <row r="28" spans="2:7" s="288" customFormat="1" ht="48" customHeight="1">
      <c r="B28" s="381"/>
      <c r="C28" s="381"/>
      <c r="D28" s="381">
        <v>2320</v>
      </c>
      <c r="E28" s="382" t="s">
        <v>363</v>
      </c>
      <c r="F28" s="383"/>
      <c r="G28" s="383">
        <v>2700</v>
      </c>
    </row>
    <row r="29" spans="2:7" s="286" customFormat="1" ht="17.25" customHeight="1">
      <c r="B29" s="375">
        <v>855</v>
      </c>
      <c r="C29" s="375"/>
      <c r="D29" s="375"/>
      <c r="E29" s="376" t="s">
        <v>202</v>
      </c>
      <c r="F29" s="377">
        <f>SUM(F30,F33,F35)</f>
        <v>513761</v>
      </c>
      <c r="G29" s="377">
        <f>SUM(G30,G33,G35)</f>
        <v>874781</v>
      </c>
    </row>
    <row r="30" spans="2:7" s="287" customFormat="1" ht="17.25" customHeight="1">
      <c r="B30" s="378"/>
      <c r="C30" s="378">
        <v>85508</v>
      </c>
      <c r="D30" s="378"/>
      <c r="E30" s="379" t="s">
        <v>204</v>
      </c>
      <c r="F30" s="380">
        <f>SUM(F31)</f>
        <v>363319</v>
      </c>
      <c r="G30" s="380">
        <f>SUM(G31:G32)</f>
        <v>586057</v>
      </c>
    </row>
    <row r="31" spans="2:7" s="288" customFormat="1" ht="50.25" customHeight="1">
      <c r="B31" s="381"/>
      <c r="C31" s="381"/>
      <c r="D31" s="381">
        <v>2320</v>
      </c>
      <c r="E31" s="382" t="s">
        <v>364</v>
      </c>
      <c r="F31" s="383">
        <v>363319</v>
      </c>
      <c r="G31" s="383"/>
    </row>
    <row r="32" spans="2:7" s="288" customFormat="1" ht="47.25" customHeight="1">
      <c r="B32" s="381"/>
      <c r="C32" s="381"/>
      <c r="D32" s="381">
        <v>2320</v>
      </c>
      <c r="E32" s="382" t="s">
        <v>363</v>
      </c>
      <c r="F32" s="383"/>
      <c r="G32" s="383">
        <v>586057</v>
      </c>
    </row>
    <row r="33" spans="2:7" s="286" customFormat="1" ht="17.25" customHeight="1">
      <c r="B33" s="392"/>
      <c r="C33" s="392">
        <v>85509</v>
      </c>
      <c r="D33" s="392"/>
      <c r="E33" s="400" t="s">
        <v>365</v>
      </c>
      <c r="F33" s="394">
        <v>0</v>
      </c>
      <c r="G33" s="394">
        <f>SUM(G34)</f>
        <v>137000</v>
      </c>
    </row>
    <row r="34" spans="2:7" s="288" customFormat="1" ht="52.5" customHeight="1">
      <c r="B34" s="381"/>
      <c r="C34" s="381"/>
      <c r="D34" s="381">
        <v>2330</v>
      </c>
      <c r="E34" s="382" t="s">
        <v>366</v>
      </c>
      <c r="F34" s="383"/>
      <c r="G34" s="383">
        <v>137000</v>
      </c>
    </row>
    <row r="35" spans="2:7" s="287" customFormat="1" ht="17.25" customHeight="1">
      <c r="B35" s="378"/>
      <c r="C35" s="378">
        <v>85510</v>
      </c>
      <c r="D35" s="378"/>
      <c r="E35" s="379" t="s">
        <v>207</v>
      </c>
      <c r="F35" s="380">
        <f>SUM(F36)</f>
        <v>150442</v>
      </c>
      <c r="G35" s="380">
        <f>SUM(G37:G37)</f>
        <v>151724</v>
      </c>
    </row>
    <row r="36" spans="2:7" s="288" customFormat="1" ht="48" customHeight="1">
      <c r="B36" s="381"/>
      <c r="C36" s="381"/>
      <c r="D36" s="381">
        <v>2320</v>
      </c>
      <c r="E36" s="382" t="s">
        <v>362</v>
      </c>
      <c r="F36" s="383">
        <v>150442</v>
      </c>
      <c r="G36" s="383"/>
    </row>
    <row r="37" spans="2:7" s="288" customFormat="1" ht="48.75" customHeight="1">
      <c r="B37" s="381"/>
      <c r="C37" s="381"/>
      <c r="D37" s="381">
        <v>2320</v>
      </c>
      <c r="E37" s="382" t="s">
        <v>363</v>
      </c>
      <c r="F37" s="383"/>
      <c r="G37" s="383">
        <f>163724-12000</f>
        <v>151724</v>
      </c>
    </row>
    <row r="38" spans="2:7" s="286" customFormat="1" ht="17.25" customHeight="1">
      <c r="B38" s="375">
        <v>900</v>
      </c>
      <c r="C38" s="375"/>
      <c r="D38" s="375"/>
      <c r="E38" s="376" t="s">
        <v>367</v>
      </c>
      <c r="F38" s="377">
        <v>0</v>
      </c>
      <c r="G38" s="377">
        <f>SUM(G39)</f>
        <v>10000</v>
      </c>
    </row>
    <row r="39" spans="2:7" s="287" customFormat="1" ht="17.25" customHeight="1">
      <c r="B39" s="378"/>
      <c r="C39" s="378">
        <v>90095</v>
      </c>
      <c r="D39" s="378"/>
      <c r="E39" s="379" t="s">
        <v>297</v>
      </c>
      <c r="F39" s="380">
        <v>0</v>
      </c>
      <c r="G39" s="380">
        <f>SUM(G40)</f>
        <v>10000</v>
      </c>
    </row>
    <row r="40" spans="2:7" s="287" customFormat="1" ht="49.5" customHeight="1">
      <c r="B40" s="387"/>
      <c r="C40" s="387"/>
      <c r="D40" s="387">
        <v>2710</v>
      </c>
      <c r="E40" s="395" t="s">
        <v>314</v>
      </c>
      <c r="F40" s="388"/>
      <c r="G40" s="383">
        <v>10000</v>
      </c>
    </row>
    <row r="41" spans="2:7" s="286" customFormat="1" ht="17.25" customHeight="1">
      <c r="B41" s="375">
        <v>921</v>
      </c>
      <c r="C41" s="375"/>
      <c r="D41" s="375"/>
      <c r="E41" s="376" t="s">
        <v>368</v>
      </c>
      <c r="F41" s="377">
        <f>SUM(F42)</f>
        <v>140000</v>
      </c>
      <c r="G41" s="377">
        <f>SUM(G42)</f>
        <v>0</v>
      </c>
    </row>
    <row r="42" spans="2:7" s="287" customFormat="1" ht="17.25" customHeight="1">
      <c r="B42" s="378"/>
      <c r="C42" s="378">
        <v>92116</v>
      </c>
      <c r="D42" s="378"/>
      <c r="E42" s="379" t="s">
        <v>369</v>
      </c>
      <c r="F42" s="380">
        <f>SUM(F43)</f>
        <v>140000</v>
      </c>
      <c r="G42" s="380">
        <v>0</v>
      </c>
    </row>
    <row r="43" spans="2:7" s="288" customFormat="1" ht="48.75" customHeight="1">
      <c r="B43" s="381"/>
      <c r="C43" s="381"/>
      <c r="D43" s="381">
        <v>2710</v>
      </c>
      <c r="E43" s="382" t="s">
        <v>360</v>
      </c>
      <c r="F43" s="383">
        <v>140000</v>
      </c>
      <c r="G43" s="383"/>
    </row>
    <row r="44" spans="2:7" s="287" customFormat="1" ht="24.75" customHeight="1">
      <c r="B44" s="483" t="s">
        <v>370</v>
      </c>
      <c r="C44" s="484"/>
      <c r="D44" s="484"/>
      <c r="E44" s="485"/>
      <c r="F44" s="290">
        <f>F5+F11+F14+F17+F22+F25+F29+F38+F41</f>
        <v>1252325</v>
      </c>
      <c r="G44" s="290">
        <f>G5+G11+G14+G17+G22+G25+G29+G38+G41</f>
        <v>2746099</v>
      </c>
    </row>
  </sheetData>
  <sheetProtection algorithmName="SHA-512" hashValue="9wPky/vAytjUXG4EligHliMzFQxRu2HaZmacHpF2fkS7lI5hvzvC50XSGRNXqnlzcr5XFZQZl7By/lDI1pj+2w==" saltValue="2edw212WVGjNFIuAHA4WWw==" spinCount="100000" sheet="1" formatColumns="0" formatRows="0"/>
  <mergeCells count="2">
    <mergeCell ref="B2:G2"/>
    <mergeCell ref="B44:E44"/>
  </mergeCells>
  <pageMargins left="0.86614173228346458" right="0.47244094488188981" top="1.5354330708661419" bottom="1.4960629921259843" header="0.70866141732283472" footer="0.51181102362204722"/>
  <pageSetup paperSize="9" scale="85" orientation="portrait" horizontalDpi="4294967295" verticalDpi="300" r:id="rId1"/>
  <headerFooter differentFirst="1" alignWithMargins="0">
    <oddFooter>&amp;C&amp;P</oddFooter>
    <firstHeader>&amp;R&amp;10Tabela Nr 7
do uchwały Nr .................
Rady Powiatu  Otwockiego
z dnia .............................</firstHeader>
    <firstFooter>&amp;C&amp;P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62"/>
  <sheetViews>
    <sheetView zoomScaleNormal="100" workbookViewId="0">
      <pane ySplit="5" topLeftCell="A33" activePane="bottomLeft" state="frozen"/>
      <selection activeCell="M10" sqref="M10"/>
      <selection pane="bottomLeft" activeCell="D65" sqref="D65"/>
    </sheetView>
  </sheetViews>
  <sheetFormatPr defaultColWidth="9.33203125" defaultRowHeight="12"/>
  <cols>
    <col min="1" max="1" width="6.5" style="255" customWidth="1"/>
    <col min="2" max="2" width="10.83203125" style="255" customWidth="1"/>
    <col min="3" max="3" width="7.33203125" style="255" customWidth="1"/>
    <col min="4" max="4" width="61.33203125" style="256" customWidth="1"/>
    <col min="5" max="7" width="15.6640625" style="256" customWidth="1"/>
    <col min="8" max="8" width="20.5" style="256" customWidth="1"/>
    <col min="9" max="10" width="9.33203125" style="256"/>
    <col min="11" max="11" width="10.33203125" style="256" bestFit="1" customWidth="1"/>
    <col min="12" max="16384" width="9.33203125" style="256"/>
  </cols>
  <sheetData>
    <row r="1" spans="1:12" ht="9" customHeight="1"/>
    <row r="2" spans="1:12" s="258" customFormat="1" ht="33" customHeight="1">
      <c r="A2" s="486" t="s">
        <v>304</v>
      </c>
      <c r="B2" s="486"/>
      <c r="C2" s="486"/>
      <c r="D2" s="486"/>
      <c r="E2" s="486"/>
      <c r="F2" s="486"/>
      <c r="G2" s="486"/>
      <c r="H2" s="257"/>
    </row>
    <row r="3" spans="1:12" ht="10.5" customHeight="1"/>
    <row r="4" spans="1:12" ht="24" customHeight="1">
      <c r="A4" s="487" t="s">
        <v>0</v>
      </c>
      <c r="B4" s="487" t="s">
        <v>138</v>
      </c>
      <c r="C4" s="487" t="s">
        <v>31</v>
      </c>
      <c r="D4" s="487" t="s">
        <v>7</v>
      </c>
      <c r="E4" s="487" t="s">
        <v>305</v>
      </c>
      <c r="F4" s="487"/>
      <c r="G4" s="487"/>
    </row>
    <row r="5" spans="1:12" ht="24" customHeight="1">
      <c r="A5" s="487"/>
      <c r="B5" s="487"/>
      <c r="C5" s="487"/>
      <c r="D5" s="487"/>
      <c r="E5" s="402" t="s">
        <v>306</v>
      </c>
      <c r="F5" s="402" t="s">
        <v>307</v>
      </c>
      <c r="G5" s="402" t="s">
        <v>308</v>
      </c>
    </row>
    <row r="6" spans="1:12" s="259" customFormat="1" ht="12.75" customHeight="1">
      <c r="A6" s="403">
        <v>1</v>
      </c>
      <c r="B6" s="403">
        <v>2</v>
      </c>
      <c r="C6" s="403">
        <v>3</v>
      </c>
      <c r="D6" s="403">
        <v>4</v>
      </c>
      <c r="E6" s="403">
        <v>5</v>
      </c>
      <c r="F6" s="403">
        <v>6</v>
      </c>
      <c r="G6" s="403">
        <v>7</v>
      </c>
    </row>
    <row r="7" spans="1:12" ht="39" customHeight="1">
      <c r="A7" s="488" t="s">
        <v>309</v>
      </c>
      <c r="B7" s="488"/>
      <c r="C7" s="488"/>
      <c r="D7" s="404" t="s">
        <v>32</v>
      </c>
      <c r="E7" s="405" t="s">
        <v>310</v>
      </c>
      <c r="F7" s="405" t="s">
        <v>310</v>
      </c>
      <c r="G7" s="405" t="s">
        <v>310</v>
      </c>
    </row>
    <row r="8" spans="1:12" s="260" customFormat="1" ht="52.5" customHeight="1">
      <c r="A8" s="406">
        <v>600</v>
      </c>
      <c r="B8" s="406">
        <v>60004</v>
      </c>
      <c r="C8" s="406">
        <v>2310</v>
      </c>
      <c r="D8" s="382" t="s">
        <v>311</v>
      </c>
      <c r="E8" s="407"/>
      <c r="F8" s="407"/>
      <c r="G8" s="408">
        <v>280000</v>
      </c>
    </row>
    <row r="9" spans="1:12" s="260" customFormat="1" ht="57" customHeight="1">
      <c r="A9" s="358">
        <v>600</v>
      </c>
      <c r="B9" s="358">
        <v>60014</v>
      </c>
      <c r="C9" s="358">
        <v>6300</v>
      </c>
      <c r="D9" s="382" t="s">
        <v>312</v>
      </c>
      <c r="E9" s="409"/>
      <c r="F9" s="409"/>
      <c r="G9" s="410">
        <v>1500000</v>
      </c>
    </row>
    <row r="10" spans="1:12" s="261" customFormat="1" ht="57" customHeight="1">
      <c r="A10" s="411">
        <v>630</v>
      </c>
      <c r="B10" s="411">
        <v>63003</v>
      </c>
      <c r="C10" s="411">
        <v>6300</v>
      </c>
      <c r="D10" s="395" t="s">
        <v>312</v>
      </c>
      <c r="E10" s="412"/>
      <c r="F10" s="412"/>
      <c r="G10" s="413">
        <v>15000</v>
      </c>
    </row>
    <row r="11" spans="1:12" s="260" customFormat="1" ht="57" customHeight="1">
      <c r="A11" s="358">
        <v>710</v>
      </c>
      <c r="B11" s="358">
        <v>71095</v>
      </c>
      <c r="C11" s="358">
        <v>6639</v>
      </c>
      <c r="D11" s="382" t="s">
        <v>313</v>
      </c>
      <c r="E11" s="409"/>
      <c r="F11" s="414"/>
      <c r="G11" s="410">
        <v>53618</v>
      </c>
    </row>
    <row r="12" spans="1:12" s="260" customFormat="1" ht="57" customHeight="1">
      <c r="A12" s="358">
        <v>750</v>
      </c>
      <c r="B12" s="358">
        <v>75095</v>
      </c>
      <c r="C12" s="358">
        <v>2710</v>
      </c>
      <c r="D12" s="359" t="s">
        <v>314</v>
      </c>
      <c r="E12" s="409"/>
      <c r="F12" s="414"/>
      <c r="G12" s="410">
        <v>10000</v>
      </c>
    </row>
    <row r="13" spans="1:12" s="260" customFormat="1" ht="44.25" customHeight="1">
      <c r="A13" s="358">
        <v>754</v>
      </c>
      <c r="B13" s="358">
        <v>75410</v>
      </c>
      <c r="C13" s="358">
        <v>6170</v>
      </c>
      <c r="D13" s="359" t="s">
        <v>315</v>
      </c>
      <c r="E13" s="409"/>
      <c r="F13" s="414"/>
      <c r="G13" s="410">
        <v>40000</v>
      </c>
    </row>
    <row r="14" spans="1:12" s="260" customFormat="1" ht="44.25" customHeight="1">
      <c r="A14" s="358">
        <v>754</v>
      </c>
      <c r="B14" s="358">
        <v>75421</v>
      </c>
      <c r="C14" s="358">
        <v>2310</v>
      </c>
      <c r="D14" s="382" t="s">
        <v>311</v>
      </c>
      <c r="E14" s="409"/>
      <c r="F14" s="414"/>
      <c r="G14" s="410">
        <v>565880</v>
      </c>
    </row>
    <row r="15" spans="1:12" s="260" customFormat="1" ht="51.75" customHeight="1">
      <c r="A15" s="358">
        <v>853</v>
      </c>
      <c r="B15" s="358">
        <v>85311</v>
      </c>
      <c r="C15" s="358">
        <v>2320</v>
      </c>
      <c r="D15" s="359" t="s">
        <v>316</v>
      </c>
      <c r="E15" s="361"/>
      <c r="F15" s="361"/>
      <c r="G15" s="415">
        <v>2700</v>
      </c>
      <c r="H15" s="262"/>
      <c r="I15" s="262"/>
      <c r="J15" s="262"/>
      <c r="K15" s="262"/>
      <c r="L15" s="262"/>
    </row>
    <row r="16" spans="1:12" s="260" customFormat="1" ht="51.75" customHeight="1">
      <c r="A16" s="358">
        <v>855</v>
      </c>
      <c r="B16" s="358">
        <v>85508</v>
      </c>
      <c r="C16" s="358">
        <v>2320</v>
      </c>
      <c r="D16" s="359" t="s">
        <v>316</v>
      </c>
      <c r="E16" s="361"/>
      <c r="F16" s="361"/>
      <c r="G16" s="415">
        <v>586057</v>
      </c>
      <c r="H16" s="262"/>
      <c r="I16" s="262"/>
      <c r="J16" s="262"/>
      <c r="K16" s="262"/>
      <c r="L16" s="262"/>
    </row>
    <row r="17" spans="1:12" s="260" customFormat="1" ht="47.25" customHeight="1">
      <c r="A17" s="358">
        <v>855</v>
      </c>
      <c r="B17" s="358">
        <v>85509</v>
      </c>
      <c r="C17" s="358">
        <v>2330</v>
      </c>
      <c r="D17" s="359" t="s">
        <v>317</v>
      </c>
      <c r="E17" s="361"/>
      <c r="F17" s="361"/>
      <c r="G17" s="415">
        <v>137000</v>
      </c>
      <c r="H17" s="262"/>
      <c r="I17" s="262"/>
      <c r="J17" s="262"/>
      <c r="K17" s="262"/>
      <c r="L17" s="262"/>
    </row>
    <row r="18" spans="1:12" s="260" customFormat="1" ht="51.75" customHeight="1">
      <c r="A18" s="358">
        <v>855</v>
      </c>
      <c r="B18" s="358">
        <v>85510</v>
      </c>
      <c r="C18" s="358">
        <v>2320</v>
      </c>
      <c r="D18" s="359" t="s">
        <v>316</v>
      </c>
      <c r="E18" s="361"/>
      <c r="F18" s="361"/>
      <c r="G18" s="415">
        <f>163724-12000</f>
        <v>151724</v>
      </c>
      <c r="H18" s="262"/>
      <c r="I18" s="262"/>
      <c r="J18" s="262"/>
      <c r="K18" s="262"/>
      <c r="L18" s="262"/>
    </row>
    <row r="19" spans="1:12" s="260" customFormat="1" ht="48" customHeight="1">
      <c r="A19" s="358">
        <v>900</v>
      </c>
      <c r="B19" s="358">
        <v>90095</v>
      </c>
      <c r="C19" s="358">
        <v>2710</v>
      </c>
      <c r="D19" s="359" t="s">
        <v>314</v>
      </c>
      <c r="E19" s="361"/>
      <c r="F19" s="361"/>
      <c r="G19" s="415">
        <v>10000</v>
      </c>
      <c r="H19" s="262"/>
      <c r="I19" s="262"/>
      <c r="J19" s="262"/>
      <c r="K19" s="262"/>
      <c r="L19" s="262"/>
    </row>
    <row r="20" spans="1:12" s="260" customFormat="1" ht="25.5" customHeight="1">
      <c r="A20" s="358">
        <v>921</v>
      </c>
      <c r="B20" s="358">
        <v>92116</v>
      </c>
      <c r="C20" s="358">
        <v>2480</v>
      </c>
      <c r="D20" s="359" t="s">
        <v>318</v>
      </c>
      <c r="E20" s="360">
        <v>754000</v>
      </c>
      <c r="F20" s="361"/>
      <c r="G20" s="416"/>
      <c r="H20" s="262"/>
      <c r="I20" s="262"/>
      <c r="J20" s="262"/>
      <c r="K20" s="262"/>
      <c r="L20" s="262"/>
    </row>
    <row r="21" spans="1:12" s="263" customFormat="1" ht="27" customHeight="1">
      <c r="A21" s="487" t="s">
        <v>319</v>
      </c>
      <c r="B21" s="487"/>
      <c r="C21" s="487"/>
      <c r="D21" s="487"/>
      <c r="E21" s="417">
        <f>SUM(E8:E20)</f>
        <v>754000</v>
      </c>
      <c r="F21" s="417">
        <f>SUM(F8:F20)</f>
        <v>0</v>
      </c>
      <c r="G21" s="417">
        <f>SUM(G8:G20)</f>
        <v>3351979</v>
      </c>
      <c r="I21" s="264"/>
    </row>
    <row r="22" spans="1:12" s="263" customFormat="1" ht="47.25" customHeight="1">
      <c r="A22" s="488" t="s">
        <v>320</v>
      </c>
      <c r="B22" s="488"/>
      <c r="C22" s="488"/>
      <c r="D22" s="404" t="s">
        <v>32</v>
      </c>
      <c r="E22" s="404" t="s">
        <v>310</v>
      </c>
      <c r="F22" s="404" t="s">
        <v>310</v>
      </c>
      <c r="G22" s="404" t="s">
        <v>310</v>
      </c>
      <c r="I22" s="264"/>
      <c r="K22" s="265"/>
    </row>
    <row r="23" spans="1:12" s="260" customFormat="1" ht="54" customHeight="1">
      <c r="A23" s="418" t="s">
        <v>143</v>
      </c>
      <c r="B23" s="418" t="s">
        <v>321</v>
      </c>
      <c r="C23" s="418" t="s">
        <v>322</v>
      </c>
      <c r="D23" s="359" t="s">
        <v>323</v>
      </c>
      <c r="E23" s="409"/>
      <c r="F23" s="409"/>
      <c r="G23" s="410">
        <v>70000</v>
      </c>
      <c r="I23" s="266"/>
      <c r="K23" s="255"/>
    </row>
    <row r="24" spans="1:12" s="260" customFormat="1" ht="59.25" customHeight="1">
      <c r="A24" s="358">
        <v>630</v>
      </c>
      <c r="B24" s="358">
        <v>63003</v>
      </c>
      <c r="C24" s="358">
        <v>2360</v>
      </c>
      <c r="D24" s="359" t="s">
        <v>324</v>
      </c>
      <c r="E24" s="409"/>
      <c r="F24" s="409"/>
      <c r="G24" s="410">
        <v>8000</v>
      </c>
      <c r="I24" s="266"/>
      <c r="K24" s="255"/>
    </row>
    <row r="25" spans="1:12" s="260" customFormat="1" ht="63.75" customHeight="1">
      <c r="A25" s="358">
        <v>754</v>
      </c>
      <c r="B25" s="358">
        <v>75495</v>
      </c>
      <c r="C25" s="358">
        <v>2360</v>
      </c>
      <c r="D25" s="359" t="s">
        <v>324</v>
      </c>
      <c r="E25" s="409"/>
      <c r="F25" s="409"/>
      <c r="G25" s="410">
        <v>10000</v>
      </c>
      <c r="I25" s="266"/>
      <c r="K25" s="255"/>
    </row>
    <row r="26" spans="1:12" s="260" customFormat="1" ht="63.75" customHeight="1">
      <c r="A26" s="358">
        <v>755</v>
      </c>
      <c r="B26" s="358">
        <v>75515</v>
      </c>
      <c r="C26" s="358">
        <v>2360</v>
      </c>
      <c r="D26" s="359" t="s">
        <v>324</v>
      </c>
      <c r="E26" s="409"/>
      <c r="F26" s="409"/>
      <c r="G26" s="410">
        <v>190080</v>
      </c>
      <c r="I26" s="266"/>
      <c r="K26" s="255"/>
    </row>
    <row r="27" spans="1:12" s="260" customFormat="1" ht="24.95" customHeight="1">
      <c r="A27" s="358">
        <v>801</v>
      </c>
      <c r="B27" s="358">
        <v>80102</v>
      </c>
      <c r="C27" s="358">
        <v>2540</v>
      </c>
      <c r="D27" s="359" t="s">
        <v>325</v>
      </c>
      <c r="E27" s="360">
        <v>5483626</v>
      </c>
      <c r="F27" s="409"/>
      <c r="G27" s="419"/>
      <c r="I27" s="266"/>
      <c r="K27" s="255"/>
    </row>
    <row r="28" spans="1:12" s="260" customFormat="1" ht="24.95" customHeight="1">
      <c r="A28" s="358">
        <v>801</v>
      </c>
      <c r="B28" s="358">
        <v>80105</v>
      </c>
      <c r="C28" s="358">
        <v>2540</v>
      </c>
      <c r="D28" s="359" t="s">
        <v>325</v>
      </c>
      <c r="E28" s="360">
        <v>1446122</v>
      </c>
      <c r="F28" s="409"/>
      <c r="G28" s="419"/>
      <c r="I28" s="266"/>
      <c r="K28" s="255"/>
    </row>
    <row r="29" spans="1:12" s="260" customFormat="1" ht="24.95" customHeight="1">
      <c r="A29" s="358">
        <v>801</v>
      </c>
      <c r="B29" s="358">
        <v>80116</v>
      </c>
      <c r="C29" s="358">
        <v>2540</v>
      </c>
      <c r="D29" s="359" t="s">
        <v>325</v>
      </c>
      <c r="E29" s="360">
        <f>2606874+25000</f>
        <v>2631874</v>
      </c>
      <c r="F29" s="409"/>
      <c r="G29" s="419"/>
      <c r="I29" s="266"/>
      <c r="K29" s="255"/>
    </row>
    <row r="30" spans="1:12" s="260" customFormat="1" ht="32.25" customHeight="1">
      <c r="A30" s="358">
        <v>801</v>
      </c>
      <c r="B30" s="358">
        <v>80120</v>
      </c>
      <c r="C30" s="358">
        <v>2540</v>
      </c>
      <c r="D30" s="359" t="s">
        <v>325</v>
      </c>
      <c r="E30" s="360">
        <v>1802508</v>
      </c>
      <c r="F30" s="359"/>
      <c r="G30" s="360"/>
    </row>
    <row r="31" spans="1:12" s="260" customFormat="1" ht="47.25" customHeight="1">
      <c r="A31" s="358">
        <v>801</v>
      </c>
      <c r="B31" s="358">
        <v>80120</v>
      </c>
      <c r="C31" s="358">
        <v>2830</v>
      </c>
      <c r="D31" s="359" t="s">
        <v>323</v>
      </c>
      <c r="E31" s="360"/>
      <c r="F31" s="359"/>
      <c r="G31" s="360">
        <v>3718</v>
      </c>
    </row>
    <row r="32" spans="1:12" s="260" customFormat="1" ht="24.95" customHeight="1">
      <c r="A32" s="358">
        <v>801</v>
      </c>
      <c r="B32" s="358">
        <v>80150</v>
      </c>
      <c r="C32" s="358">
        <v>2540</v>
      </c>
      <c r="D32" s="359" t="s">
        <v>325</v>
      </c>
      <c r="E32" s="360">
        <v>5000</v>
      </c>
      <c r="F32" s="361"/>
      <c r="G32" s="363"/>
    </row>
    <row r="33" spans="1:11" s="260" customFormat="1" ht="24.95" customHeight="1">
      <c r="A33" s="358">
        <v>801</v>
      </c>
      <c r="B33" s="358">
        <v>80152</v>
      </c>
      <c r="C33" s="358">
        <v>2540</v>
      </c>
      <c r="D33" s="359" t="s">
        <v>325</v>
      </c>
      <c r="E33" s="360">
        <v>497451</v>
      </c>
      <c r="F33" s="361"/>
      <c r="G33" s="363"/>
    </row>
    <row r="34" spans="1:11" s="260" customFormat="1" ht="45" customHeight="1">
      <c r="A34" s="358">
        <v>801</v>
      </c>
      <c r="B34" s="358">
        <v>80153</v>
      </c>
      <c r="C34" s="358">
        <v>2830</v>
      </c>
      <c r="D34" s="359" t="s">
        <v>384</v>
      </c>
      <c r="E34" s="360"/>
      <c r="F34" s="361"/>
      <c r="G34" s="360">
        <v>26971</v>
      </c>
    </row>
    <row r="35" spans="1:11" s="260" customFormat="1" ht="52.5" customHeight="1">
      <c r="A35" s="358">
        <v>851</v>
      </c>
      <c r="B35" s="358">
        <v>85111</v>
      </c>
      <c r="C35" s="358">
        <v>6230</v>
      </c>
      <c r="D35" s="359" t="s">
        <v>326</v>
      </c>
      <c r="E35" s="360"/>
      <c r="F35" s="361"/>
      <c r="G35" s="360">
        <v>4295224</v>
      </c>
    </row>
    <row r="36" spans="1:11" s="260" customFormat="1" ht="36.75" customHeight="1">
      <c r="A36" s="358">
        <v>852</v>
      </c>
      <c r="B36" s="358">
        <v>85202</v>
      </c>
      <c r="C36" s="358">
        <v>2820</v>
      </c>
      <c r="D36" s="359" t="s">
        <v>327</v>
      </c>
      <c r="E36" s="361"/>
      <c r="F36" s="361"/>
      <c r="G36" s="360">
        <v>297700</v>
      </c>
    </row>
    <row r="37" spans="1:11" s="260" customFormat="1" ht="36.75" customHeight="1">
      <c r="A37" s="358">
        <v>852</v>
      </c>
      <c r="B37" s="358">
        <v>85220</v>
      </c>
      <c r="C37" s="358">
        <v>2820</v>
      </c>
      <c r="D37" s="359" t="s">
        <v>327</v>
      </c>
      <c r="E37" s="361"/>
      <c r="F37" s="361"/>
      <c r="G37" s="360">
        <v>165400</v>
      </c>
    </row>
    <row r="38" spans="1:11" s="260" customFormat="1" ht="36.75" customHeight="1">
      <c r="A38" s="358">
        <v>852</v>
      </c>
      <c r="B38" s="358">
        <v>85295</v>
      </c>
      <c r="C38" s="358">
        <v>2827</v>
      </c>
      <c r="D38" s="359" t="s">
        <v>327</v>
      </c>
      <c r="E38" s="361"/>
      <c r="F38" s="361"/>
      <c r="G38" s="360">
        <f>24300+24300</f>
        <v>48600</v>
      </c>
    </row>
    <row r="39" spans="1:11" s="260" customFormat="1" ht="34.5" customHeight="1">
      <c r="A39" s="358">
        <v>853</v>
      </c>
      <c r="B39" s="358">
        <v>85311</v>
      </c>
      <c r="C39" s="358">
        <v>2580</v>
      </c>
      <c r="D39" s="359" t="s">
        <v>328</v>
      </c>
      <c r="E39" s="360">
        <f>297185-15942</f>
        <v>281243</v>
      </c>
      <c r="F39" s="361"/>
      <c r="G39" s="363"/>
    </row>
    <row r="40" spans="1:11" s="260" customFormat="1" ht="49.5" customHeight="1">
      <c r="A40" s="358">
        <v>853</v>
      </c>
      <c r="B40" s="358">
        <v>85311</v>
      </c>
      <c r="C40" s="358">
        <v>6230</v>
      </c>
      <c r="D40" s="359" t="s">
        <v>326</v>
      </c>
      <c r="E40" s="360"/>
      <c r="F40" s="361"/>
      <c r="G40" s="360">
        <v>15942</v>
      </c>
    </row>
    <row r="41" spans="1:11" s="260" customFormat="1" ht="30.75" customHeight="1">
      <c r="A41" s="358">
        <v>854</v>
      </c>
      <c r="B41" s="358">
        <v>85404</v>
      </c>
      <c r="C41" s="358">
        <v>2540</v>
      </c>
      <c r="D41" s="359" t="s">
        <v>325</v>
      </c>
      <c r="E41" s="360">
        <v>476582</v>
      </c>
      <c r="F41" s="361"/>
      <c r="G41" s="363"/>
    </row>
    <row r="42" spans="1:11" s="260" customFormat="1" ht="25.5" customHeight="1">
      <c r="A42" s="358">
        <v>854</v>
      </c>
      <c r="B42" s="358">
        <v>85410</v>
      </c>
      <c r="C42" s="358">
        <v>2540</v>
      </c>
      <c r="D42" s="359" t="s">
        <v>325</v>
      </c>
      <c r="E42" s="360">
        <v>93709</v>
      </c>
      <c r="F42" s="361"/>
      <c r="G42" s="363"/>
    </row>
    <row r="43" spans="1:11" s="260" customFormat="1" ht="60.75" customHeight="1">
      <c r="A43" s="358">
        <v>921</v>
      </c>
      <c r="B43" s="358">
        <v>92105</v>
      </c>
      <c r="C43" s="358">
        <v>2360</v>
      </c>
      <c r="D43" s="359" t="s">
        <v>324</v>
      </c>
      <c r="E43" s="363"/>
      <c r="F43" s="361"/>
      <c r="G43" s="360">
        <v>90000</v>
      </c>
    </row>
    <row r="44" spans="1:11" s="260" customFormat="1" ht="60.75" customHeight="1">
      <c r="A44" s="358">
        <v>921</v>
      </c>
      <c r="B44" s="358">
        <v>92120</v>
      </c>
      <c r="C44" s="358">
        <v>2720</v>
      </c>
      <c r="D44" s="359" t="s">
        <v>329</v>
      </c>
      <c r="E44" s="363"/>
      <c r="F44" s="361"/>
      <c r="G44" s="360">
        <f>60000-50000</f>
        <v>10000</v>
      </c>
    </row>
    <row r="45" spans="1:11" s="260" customFormat="1" ht="54" customHeight="1">
      <c r="A45" s="358">
        <v>921</v>
      </c>
      <c r="B45" s="358">
        <v>92120</v>
      </c>
      <c r="C45" s="358">
        <v>6560</v>
      </c>
      <c r="D45" s="362" t="s">
        <v>377</v>
      </c>
      <c r="E45" s="363"/>
      <c r="F45" s="361"/>
      <c r="G45" s="360">
        <v>50000</v>
      </c>
    </row>
    <row r="46" spans="1:11" s="260" customFormat="1" ht="60.75" customHeight="1">
      <c r="A46" s="358">
        <v>926</v>
      </c>
      <c r="B46" s="358">
        <v>92605</v>
      </c>
      <c r="C46" s="358">
        <v>2360</v>
      </c>
      <c r="D46" s="359" t="s">
        <v>324</v>
      </c>
      <c r="E46" s="420"/>
      <c r="F46" s="361"/>
      <c r="G46" s="360">
        <v>30000</v>
      </c>
      <c r="I46" s="266"/>
      <c r="K46" s="266"/>
    </row>
    <row r="47" spans="1:11" s="260" customFormat="1" ht="22.5" customHeight="1">
      <c r="A47" s="489" t="s">
        <v>330</v>
      </c>
      <c r="B47" s="489"/>
      <c r="C47" s="489"/>
      <c r="D47" s="489"/>
      <c r="E47" s="417">
        <f>SUM(E23:E46)</f>
        <v>12718115</v>
      </c>
      <c r="F47" s="417">
        <f>SUM(F23:F46)</f>
        <v>0</v>
      </c>
      <c r="G47" s="417">
        <f>SUM(G23:G46)</f>
        <v>5311635</v>
      </c>
    </row>
    <row r="48" spans="1:11" s="267" customFormat="1" ht="26.25" customHeight="1">
      <c r="A48" s="490" t="s">
        <v>331</v>
      </c>
      <c r="B48" s="490"/>
      <c r="C48" s="490"/>
      <c r="D48" s="490"/>
      <c r="E48" s="490"/>
      <c r="F48" s="490"/>
      <c r="G48" s="421">
        <f>SUM(E21,G21,E47,G47)</f>
        <v>22135729</v>
      </c>
    </row>
    <row r="49" spans="1:3" ht="15.75" customHeight="1"/>
    <row r="50" spans="1:3" ht="15.75" customHeight="1"/>
    <row r="51" spans="1:3" ht="15.75" customHeight="1"/>
    <row r="52" spans="1:3" ht="15.75" customHeight="1">
      <c r="A52" s="256"/>
      <c r="B52" s="256"/>
      <c r="C52" s="256"/>
    </row>
    <row r="53" spans="1:3" ht="15.75" customHeight="1">
      <c r="A53" s="256"/>
      <c r="B53" s="256"/>
      <c r="C53" s="256"/>
    </row>
    <row r="54" spans="1:3" ht="15.75" customHeight="1">
      <c r="A54" s="256"/>
      <c r="B54" s="256"/>
      <c r="C54" s="256"/>
    </row>
    <row r="55" spans="1:3" ht="15.75" customHeight="1"/>
    <row r="56" spans="1:3" ht="15.75" customHeight="1"/>
    <row r="57" spans="1:3" ht="15.75" customHeight="1"/>
    <row r="58" spans="1:3" ht="15.75" customHeight="1"/>
    <row r="59" spans="1:3" ht="15.75" customHeight="1"/>
    <row r="60" spans="1:3" ht="15.75" customHeight="1"/>
    <row r="61" spans="1:3" ht="15.75" customHeight="1"/>
    <row r="62" spans="1:3" ht="15.75" customHeight="1"/>
  </sheetData>
  <sheetProtection algorithmName="SHA-512" hashValue="pqjgGy1j8a/GfDQ5+7X4SGxG65/hJfouBtyymU47aktLiZ//Q7C2Mnt0QDq5yKw5/pxX5kv9aey+yhB842zddQ==" saltValue="pG6kvFeYlbngRGne26MqLQ==" spinCount="100000" sheet="1" formatColumns="0" formatRows="0"/>
  <mergeCells count="11">
    <mergeCell ref="A7:C7"/>
    <mergeCell ref="A21:D21"/>
    <mergeCell ref="A22:C22"/>
    <mergeCell ref="A47:D47"/>
    <mergeCell ref="A48:F48"/>
    <mergeCell ref="A2:G2"/>
    <mergeCell ref="A4:A5"/>
    <mergeCell ref="B4:B5"/>
    <mergeCell ref="C4:C5"/>
    <mergeCell ref="D4:D5"/>
    <mergeCell ref="E4:G4"/>
  </mergeCells>
  <pageMargins left="0.59055118110236227" right="0.31496062992125984" top="1.4173228346456694" bottom="0.62992125984251968" header="0.51181102362204722" footer="0.47244094488188981"/>
  <pageSetup paperSize="9" scale="85" orientation="portrait" horizontalDpi="4294967295" verticalDpi="300" r:id="rId1"/>
  <headerFooter differentFirst="1" alignWithMargins="0">
    <oddFooter>&amp;C&amp;P</oddFooter>
    <firstHeader>&amp;R&amp;10Załącznik Nr 1 
do uchwały Nr .................
Rady Powiatu  Otwockiego
z dnia ..............................</firstHeader>
    <firstFooter>&amp;C&amp;P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I17"/>
  <sheetViews>
    <sheetView tabSelected="1" workbookViewId="0">
      <selection activeCell="D10" sqref="D10"/>
    </sheetView>
  </sheetViews>
  <sheetFormatPr defaultColWidth="9.33203125" defaultRowHeight="12.75"/>
  <cols>
    <col min="1" max="1" width="2.83203125" style="269" customWidth="1"/>
    <col min="2" max="2" width="50.83203125" style="269" customWidth="1"/>
    <col min="3" max="3" width="9.33203125" style="269" customWidth="1"/>
    <col min="4" max="4" width="11.33203125" style="269" customWidth="1"/>
    <col min="5" max="8" width="13" style="269" customWidth="1"/>
    <col min="9" max="16384" width="9.33203125" style="269"/>
  </cols>
  <sheetData>
    <row r="1" spans="2:9" ht="9" customHeight="1"/>
    <row r="2" spans="2:9" ht="32.25" customHeight="1">
      <c r="B2" s="494" t="s">
        <v>346</v>
      </c>
      <c r="C2" s="494"/>
      <c r="D2" s="494"/>
      <c r="E2" s="494"/>
      <c r="F2" s="494"/>
      <c r="G2" s="494"/>
      <c r="H2" s="494"/>
    </row>
    <row r="3" spans="2:9" ht="13.5" thickBot="1"/>
    <row r="4" spans="2:9" ht="18.75" customHeight="1">
      <c r="B4" s="495" t="s">
        <v>334</v>
      </c>
      <c r="C4" s="497" t="s">
        <v>0</v>
      </c>
      <c r="D4" s="495" t="s">
        <v>138</v>
      </c>
      <c r="E4" s="497" t="s">
        <v>141</v>
      </c>
      <c r="F4" s="499" t="s">
        <v>335</v>
      </c>
      <c r="G4" s="497"/>
      <c r="H4" s="500"/>
    </row>
    <row r="5" spans="2:9" ht="18.75" customHeight="1" thickBot="1">
      <c r="B5" s="496"/>
      <c r="C5" s="498"/>
      <c r="D5" s="496"/>
      <c r="E5" s="498"/>
      <c r="F5" s="270"/>
      <c r="G5" s="271" t="s">
        <v>336</v>
      </c>
      <c r="H5" s="272" t="s">
        <v>337</v>
      </c>
    </row>
    <row r="6" spans="2:9" ht="45.75" customHeight="1" thickBot="1">
      <c r="B6" s="273" t="s">
        <v>338</v>
      </c>
      <c r="C6" s="274">
        <v>801</v>
      </c>
      <c r="D6" s="274">
        <v>80120</v>
      </c>
      <c r="E6" s="275">
        <v>52300</v>
      </c>
      <c r="F6" s="275">
        <v>52300</v>
      </c>
      <c r="G6" s="275">
        <v>52300</v>
      </c>
      <c r="H6" s="275">
        <v>0</v>
      </c>
    </row>
    <row r="7" spans="2:9" s="357" customFormat="1" ht="45.75" customHeight="1" thickBot="1">
      <c r="B7" s="273" t="s">
        <v>339</v>
      </c>
      <c r="C7" s="274">
        <v>801</v>
      </c>
      <c r="D7" s="274">
        <v>80120</v>
      </c>
      <c r="E7" s="275">
        <f>6160+10000</f>
        <v>16160</v>
      </c>
      <c r="F7" s="275">
        <f>6160+10000</f>
        <v>16160</v>
      </c>
      <c r="G7" s="275">
        <f>6160+10000</f>
        <v>16160</v>
      </c>
      <c r="H7" s="275">
        <v>0</v>
      </c>
    </row>
    <row r="8" spans="2:9" ht="45.75" customHeight="1" thickBot="1">
      <c r="B8" s="273" t="s">
        <v>340</v>
      </c>
      <c r="C8" s="274">
        <v>801</v>
      </c>
      <c r="D8" s="274">
        <v>80115</v>
      </c>
      <c r="E8" s="275">
        <v>145000</v>
      </c>
      <c r="F8" s="275">
        <v>145000</v>
      </c>
      <c r="G8" s="275">
        <v>145000</v>
      </c>
      <c r="H8" s="275">
        <v>0</v>
      </c>
    </row>
    <row r="9" spans="2:9" ht="45.75" customHeight="1" thickBot="1">
      <c r="B9" s="273" t="s">
        <v>341</v>
      </c>
      <c r="C9" s="274">
        <v>801</v>
      </c>
      <c r="D9" s="274">
        <v>80115</v>
      </c>
      <c r="E9" s="275">
        <v>164747</v>
      </c>
      <c r="F9" s="275">
        <v>164747</v>
      </c>
      <c r="G9" s="275">
        <v>164747</v>
      </c>
      <c r="H9" s="275">
        <v>0</v>
      </c>
    </row>
    <row r="10" spans="2:9" s="357" customFormat="1" ht="45.75" customHeight="1" thickBot="1">
      <c r="B10" s="273" t="s">
        <v>342</v>
      </c>
      <c r="C10" s="274">
        <v>854</v>
      </c>
      <c r="D10" s="274">
        <v>85403</v>
      </c>
      <c r="E10" s="275">
        <f>194000+30000</f>
        <v>224000</v>
      </c>
      <c r="F10" s="275">
        <f>194000+30000</f>
        <v>224000</v>
      </c>
      <c r="G10" s="275">
        <f>194000+30000</f>
        <v>224000</v>
      </c>
      <c r="H10" s="275">
        <v>0</v>
      </c>
    </row>
    <row r="11" spans="2:9" ht="45.75" customHeight="1" thickBot="1">
      <c r="B11" s="273" t="s">
        <v>343</v>
      </c>
      <c r="C11" s="274">
        <v>854</v>
      </c>
      <c r="D11" s="274">
        <v>85403</v>
      </c>
      <c r="E11" s="275">
        <v>202500</v>
      </c>
      <c r="F11" s="275">
        <v>202500</v>
      </c>
      <c r="G11" s="275">
        <v>202500</v>
      </c>
      <c r="H11" s="275">
        <v>0</v>
      </c>
    </row>
    <row r="12" spans="2:9" s="356" customFormat="1" ht="45.75" customHeight="1" thickBot="1">
      <c r="B12" s="279" t="s">
        <v>344</v>
      </c>
      <c r="C12" s="280">
        <v>854</v>
      </c>
      <c r="D12" s="280">
        <v>85407</v>
      </c>
      <c r="E12" s="281">
        <f>423000+100000</f>
        <v>523000</v>
      </c>
      <c r="F12" s="281">
        <v>523000</v>
      </c>
      <c r="G12" s="281">
        <f>423000+100000</f>
        <v>523000</v>
      </c>
      <c r="H12" s="281">
        <v>0</v>
      </c>
    </row>
    <row r="13" spans="2:9" ht="45.75" customHeight="1" thickBot="1">
      <c r="B13" s="273" t="s">
        <v>345</v>
      </c>
      <c r="C13" s="274">
        <v>854</v>
      </c>
      <c r="D13" s="274">
        <v>85421</v>
      </c>
      <c r="E13" s="275">
        <v>260000</v>
      </c>
      <c r="F13" s="275">
        <f t="shared" ref="F13" si="0">SUM(G13:H13)</f>
        <v>260000</v>
      </c>
      <c r="G13" s="275">
        <v>240000</v>
      </c>
      <c r="H13" s="275">
        <v>20000</v>
      </c>
      <c r="I13" s="276"/>
    </row>
    <row r="14" spans="2:9" s="278" customFormat="1" ht="28.5" customHeight="1" thickBot="1">
      <c r="B14" s="491" t="s">
        <v>35</v>
      </c>
      <c r="C14" s="492"/>
      <c r="D14" s="493"/>
      <c r="E14" s="277">
        <f>SUM(E6:E13)</f>
        <v>1587707</v>
      </c>
      <c r="F14" s="277">
        <f>SUM(F6:F13)</f>
        <v>1587707</v>
      </c>
      <c r="G14" s="277">
        <f>SUM(G6:G13)</f>
        <v>1567707</v>
      </c>
      <c r="H14" s="277">
        <f>SUM(H6:H13)</f>
        <v>20000</v>
      </c>
    </row>
    <row r="17" spans="8:8">
      <c r="H17" s="297"/>
    </row>
  </sheetData>
  <sheetProtection algorithmName="SHA-512" hashValue="fekH27UmYSTmqPQyOEsQVrIHOsHEDOyshJWjYj8b8N37rUl9iKqCUBAgs+5x0SyeMqLU6KLgRICbGBjCMxqZzA==" saltValue="A7VGcguPPm803OAhuo/pIQ==" spinCount="100000" sheet="1" formatColumns="0" formatRows="0"/>
  <mergeCells count="7">
    <mergeCell ref="B14:D14"/>
    <mergeCell ref="B2:H2"/>
    <mergeCell ref="B4:B5"/>
    <mergeCell ref="C4:C5"/>
    <mergeCell ref="D4:D5"/>
    <mergeCell ref="E4:E5"/>
    <mergeCell ref="F4:H4"/>
  </mergeCells>
  <pageMargins left="0.78740157480314965" right="0.23622047244094491" top="1.4566929133858268" bottom="0.31496062992125984" header="0.70866141732283472" footer="0.15748031496062992"/>
  <pageSetup paperSize="9" scale="85" orientation="portrait" horizontalDpi="4294967295" verticalDpi="300" r:id="rId1"/>
  <headerFooter alignWithMargins="0">
    <oddHeader>&amp;R&amp;10Załącznik Nr 2
do uchwały Nr ................
Rady Powiatu  Otwockiego
z dnia ................. 2022 r.</oddHeader>
  </headerFooter>
  <colBreaks count="1" manualBreakCount="1">
    <brk id="8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Tab.2a </vt:lpstr>
      <vt:lpstr>Tab.3</vt:lpstr>
      <vt:lpstr>Tab.5 </vt:lpstr>
      <vt:lpstr>Tab.7 </vt:lpstr>
      <vt:lpstr>Zał.1 </vt:lpstr>
      <vt:lpstr>Zał.2</vt:lpstr>
      <vt:lpstr>'Tab.2a '!Obszar_wydruku</vt:lpstr>
      <vt:lpstr>Tab.3!Obszar_wydruku</vt:lpstr>
      <vt:lpstr>'Tab.5 '!Obszar_wydruku</vt:lpstr>
      <vt:lpstr>'Zał.1 '!Obszar_wydruku</vt:lpstr>
      <vt:lpstr>Zał.2!Obszar_wydruku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Mroczkowska Aneta</cp:lastModifiedBy>
  <cp:lastPrinted>2022-08-16T10:00:46Z</cp:lastPrinted>
  <dcterms:created xsi:type="dcterms:W3CDTF">2015-10-09T11:05:37Z</dcterms:created>
  <dcterms:modified xsi:type="dcterms:W3CDTF">2022-08-16T10:22:34Z</dcterms:modified>
</cp:coreProperties>
</file>