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Desktop\zmiany budżet 31-03-2022\"/>
    </mc:Choice>
  </mc:AlternateContent>
  <xr:revisionPtr revIDLastSave="0" documentId="13_ncr:1_{CC33A586-F708-47E5-A323-62AD0E1EBA5B}" xr6:coauthVersionLast="47" xr6:coauthVersionMax="47" xr10:uidLastSave="{00000000-0000-0000-0000-000000000000}"/>
  <bookViews>
    <workbookView xWindow="-120" yWindow="-120" windowWidth="29040" windowHeight="15840" tabRatio="821" activeTab="6" xr2:uid="{00000000-000D-0000-FFFF-FFFF00000000}"/>
  </bookViews>
  <sheets>
    <sheet name="Tab.2a " sheetId="67" r:id="rId1"/>
    <sheet name="Tab.3" sheetId="21" r:id="rId2"/>
    <sheet name="Tab.4 " sheetId="71" r:id="rId3"/>
    <sheet name="Tab.5 " sheetId="68" r:id="rId4"/>
    <sheet name="Tab.6 " sheetId="72" r:id="rId5"/>
    <sheet name="Tab.7" sheetId="69" r:id="rId6"/>
    <sheet name="Zał.1" sheetId="70" r:id="rId7"/>
  </sheets>
  <externalReferences>
    <externalReference r:id="rId8"/>
    <externalReference r:id="rId9"/>
    <externalReference r:id="rId10"/>
  </externalReference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>#REF!</definedName>
    <definedName name="_xlnm._FilterDatabase" localSheetId="0" hidden="1">'Tab.2a '!$L$1:$L$76</definedName>
    <definedName name="_xlnm._FilterDatabase" localSheetId="3" hidden="1">'Tab.5 '!$C$1:$C$171</definedName>
    <definedName name="_xlnm._FilterDatabase" localSheetId="5" hidden="1">Tab.7!$D$2:$D$44</definedName>
    <definedName name="IdWzor">[1]DaneZrodlowe!$N$3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 localSheetId="6">#REF!</definedName>
    <definedName name="Inwestycje">#REF!</definedName>
    <definedName name="KwartalRb">[2]definicja!$B$5</definedName>
    <definedName name="_xlnm.Print_Area" localSheetId="0">'Tab.2a '!$A$2:$K$71</definedName>
    <definedName name="_xlnm.Print_Area" localSheetId="1">Tab.3!$A$2:$D$29</definedName>
    <definedName name="_xlnm.Print_Area" localSheetId="2">'Tab.4 '!$A$2:$I$52</definedName>
    <definedName name="_xlnm.Print_Area" localSheetId="3">'Tab.5 '!$A$1:$F$164</definedName>
    <definedName name="_xlnm.Print_Area" localSheetId="6">Zał.1!$A$2:$G$44</definedName>
    <definedName name="Ostatni_rok_analizy">[3]WPF_Analiza!$L$1</definedName>
    <definedName name="Rok_bazowy">[2]DaneZrodlowe!$O$1</definedName>
    <definedName name="RokBazowy">[3]DaneZrodlowe!$N$1</definedName>
    <definedName name="RokMaxProg">[3]DaneZrodlowe!$Q$1</definedName>
    <definedName name="RokRb">[2]definicja!$B$4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>#REF!</definedName>
    <definedName name="version">[3]definicja!$D$1</definedName>
    <definedName name="WydatkiPar">[2]definicja!$H$5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1" l="1"/>
  <c r="D28" i="21"/>
  <c r="F20" i="67"/>
  <c r="D40" i="71"/>
  <c r="G22" i="67" l="1"/>
  <c r="D20" i="21" l="1"/>
  <c r="G17" i="70"/>
  <c r="G16" i="70"/>
  <c r="E36" i="70"/>
  <c r="G35" i="70"/>
  <c r="G33" i="70"/>
  <c r="E29" i="70"/>
  <c r="J65" i="67" l="1"/>
  <c r="G58" i="67"/>
  <c r="H58" i="67"/>
  <c r="I58" i="67"/>
  <c r="F58" i="67"/>
  <c r="F57" i="67"/>
  <c r="G34" i="67"/>
  <c r="F22" i="67"/>
  <c r="H15" i="67"/>
  <c r="I15" i="67"/>
  <c r="G15" i="67"/>
  <c r="J15" i="67"/>
  <c r="G51" i="67"/>
  <c r="H22" i="67"/>
  <c r="I22" i="67"/>
  <c r="J22" i="67"/>
  <c r="G44" i="69"/>
  <c r="F44" i="69"/>
  <c r="G37" i="69"/>
  <c r="G34" i="69"/>
  <c r="F22" i="69"/>
  <c r="F23" i="69"/>
  <c r="F9" i="69"/>
  <c r="G12" i="69"/>
  <c r="F12" i="69"/>
  <c r="F11" i="69" s="1"/>
  <c r="G11" i="69"/>
  <c r="G25" i="72" l="1"/>
  <c r="F25" i="72"/>
  <c r="F13" i="72"/>
  <c r="G15" i="72"/>
  <c r="G16" i="72"/>
  <c r="F15" i="72"/>
  <c r="G19" i="72"/>
  <c r="F19" i="72"/>
  <c r="G20" i="72"/>
  <c r="F20" i="72"/>
  <c r="F16" i="72"/>
  <c r="G12" i="72" l="1"/>
  <c r="F12" i="72"/>
  <c r="G7" i="72"/>
  <c r="G6" i="72" s="1"/>
  <c r="F7" i="72"/>
  <c r="F6" i="72" s="1"/>
  <c r="I51" i="71" l="1"/>
  <c r="E51" i="71"/>
  <c r="G52" i="71"/>
  <c r="F52" i="71"/>
  <c r="E52" i="71"/>
  <c r="D51" i="71"/>
  <c r="D46" i="71"/>
  <c r="D45" i="71"/>
  <c r="D41" i="71"/>
  <c r="I35" i="71"/>
  <c r="D35" i="71"/>
  <c r="D34" i="71"/>
  <c r="I30" i="71"/>
  <c r="H30" i="71"/>
  <c r="D30" i="71"/>
  <c r="D29" i="71"/>
  <c r="I25" i="71"/>
  <c r="H25" i="71"/>
  <c r="D25" i="71"/>
  <c r="D24" i="71"/>
  <c r="I20" i="71"/>
  <c r="H20" i="71"/>
  <c r="H52" i="71" s="1"/>
  <c r="D20" i="71"/>
  <c r="D19" i="71"/>
  <c r="I15" i="71"/>
  <c r="I52" i="71" s="1"/>
  <c r="D15" i="71"/>
  <c r="D14" i="71"/>
  <c r="D10" i="71"/>
  <c r="D9" i="71"/>
  <c r="G60" i="67"/>
  <c r="H60" i="67"/>
  <c r="I60" i="67"/>
  <c r="F59" i="67"/>
  <c r="F60" i="67" s="1"/>
  <c r="H55" i="67"/>
  <c r="D50" i="71" l="1"/>
  <c r="D52" i="71"/>
  <c r="D18" i="21"/>
  <c r="D17" i="21"/>
  <c r="G31" i="67"/>
  <c r="H31" i="67"/>
  <c r="I31" i="67"/>
  <c r="F21" i="67"/>
  <c r="G25" i="67"/>
  <c r="F25" i="67" s="1"/>
  <c r="H50" i="67"/>
  <c r="I50" i="67"/>
  <c r="J50" i="67"/>
  <c r="H45" i="67"/>
  <c r="I45" i="67"/>
  <c r="J45" i="67"/>
  <c r="H43" i="67"/>
  <c r="I43" i="67"/>
  <c r="J43" i="67"/>
  <c r="G43" i="67"/>
  <c r="F43" i="67"/>
  <c r="G50" i="67"/>
  <c r="F49" i="67"/>
  <c r="F50" i="67" s="1"/>
  <c r="F31" i="67" l="1"/>
  <c r="G43" i="70"/>
  <c r="F43" i="70"/>
  <c r="E43" i="70"/>
  <c r="G20" i="70"/>
  <c r="F20" i="70"/>
  <c r="E20" i="70"/>
  <c r="F42" i="69"/>
  <c r="F41" i="69" s="1"/>
  <c r="G41" i="69"/>
  <c r="G39" i="69"/>
  <c r="G38" i="69" s="1"/>
  <c r="G35" i="69"/>
  <c r="F35" i="69"/>
  <c r="G33" i="69"/>
  <c r="G30" i="69"/>
  <c r="F30" i="69"/>
  <c r="G26" i="69"/>
  <c r="G25" i="69" s="1"/>
  <c r="F26" i="69"/>
  <c r="F25" i="69" s="1"/>
  <c r="F18" i="69"/>
  <c r="F17" i="69" s="1"/>
  <c r="G17" i="69"/>
  <c r="G15" i="69"/>
  <c r="G14" i="69" s="1"/>
  <c r="F15" i="69"/>
  <c r="F14" i="69" s="1"/>
  <c r="G8" i="69"/>
  <c r="F8" i="69"/>
  <c r="F5" i="69" s="1"/>
  <c r="G7" i="69"/>
  <c r="G6" i="69" s="1"/>
  <c r="G5" i="69" s="1"/>
  <c r="F29" i="69" l="1"/>
  <c r="G29" i="69"/>
  <c r="G44" i="70"/>
  <c r="G24" i="67" l="1"/>
  <c r="F17" i="67"/>
  <c r="G16" i="67"/>
  <c r="F14" i="67"/>
  <c r="J13" i="67"/>
  <c r="F11" i="67"/>
  <c r="J7" i="67"/>
  <c r="G10" i="67"/>
  <c r="G9" i="67"/>
  <c r="F16" i="67" l="1"/>
  <c r="F15" i="67"/>
  <c r="D15" i="21"/>
  <c r="D14" i="21" l="1"/>
  <c r="J64" i="67" l="1"/>
  <c r="I64" i="67"/>
  <c r="H64" i="67"/>
  <c r="G64" i="67"/>
  <c r="F64" i="67"/>
  <c r="J62" i="67"/>
  <c r="I62" i="67"/>
  <c r="H62" i="67"/>
  <c r="G62" i="67"/>
  <c r="F61" i="67"/>
  <c r="F62" i="67" s="1"/>
  <c r="I55" i="67"/>
  <c r="G55" i="67"/>
  <c r="F53" i="67"/>
  <c r="F55" i="67" s="1"/>
  <c r="H52" i="67"/>
  <c r="G52" i="67"/>
  <c r="F51" i="67"/>
  <c r="F52" i="67" s="1"/>
  <c r="K48" i="67"/>
  <c r="J48" i="67"/>
  <c r="I48" i="67"/>
  <c r="H48" i="67"/>
  <c r="G48" i="67"/>
  <c r="F47" i="67"/>
  <c r="F46" i="67"/>
  <c r="G45" i="67"/>
  <c r="F44" i="67"/>
  <c r="F45" i="67" s="1"/>
  <c r="G40" i="67"/>
  <c r="G38" i="67" s="1"/>
  <c r="F39" i="67"/>
  <c r="I38" i="67"/>
  <c r="H38" i="67"/>
  <c r="F36" i="67"/>
  <c r="I35" i="67"/>
  <c r="H35" i="67"/>
  <c r="G35" i="67"/>
  <c r="F34" i="67"/>
  <c r="I33" i="67"/>
  <c r="H33" i="67"/>
  <c r="G33" i="67"/>
  <c r="F30" i="67"/>
  <c r="F29" i="67"/>
  <c r="J28" i="67"/>
  <c r="I28" i="67"/>
  <c r="H28" i="67"/>
  <c r="G28" i="67"/>
  <c r="F24" i="67"/>
  <c r="F23" i="67"/>
  <c r="F18" i="67"/>
  <c r="I13" i="67"/>
  <c r="H13" i="67"/>
  <c r="G13" i="67"/>
  <c r="F12" i="67"/>
  <c r="F10" i="67"/>
  <c r="F9" i="67"/>
  <c r="F8" i="67"/>
  <c r="I7" i="67"/>
  <c r="H7" i="67"/>
  <c r="G7" i="67"/>
  <c r="F48" i="67" l="1"/>
  <c r="F28" i="67"/>
  <c r="F35" i="67"/>
  <c r="J41" i="67"/>
  <c r="F38" i="67"/>
  <c r="H41" i="67"/>
  <c r="H65" i="67" s="1"/>
  <c r="F33" i="67"/>
  <c r="F40" i="67"/>
  <c r="I41" i="67"/>
  <c r="I65" i="67" s="1"/>
  <c r="G41" i="67"/>
  <c r="G65" i="67" s="1"/>
  <c r="F7" i="67"/>
  <c r="F13" i="67"/>
  <c r="F41" i="67" l="1"/>
  <c r="F65" i="67" s="1"/>
  <c r="D26" i="21" l="1"/>
  <c r="D10" i="21"/>
  <c r="D7" i="21"/>
  <c r="D13" i="21" l="1"/>
</calcChain>
</file>

<file path=xl/sharedStrings.xml><?xml version="1.0" encoding="utf-8"?>
<sst xmlns="http://schemas.openxmlformats.org/spreadsheetml/2006/main" count="1070" uniqueCount="389">
  <si>
    <t>Dział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</si>
  <si>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</si>
  <si>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</si>
  <si>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</si>
  <si>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</si>
  <si>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</si>
  <si>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</si>
  <si>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</si>
  <si>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</si>
  <si>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</si>
  <si>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</si>
  <si>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</si>
  <si>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</si>
  <si>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</si>
  <si>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</si>
  <si>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</si>
  <si>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</si>
  <si>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</si>
  <si>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</si>
  <si>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</si>
  <si>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</si>
  <si>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</si>
  <si>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</si>
  <si>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</si>
  <si>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</si>
  <si>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</si>
  <si>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</si>
  <si>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</si>
  <si>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</si>
  <si>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</si>
  <si>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</si>
  <si>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</si>
  <si>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</si>
  <si>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</si>
  <si>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</si>
  <si>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</si>
  <si>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>w tym:</t>
  </si>
  <si>
    <t>9.</t>
  </si>
  <si>
    <t>7.</t>
  </si>
  <si>
    <t>6.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</si>
  <si>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</si>
  <si>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</si>
  <si>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</si>
  <si>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</si>
  <si>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Regionalne partnerstwo samorządów Mazowsza dla aktywizacji społeczeństwa informacyjnego w zakresie e-administracji i geoinformacji</t>
  </si>
  <si>
    <t>Przychody ze sprzedaży innych papierów wartościowych</t>
  </si>
  <si>
    <t>§ 931</t>
  </si>
  <si>
    <t>Modernizacja budynku Specjalnego Ośrodka Szkolno-Wychowawczego Nr 1 - wzmocnienie stropów, dostosowanie budynku do zaleceń  ppoż.</t>
  </si>
  <si>
    <t>Rozdz.</t>
  </si>
  <si>
    <t>Uwagi</t>
  </si>
  <si>
    <t>środki własne</t>
  </si>
  <si>
    <t>kredyty, pożyczki, obligacje</t>
  </si>
  <si>
    <t>środki o których mowa w art. 5 ust. 1 pkt 2 i 3 uofp</t>
  </si>
  <si>
    <t>środki pochodzące                  z innych źródeł                     (w tym dotacje)</t>
  </si>
  <si>
    <t>8.</t>
  </si>
  <si>
    <t>10.</t>
  </si>
  <si>
    <t>11.</t>
  </si>
  <si>
    <t>Gmina Celestynów</t>
  </si>
  <si>
    <t xml:space="preserve">Rozbudowa dróg powiatowych Nr 2715W i Nr 2716W w miejsc. Dyzin, Jatne i Celestynów, gm. Celestynów, powiat otwocki </t>
  </si>
  <si>
    <t>B. 4 000 000</t>
  </si>
  <si>
    <t xml:space="preserve">Przebudowa mostu w drodze powiatowej Nr 2722W w Pogorzeli </t>
  </si>
  <si>
    <t>WPF</t>
  </si>
  <si>
    <t>Poprawa bezpieczeństwa ruchu drogowego na przejściu dla pieszych w Pogorzeli na ul. Warszawskiej na drodze Nr 2715W</t>
  </si>
  <si>
    <t>A. 159 170</t>
  </si>
  <si>
    <t>Rozbudowa drogi powiatowej Nr 2713W w miejscowościach Stara Wieś, Dąbrówka i Celestynów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</si>
  <si>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</si>
  <si>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Gmina Józefów</t>
  </si>
  <si>
    <t>Poprawa bezpieczeństwa ruchu drogowego na przejściu dla pieszych w Józefowie na ul. Granicznej na drodze nr 2768W</t>
  </si>
  <si>
    <t>Gmina Otwock</t>
  </si>
  <si>
    <t xml:space="preserve">Poprawa bezpieczeństwa ruchu drogowego na  przejściu dla pieszych w Otwocku na ul. Narutowicza na drodze Nr 2759W
</t>
  </si>
  <si>
    <t>A. 159 090</t>
  </si>
  <si>
    <t>Poprawa bezpieczeństwa ruchu poprzez budowę ciągów pieszych i rowerowych na ul. Warszawskiej, ul. Jana Pawła II i ul. Poniatowskiego</t>
  </si>
  <si>
    <t>Rozbudowa skrzyżowania dróg powiatowych Nr 2765W ul. Karczewskiej i Nr 2760W  ul. Batorego i ul. Matejki w Otwocku</t>
  </si>
  <si>
    <t>D. 1 000 000</t>
  </si>
  <si>
    <t>Gmina Karczew</t>
  </si>
  <si>
    <t>Modernizacja drogi powiatowej Nr 2730W Kępa Nadbrzeska - Otwock Wielki</t>
  </si>
  <si>
    <t>B. 300 000</t>
  </si>
  <si>
    <t>12.</t>
  </si>
  <si>
    <t>Poprawa bezpieczeństwa ruchu drogowego na przejściu dla pieszych w Sobiekursku na drodze Nr 2726W</t>
  </si>
  <si>
    <t>13.</t>
  </si>
  <si>
    <t>Poprawa bezpieczeństwa ruchu drogowego w obszarze oddziaływania przejścia dla pieszych w Karczewie na ul. Mickiewicza na drodze nr 2771W</t>
  </si>
  <si>
    <t>Gmina Kołbiel</t>
  </si>
  <si>
    <t>14.</t>
  </si>
  <si>
    <t>Projekt i budowa ciągu pieszo – rowerowego w drodze powiatowej Nr  2739W                      w miejsc. Gadka</t>
  </si>
  <si>
    <t>15.</t>
  </si>
  <si>
    <t>Poprawa bezpieczeństwa ruchu drogowego na  przejściu dla pieszych w  Kątach na ul. Królewskiej na drodze Nr 2745W</t>
  </si>
  <si>
    <t>Gmina Osieck</t>
  </si>
  <si>
    <t>Gmina Sobienie Jeziory</t>
  </si>
  <si>
    <t>16.</t>
  </si>
  <si>
    <t>Przebudowa mostu na przepust w ciągu drogi powiatowej Nr 2735W Warszówka – Warszawice w Warszawicach </t>
  </si>
  <si>
    <t>Gmina Wiązowna</t>
  </si>
  <si>
    <t>17.</t>
  </si>
  <si>
    <t>Budowa chodników w drogach powiatowych na terenie gminy Wiązowna - Majdan   ul. Widoczna</t>
  </si>
  <si>
    <t>18.</t>
  </si>
  <si>
    <t>Remont drogi powiatowej Nr 2710W na odcinku od drogi krajowej S17 do mostu na rzece Świder</t>
  </si>
  <si>
    <t>19.</t>
  </si>
  <si>
    <t>Modernizacja infrastruktury drogowej dróg powiatowych Powiatu Otwockiego polegająca na modernizacji przepraw przez cieki (mosty w m. Glinianka, Kąty, Grabianka, Janów, Nadbrzeż, Brzezinka)</t>
  </si>
  <si>
    <t>F. 3 800 000</t>
  </si>
  <si>
    <t>20.</t>
  </si>
  <si>
    <t>Zakupy inwestycyjne w Zarządzie Dróg Powiatowych</t>
  </si>
  <si>
    <t>Razem Rozdział 60014</t>
  </si>
  <si>
    <t>21.</t>
  </si>
  <si>
    <t>Razem Rozdział 71095</t>
  </si>
  <si>
    <t>22.</t>
  </si>
  <si>
    <t>Budowa budynku siedziby Starostwa Powiatowego w Otwocku oraz wybranych powiatowych jednostek organizacyjnych i wybranych służb powiatowych wraz z zagospodarowaniem terenu</t>
  </si>
  <si>
    <t>23.</t>
  </si>
  <si>
    <t xml:space="preserve">Zakup samochodu służbowego dla potrzeb Starostwa Powiatowego w Otwocku </t>
  </si>
  <si>
    <t xml:space="preserve">  Razem Rozdział 75020</t>
  </si>
  <si>
    <t>24.</t>
  </si>
  <si>
    <t>Rezerwa na inwestycje i zakupy inwestycyjne</t>
  </si>
  <si>
    <t>Razem rozdział 75818</t>
  </si>
  <si>
    <t>25.</t>
  </si>
  <si>
    <t>Wniesienie wkładu pieniężnego - zwiększenie udziału w Powiatowym Centrum Zdrowia Sp. z o.o.</t>
  </si>
  <si>
    <t>26.</t>
  </si>
  <si>
    <t>Razem Rozdział 85111</t>
  </si>
  <si>
    <t>27.</t>
  </si>
  <si>
    <t xml:space="preserve">Budowa Domu Pomocy Społecznej "Wrzos" </t>
  </si>
  <si>
    <t>Razem Rozdział 85202</t>
  </si>
  <si>
    <t>28.</t>
  </si>
  <si>
    <t>Razem Rozdział 85403</t>
  </si>
  <si>
    <t>29.</t>
  </si>
  <si>
    <t>Modernizacja budynków gospodarczych z uwzględnieniem wymiany pokrycia dachowego</t>
  </si>
  <si>
    <t>Razem Rozdział 85510</t>
  </si>
  <si>
    <t>A. Dotacje i środki z budżetu państwa (np. od wojewody, MEN, UKFiS, …), w tym: Rządowy Fundusz Rozwoju Dróg</t>
  </si>
  <si>
    <t>B. Środki i dotacje otrzymane od innych jst oraz innych jednostek zaliczanych do sektora finansów publicznych</t>
  </si>
  <si>
    <t>C. Inne źródła  - Rządowy Fundusz Inwestycji Lokalnych 2020</t>
  </si>
  <si>
    <t>D. Inne źródła  - Rządowy Fundusz Inwestycji Lokalnych 2021</t>
  </si>
  <si>
    <t>F. Inne źródła - Program Inwestycji Strategicznych - Polski Ład</t>
  </si>
  <si>
    <t>a)  środki z Rządowego Funduszu Inwestycji Lokalnych</t>
  </si>
  <si>
    <t>b)  środki z Rządowego Funduszu Rozwoju Dróg</t>
  </si>
  <si>
    <t xml:space="preserve">c)  środki z tytułu uzupełnienia subwencji ogólnej </t>
  </si>
  <si>
    <t>C. 5 500 000</t>
  </si>
  <si>
    <t>A. 196 800</t>
  </si>
  <si>
    <t>A. 155 768</t>
  </si>
  <si>
    <t>D. 3 480 000</t>
  </si>
  <si>
    <t>Plan wydatków majątkowych na 2022 rok  - po zmianach</t>
  </si>
  <si>
    <t>Przychody i rozchody budżetu w 2022 roku - po zmianach</t>
  </si>
  <si>
    <t>A. 200 000</t>
  </si>
  <si>
    <t>D. 4 295 224</t>
  </si>
  <si>
    <t>Dotacja dla Powiatowego Centrum Zdrowia Sp. z o.o. w Otwocku na przebudowę i modernizację podziemia szpitala oraz modernizację przychodni specjalistycznej</t>
  </si>
  <si>
    <t>Rozdział</t>
  </si>
  <si>
    <t>Paragraf</t>
  </si>
  <si>
    <t>Wyszczególnienie</t>
  </si>
  <si>
    <t>Dochody</t>
  </si>
  <si>
    <t>Wydatki</t>
  </si>
  <si>
    <t>010</t>
  </si>
  <si>
    <t>Rolnictwo i łowiectwo</t>
  </si>
  <si>
    <t>01005</t>
  </si>
  <si>
    <t>Prace geodezyjno-urządzeniowe na potrzeby rolnictwa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</si>
  <si>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</si>
  <si>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</si>
  <si>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</si>
  <si>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</si>
  <si>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</si>
  <si>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</si>
  <si>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</si>
  <si>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</si>
  <si>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</si>
  <si>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</si>
  <si>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</si>
  <si>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</si>
  <si>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</si>
  <si>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</si>
  <si>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</si>
  <si>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</si>
  <si>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</si>
  <si>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</si>
  <si>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</si>
  <si>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</si>
  <si>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</si>
  <si>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</si>
  <si>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</si>
  <si>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</si>
  <si>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</si>
  <si>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</si>
  <si>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</si>
  <si>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</si>
  <si>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</si>
  <si>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Wpłaty na PPK finansowane przez podmiot zatrudniający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</si>
  <si>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</si>
  <si>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</si>
  <si>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</si>
  <si>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</si>
  <si>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</si>
  <si>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</si>
  <si>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</si>
  <si>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</si>
  <si>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</si>
  <si>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Uposażenia i świadczenia pieniężne wypłacane przez okres roku żołnierzom i funkcjonariuszom zwolnionym ze służby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</si>
  <si>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</si>
  <si>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</si>
  <si>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</si>
  <si>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</si>
  <si>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</si>
  <si>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</si>
  <si>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</si>
  <si>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</si>
  <si>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Ochrona zdrowia</t>
  </si>
  <si>
    <t>Składki na ubezpieczenie zdrowotne</t>
  </si>
  <si>
    <t>852</t>
  </si>
  <si>
    <t>Pomoc społeczna</t>
  </si>
  <si>
    <t>Ośrodki wsparcia</t>
  </si>
  <si>
    <t>Pozostałe zadania w zakresie polityki społecznej</t>
  </si>
  <si>
    <t>Zespoły do spraw orzekania o niepełnosprawności</t>
  </si>
  <si>
    <t>855</t>
  </si>
  <si>
    <t>Rodzina</t>
  </si>
  <si>
    <t>85508</t>
  </si>
  <si>
    <t>Rodziny zastępcze</t>
  </si>
  <si>
    <t>Świadczenia społeczne</t>
  </si>
  <si>
    <t>85510</t>
  </si>
  <si>
    <t>Działalność placówek opiekuńczo-wychowawczych</t>
  </si>
  <si>
    <t>Razem</t>
  </si>
  <si>
    <t>Transport i łączność</t>
  </si>
  <si>
    <t>Lokalny transport zbiorowy</t>
  </si>
  <si>
    <t>Dotacja celowa przekazana gminie na zadania bieżące realizowane na podstawie porozumień (umów) między jednostkami samorządu terytorialnego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</si>
  <si>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</si>
  <si>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</si>
  <si>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Dotacja celowa na pomoc finansową udzielaną między jednostkami samorządu terytorialnego na dofinansowanie własnych zadań inwestycyjnych i zakupów inwestycyjnych</t>
  </si>
  <si>
    <t>Pozostała działalność</t>
  </si>
  <si>
    <t>Dotacja celowa przekazana do samorządu województwa na inwestycje i zakupy inwestycyjne realizowane na podstawie porozumień (umów) między jednostkami samorządu terytorialnego</t>
  </si>
  <si>
    <t>Starostwa powiatowe</t>
  </si>
  <si>
    <t>Dotacja celowa na pomoc finansową udzielaną między jednostkami samorządu terytorialnego na dofinansowanie własnych zadań bieżących</t>
  </si>
  <si>
    <t>Pozostala działalność</t>
  </si>
  <si>
    <t>Rehabilitacja zawodowa i społeczna osób niepełnosprawnych</t>
  </si>
  <si>
    <t>Dotacja celowa otrzymana z powiatu na zadania bieżące realizowane na podstawie porozumień (umów) między jednostkami samorządu terytorialnego</t>
  </si>
  <si>
    <t>Dotacja celowa przekazana dla powiatu na zadania bieżące realizowane na podstawie porozumień (umów) między jednostkami samorządu terytorialnego</t>
  </si>
  <si>
    <t>Dotacja celowa otrzyman z powiatu na zadania bieżące realizowane na podstawie porozumień (umów) między jednostkami samorządu terytorialnego</t>
  </si>
  <si>
    <t>Działalność ośrodków adopcyjnych</t>
  </si>
  <si>
    <t>Dotacja celowa przekazana do samorządu województwa na zadania bieżące realizowane na podstawie porozumień (umów) między jednostkami samorządu terytorialnego</t>
  </si>
  <si>
    <t>Gospodarka komunalna i ochrona środowiska</t>
  </si>
  <si>
    <t>Kultura i ochrona dziedzictwa narodowego</t>
  </si>
  <si>
    <t>Biblioteki</t>
  </si>
  <si>
    <t>Dotacja celowa otrzymana z tytułu pomocy finansowej udzielanej między jednostkami samorządu terytorialnego na dofinansowanie własnych zadań bieżących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</si>
  <si>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</si>
  <si>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</si>
  <si>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</si>
  <si>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</si>
  <si>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</si>
  <si>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</si>
  <si>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zadania bieżące realizowane na podstawie porozumień (umów) między jednostkami samorządu terytorialnego</t>
  </si>
  <si>
    <t>Dotacje celowe przekazane do samorządu województwa na inwestycje i zakupy inwestycyjne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</si>
  <si>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</si>
  <si>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</si>
  <si>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</si>
  <si>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</si>
  <si>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</si>
  <si>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</si>
  <si>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</si>
  <si>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</si>
  <si>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</si>
  <si>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Dotacja celowa z budżetu na finansowanie lub dofinansowanie kosztów realizacji inwestycji i zakupów inwestycyjnych jednostek nie 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</si>
  <si>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</si>
  <si>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</si>
  <si>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Dotacja celowa z budżetu na finansowanie lub dofinansowanie prac remontowych i konserwatorskich obiektów zabytkowych przekazane jednostkom niezaliczanym do sektora finansów publicznych</t>
  </si>
  <si>
    <t>Razem jednostki nienależące do sektora finansów publicznych</t>
  </si>
  <si>
    <t>Ogółem plan dotacji na 2022 rok</t>
  </si>
  <si>
    <t>Dochody i wydatki związane z realizacją zadań z zakresu administracji rządowej i innych zadań zleconych                                                                jednostce samorządu terytorialnego odrębnymi ustawami na 2022 rok - po zmianach</t>
  </si>
  <si>
    <t>Dochody i wydatki związane z realizacją zadań realizowanych w drodze umów lub porozumień między                                              jednostkami samorządu terytorialnego na 2022 rok - po zmianach</t>
  </si>
  <si>
    <t>Dotacje udzielone w 2022 roku z budżetu podmiotom należącym                                                                                               i nienależącym do sektora finansów publicznych - po zmianach</t>
  </si>
  <si>
    <t>Wpłaty jednostek na państwowy fundusz celowy na finansowanie lub dofinansowanie zadań inwestycyjnych</t>
  </si>
  <si>
    <t>Razem rozdział 75410</t>
  </si>
  <si>
    <t>30.</t>
  </si>
  <si>
    <t>Zakup plotera dla potrzeb Powiatowego Ośrodka Dokumentacji Geodezyjnej                i Kartograficznej</t>
  </si>
  <si>
    <t>Razem Rozdział 71012</t>
  </si>
  <si>
    <t>31.</t>
  </si>
  <si>
    <t>Projekt i budowa brakującego ciągu pieszo-rowerowego i odwodnienia w drodze powiatowej Nr 2759W – ul. Narutowicza w Otwocku na wysokości OSP Jabłonna i dalej w kierunku Świerku</t>
  </si>
  <si>
    <t>32.</t>
  </si>
  <si>
    <t>Dotacja na dofinansowanie zakupu samochodu ratowniczo-gaśniczego na potrzeby Komendy Powiatowej PSP w Otwocku</t>
  </si>
  <si>
    <t xml:space="preserve">Rozbudowa drogi powiatowej Nr 2715W </t>
  </si>
  <si>
    <t>A. 0</t>
  </si>
  <si>
    <t>Dotacja na sfinansowanie wymaganego wkładu własnego dla placówki prowadzącej  Warsztaty Terapii Zajęciowej  przez  Polskie Stowarzyszenie na Rzecz Osób  z Niepełnosprawnością Intelektualną   w Otwocku, ul. Moniuszki 41  na zakup samochodu</t>
  </si>
  <si>
    <t>Razem Rozdział 85311</t>
  </si>
  <si>
    <t>Rozbudowa i modernizacja Domu Pomocy Społecznej Wrzos w Otwocku</t>
  </si>
  <si>
    <t>Wydatki na programy i projekty realizowane ze środków pochodzących z budżetu Unii Europejskiej oraz innych źródeł zagranicznych, niepodlegających zwrotowi na 2022 rok - po zmianach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</si>
  <si>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</si>
  <si>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</si>
  <si>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</si>
  <si>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</si>
  <si>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</si>
  <si>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</si>
  <si>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</si>
  <si>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</si>
  <si>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Program: Regionalny Program Operacyjny Województwa Mazowieckiego</t>
  </si>
  <si>
    <t>Jednostka realizująca - Starostwo Powiatowe</t>
  </si>
  <si>
    <t>wykonanie 2021</t>
  </si>
  <si>
    <t>plan 2022</t>
  </si>
  <si>
    <t>Europejski Fundusz Społeczny</t>
  </si>
  <si>
    <t>Jednostka realizująca - Zespół Szkół Ekonomiczno-Gastronomicznych</t>
  </si>
  <si>
    <t>Program ERASMUS+</t>
  </si>
  <si>
    <t>Nazwa: Mobilni w Europie</t>
  </si>
  <si>
    <t>Regionalny Program Operacyjny Województwa Mazowieckiego na lata 2014-2020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</si>
  <si>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</si>
  <si>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</si>
  <si>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</si>
  <si>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Program Operacyjny Wiedza Edukacja Rozwój 2014-2020 (PO WER)</t>
  </si>
  <si>
    <t>Nazwa: Nauczyciele przyszłości</t>
  </si>
  <si>
    <t>Fundacja Rozwoju Systemu Edukacji</t>
  </si>
  <si>
    <t>Jednostka realizująca - Specjalny ośrodek Szkolno-Wychowawczy Nr 1</t>
  </si>
  <si>
    <t>Nazwa: Bardziej aktywny dzięki sztuce współczesnej</t>
  </si>
  <si>
    <t>Jednostka realizująca - Specjalny ośrodek Szkolno-Wychowawczy Nr 2</t>
  </si>
  <si>
    <t>Nazwa: Szkoła otwarta na świat</t>
  </si>
  <si>
    <t>Jednostka realizująca - Powiatowe Centrum Pomocy Rodzinie</t>
  </si>
  <si>
    <t>Nazwa: Życiowe i zawodowe drogowskazy</t>
  </si>
  <si>
    <t>Nazwa: Rodzinne drogowskazy</t>
  </si>
  <si>
    <t>Ogółem plan 2022</t>
  </si>
  <si>
    <t>Dotacje celowe otrzymane z budżetu państwa na zadania bieżące realizowane przez powiat na podstawie porozumień z organami administracji rządowej</t>
  </si>
  <si>
    <t>Dochody i wydatki związane z realizacją zadań wykonywanych na mocy porozumień                                                 z organami administracji rządowej na 2022 rok - po zmianach</t>
  </si>
  <si>
    <t>Zarządzanie kryzysowe</t>
  </si>
  <si>
    <t>Oswiata i wychowanie</t>
  </si>
  <si>
    <t>Turystyka</t>
  </si>
  <si>
    <t>Zadania w zakresie upowszechniania turystyki</t>
  </si>
  <si>
    <t>2710</t>
  </si>
  <si>
    <t>Oświata i wychowanie</t>
  </si>
  <si>
    <t>Modernizacja chodnika na drodze powiatowej Nr 2774W ul. Wiślanej w Karczewie</t>
  </si>
  <si>
    <t>Opracowanie dokumentacji projektowej przebudowy drogi powiatowej Nr 2724W w zakresie wykonania chodnika  w miejscowości Całowanie</t>
  </si>
  <si>
    <t>B. 30 000</t>
  </si>
  <si>
    <t>A. 1 079 919</t>
  </si>
  <si>
    <t>F. 2 000 000</t>
  </si>
  <si>
    <t>F. 0</t>
  </si>
  <si>
    <t>33.</t>
  </si>
  <si>
    <t>34.</t>
  </si>
  <si>
    <t>35.</t>
  </si>
  <si>
    <t>36.</t>
  </si>
  <si>
    <t>37.</t>
  </si>
  <si>
    <t/>
  </si>
  <si>
    <t>2110</t>
  </si>
  <si>
    <t>Dotacja celowa otrzymana z budżetu państwa na zadania bieżące z zakresu administracji rządowej oraz inne zadania zlecone ustawami realizowane przez powiat</t>
  </si>
  <si>
    <t>4300</t>
  </si>
  <si>
    <t>700</t>
  </si>
  <si>
    <t>70005</t>
  </si>
  <si>
    <t>4010</t>
  </si>
  <si>
    <t>4110</t>
  </si>
  <si>
    <t>4120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</si>
  <si>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</si>
  <si>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</si>
  <si>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</si>
  <si>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</si>
  <si>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</si>
  <si>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</si>
  <si>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</si>
  <si>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</si>
  <si>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</si>
  <si>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</si>
  <si>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</si>
  <si>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</si>
  <si>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</si>
  <si>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</si>
  <si>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</si>
  <si>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</si>
  <si>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</si>
  <si>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</si>
  <si>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</si>
  <si>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</si>
  <si>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</si>
  <si>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</si>
  <si>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</si>
  <si>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4710</t>
  </si>
  <si>
    <t>750</t>
  </si>
  <si>
    <t>75011</t>
  </si>
  <si>
    <t>75045</t>
  </si>
  <si>
    <t>754</t>
  </si>
  <si>
    <t>75411</t>
  </si>
  <si>
    <t>3070</t>
  </si>
  <si>
    <t>4050</t>
  </si>
  <si>
    <t>4060</t>
  </si>
  <si>
    <t>4070</t>
  </si>
  <si>
    <t>4080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</si>
  <si>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</si>
  <si>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</si>
  <si>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</si>
  <si>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</si>
  <si>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</si>
  <si>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</si>
  <si>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</si>
  <si>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</t>
  </si>
  <si>
    <t>85156</t>
  </si>
  <si>
    <t>Składki na ubezpieczenie zdrowotne oraz świadczenia dla osób nie objętych obowiązkiem ubezpieczenia zdrowotnego</t>
  </si>
  <si>
    <t>4130</t>
  </si>
  <si>
    <t>85203</t>
  </si>
  <si>
    <t>85231</t>
  </si>
  <si>
    <t>Pomoc dla cudzoziemców</t>
  </si>
  <si>
    <t>3110</t>
  </si>
  <si>
    <t>853</t>
  </si>
  <si>
    <t>85321</t>
  </si>
  <si>
    <t>2160</t>
  </si>
  <si>
    <t>Dotacja celowa otrzymana z budżetu państwa na zadania bieżące z zakresu administracji rządowej zlecone powiatom, związane z realizacją dodatku wychowawczego, dodatku do zryczałtowanej kwoty oraz dodatku w wysokości świadczenia wychowawczego stanowiących pomoc państwa w wychowywaniu dzieci</t>
  </si>
  <si>
    <t>Razem:</t>
  </si>
  <si>
    <t>ul. Powstańców Warszawy i            ul. Wawerska w Otwocku</t>
  </si>
  <si>
    <t>Rozbudowa drogi powiatowej Nr 2715W ul. Powstańców Warszawy                        i ul. Wawerskiej w Otwocku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</si>
</sst>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_ ;\-#,##0\ "/>
    <numFmt numFmtId="167" formatCode="\ #,##0.00&quot; zł &quot;;\-#,##0.00&quot; zł &quot;;&quot; -&quot;#&quot; zł &quot;;@\ "/>
  </numFmts>
  <fonts count="56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10"/>
      <color rgb="FF22222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theme="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6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NumberFormat="0" applyFill="0" applyBorder="0" applyAlignment="0" applyProtection="0">
      <alignment vertical="top"/>
    </xf>
    <xf numFmtId="0" fontId="6" fillId="0" borderId="0"/>
    <xf numFmtId="0" fontId="9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0" fillId="0" borderId="0"/>
    <xf numFmtId="166" fontId="13" fillId="0" borderId="0"/>
    <xf numFmtId="0" fontId="6" fillId="0" borderId="0"/>
    <xf numFmtId="0" fontId="9" fillId="0" borderId="0"/>
    <xf numFmtId="0" fontId="9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4" fillId="0" borderId="0"/>
    <xf numFmtId="0" fontId="3" fillId="0" borderId="0"/>
    <xf numFmtId="0" fontId="22" fillId="0" borderId="0"/>
    <xf numFmtId="0" fontId="24" fillId="0" borderId="0"/>
    <xf numFmtId="0" fontId="25" fillId="0" borderId="0"/>
    <xf numFmtId="0" fontId="2" fillId="0" borderId="0"/>
    <xf numFmtId="0" fontId="22" fillId="0" borderId="0"/>
    <xf numFmtId="0" fontId="26" fillId="0" borderId="0"/>
    <xf numFmtId="0" fontId="1" fillId="0" borderId="0"/>
    <xf numFmtId="0" fontId="22" fillId="0" borderId="0"/>
  </cellStyleXfs>
  <cellXfs count="586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3" borderId="5" xfId="9" applyFont="1" applyFill="1" applyBorder="1" applyAlignment="1">
      <alignment horizontal="center" vertical="center"/>
    </xf>
    <xf numFmtId="0" fontId="12" fillId="3" borderId="1" xfId="9" applyFont="1" applyFill="1" applyBorder="1" applyAlignment="1">
      <alignment horizontal="center" vertical="center" wrapText="1"/>
    </xf>
    <xf numFmtId="0" fontId="12" fillId="0" borderId="5" xfId="9" applyFont="1" applyBorder="1" applyAlignment="1">
      <alignment horizontal="center" vertical="center"/>
    </xf>
    <xf numFmtId="0" fontId="12" fillId="0" borderId="5" xfId="9" applyFont="1" applyBorder="1" applyAlignment="1">
      <alignment horizontal="left" vertical="center"/>
    </xf>
    <xf numFmtId="3" fontId="12" fillId="0" borderId="5" xfId="9" applyNumberFormat="1" applyFont="1" applyBorder="1" applyAlignment="1">
      <alignment horizontal="right"/>
    </xf>
    <xf numFmtId="0" fontId="12" fillId="0" borderId="0" xfId="9" applyFont="1" applyAlignment="1">
      <alignment vertical="center"/>
    </xf>
    <xf numFmtId="0" fontId="15" fillId="0" borderId="5" xfId="9" applyFont="1" applyBorder="1" applyAlignment="1">
      <alignment horizontal="center" vertical="center"/>
    </xf>
    <xf numFmtId="0" fontId="15" fillId="0" borderId="5" xfId="9" applyFont="1" applyBorder="1" applyAlignment="1">
      <alignment horizontal="left" vertical="center"/>
    </xf>
    <xf numFmtId="3" fontId="15" fillId="0" borderId="5" xfId="9" applyNumberFormat="1" applyFont="1" applyFill="1" applyBorder="1" applyAlignment="1">
      <alignment horizontal="right"/>
    </xf>
    <xf numFmtId="0" fontId="15" fillId="0" borderId="0" xfId="9" applyFont="1" applyAlignment="1">
      <alignment vertical="center"/>
    </xf>
    <xf numFmtId="3" fontId="15" fillId="0" borderId="5" xfId="9" applyNumberFormat="1" applyFont="1" applyBorder="1" applyAlignment="1">
      <alignment horizontal="right"/>
    </xf>
    <xf numFmtId="3" fontId="12" fillId="0" borderId="5" xfId="9" applyNumberFormat="1" applyFont="1" applyBorder="1" applyAlignment="1"/>
    <xf numFmtId="3" fontId="15" fillId="0" borderId="5" xfId="9" applyNumberFormat="1" applyFont="1" applyFill="1" applyBorder="1" applyAlignment="1"/>
    <xf numFmtId="3" fontId="15" fillId="0" borderId="5" xfId="9" applyNumberFormat="1" applyFont="1" applyBorder="1" applyAlignment="1"/>
    <xf numFmtId="0" fontId="12" fillId="0" borderId="5" xfId="9" applyFont="1" applyBorder="1" applyAlignment="1">
      <alignment vertical="center"/>
    </xf>
    <xf numFmtId="0" fontId="10" fillId="3" borderId="5" xfId="9" applyFont="1" applyFill="1" applyBorder="1" applyAlignment="1">
      <alignment vertical="center"/>
    </xf>
    <xf numFmtId="3" fontId="12" fillId="3" borderId="5" xfId="9" applyNumberFormat="1" applyFont="1" applyFill="1" applyBorder="1" applyAlignment="1"/>
    <xf numFmtId="0" fontId="10" fillId="0" borderId="5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5" xfId="9" applyNumberFormat="1" applyFont="1" applyBorder="1" applyAlignment="1"/>
    <xf numFmtId="0" fontId="10" fillId="0" borderId="5" xfId="9" applyFont="1" applyBorder="1" applyAlignment="1">
      <alignment vertical="center"/>
    </xf>
    <xf numFmtId="3" fontId="10" fillId="0" borderId="3" xfId="9" applyNumberFormat="1" applyFont="1" applyBorder="1" applyAlignment="1"/>
    <xf numFmtId="0" fontId="10" fillId="3" borderId="5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16" fillId="0" borderId="5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 wrapText="1"/>
    </xf>
    <xf numFmtId="0" fontId="10" fillId="0" borderId="7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10" fillId="0" borderId="5" xfId="9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49" fontId="10" fillId="7" borderId="9" xfId="0" applyNumberFormat="1" applyFont="1" applyFill="1" applyBorder="1" applyAlignment="1" applyProtection="1">
      <alignment horizontal="left" vertical="center" wrapText="1"/>
      <protection locked="0"/>
    </xf>
    <xf numFmtId="3" fontId="10" fillId="0" borderId="0" xfId="9" applyNumberFormat="1" applyFont="1" applyAlignment="1">
      <alignment vertical="center"/>
    </xf>
    <xf numFmtId="0" fontId="12" fillId="0" borderId="0" xfId="7" applyFont="1" applyFill="1" applyProtection="1">
      <protection locked="0"/>
    </xf>
    <xf numFmtId="0" fontId="12" fillId="0" borderId="0" xfId="7" applyFont="1" applyProtection="1">
      <protection locked="0"/>
    </xf>
    <xf numFmtId="0" fontId="10" fillId="0" borderId="0" xfId="7" applyFont="1" applyProtection="1">
      <protection locked="0"/>
    </xf>
    <xf numFmtId="0" fontId="10" fillId="0" borderId="0" xfId="7" applyFont="1" applyAlignment="1" applyProtection="1">
      <alignment horizontal="center" vertical="center"/>
      <protection locked="0"/>
    </xf>
    <xf numFmtId="0" fontId="12" fillId="0" borderId="0" xfId="7" applyFont="1" applyFill="1" applyAlignment="1" applyProtection="1">
      <alignment horizontal="center" vertical="center"/>
      <protection locked="0"/>
    </xf>
    <xf numFmtId="0" fontId="12" fillId="0" borderId="0" xfId="7" applyFont="1" applyFill="1" applyProtection="1"/>
    <xf numFmtId="0" fontId="12" fillId="0" borderId="0" xfId="7" applyFont="1" applyProtection="1"/>
    <xf numFmtId="0" fontId="10" fillId="0" borderId="0" xfId="7" applyFont="1" applyProtection="1"/>
    <xf numFmtId="0" fontId="10" fillId="0" borderId="0" xfId="7" applyFont="1" applyAlignment="1" applyProtection="1">
      <alignment horizontal="center" vertical="center"/>
    </xf>
    <xf numFmtId="0" fontId="12" fillId="8" borderId="19" xfId="7" applyFont="1" applyFill="1" applyBorder="1" applyAlignment="1" applyProtection="1">
      <alignment horizontal="center" vertical="center" wrapText="1"/>
    </xf>
    <xf numFmtId="0" fontId="28" fillId="0" borderId="19" xfId="7" applyFont="1" applyFill="1" applyBorder="1" applyAlignment="1" applyProtection="1">
      <alignment horizontal="center" vertical="center"/>
    </xf>
    <xf numFmtId="0" fontId="12" fillId="0" borderId="19" xfId="7" applyFont="1" applyFill="1" applyBorder="1" applyAlignment="1" applyProtection="1">
      <alignment horizontal="center" vertical="center"/>
    </xf>
    <xf numFmtId="0" fontId="28" fillId="0" borderId="20" xfId="7" applyFont="1" applyFill="1" applyBorder="1" applyAlignment="1" applyProtection="1">
      <alignment horizontal="center" vertical="center"/>
    </xf>
    <xf numFmtId="4" fontId="28" fillId="0" borderId="0" xfId="7" applyNumberFormat="1" applyFont="1" applyFill="1" applyProtection="1">
      <protection locked="0"/>
    </xf>
    <xf numFmtId="0" fontId="28" fillId="0" borderId="0" xfId="7" applyFont="1" applyFill="1" applyProtection="1">
      <protection locked="0"/>
    </xf>
    <xf numFmtId="3" fontId="12" fillId="9" borderId="18" xfId="7" applyNumberFormat="1" applyFont="1" applyFill="1" applyBorder="1" applyAlignment="1" applyProtection="1">
      <alignment vertical="center" wrapText="1"/>
    </xf>
    <xf numFmtId="0" fontId="28" fillId="9" borderId="23" xfId="7" applyFont="1" applyFill="1" applyBorder="1" applyAlignment="1" applyProtection="1">
      <alignment horizontal="center" vertical="center" wrapText="1"/>
    </xf>
    <xf numFmtId="0" fontId="10" fillId="0" borderId="0" xfId="7" applyFont="1" applyAlignment="1" applyProtection="1">
      <alignment vertical="center"/>
      <protection locked="0"/>
    </xf>
    <xf numFmtId="0" fontId="12" fillId="0" borderId="8" xfId="7" applyFont="1" applyFill="1" applyBorder="1" applyAlignment="1" applyProtection="1">
      <alignment horizontal="center" vertical="center"/>
    </xf>
    <xf numFmtId="0" fontId="12" fillId="0" borderId="25" xfId="7" applyFont="1" applyFill="1" applyBorder="1" applyAlignment="1" applyProtection="1">
      <alignment horizontal="center" vertical="center" wrapText="1"/>
    </xf>
    <xf numFmtId="0" fontId="10" fillId="0" borderId="8" xfId="16" applyFont="1" applyFill="1" applyBorder="1" applyAlignment="1" applyProtection="1">
      <alignment vertical="center" wrapText="1"/>
    </xf>
    <xf numFmtId="3" fontId="10" fillId="0" borderId="24" xfId="7" applyNumberFormat="1" applyFont="1" applyFill="1" applyBorder="1" applyAlignment="1" applyProtection="1">
      <alignment vertical="center" wrapText="1"/>
    </xf>
    <xf numFmtId="3" fontId="10" fillId="0" borderId="18" xfId="7" applyNumberFormat="1" applyFont="1" applyFill="1" applyBorder="1" applyAlignment="1" applyProtection="1">
      <alignment vertical="center"/>
    </xf>
    <xf numFmtId="0" fontId="10" fillId="0" borderId="18" xfId="7" applyFont="1" applyFill="1" applyBorder="1" applyAlignment="1" applyProtection="1">
      <alignment vertical="center" wrapText="1"/>
    </xf>
    <xf numFmtId="0" fontId="10" fillId="0" borderId="18" xfId="7" applyFont="1" applyFill="1" applyBorder="1" applyAlignment="1" applyProtection="1">
      <alignment horizontal="right" vertical="center" wrapText="1"/>
    </xf>
    <xf numFmtId="0" fontId="29" fillId="0" borderId="23" xfId="7" applyFont="1" applyFill="1" applyBorder="1" applyAlignment="1" applyProtection="1">
      <alignment horizontal="center" vertical="center" wrapText="1"/>
    </xf>
    <xf numFmtId="4" fontId="10" fillId="0" borderId="0" xfId="7" applyNumberFormat="1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0" borderId="17" xfId="7" applyFont="1" applyFill="1" applyBorder="1" applyAlignment="1" applyProtection="1">
      <alignment horizontal="center" vertical="center"/>
    </xf>
    <xf numFmtId="0" fontId="12" fillId="0" borderId="18" xfId="7" applyFont="1" applyFill="1" applyBorder="1" applyAlignment="1" applyProtection="1">
      <alignment horizontal="center" vertical="center" wrapText="1"/>
    </xf>
    <xf numFmtId="0" fontId="10" fillId="0" borderId="18" xfId="16" applyFont="1" applyFill="1" applyBorder="1" applyAlignment="1" applyProtection="1">
      <alignment vertical="center" wrapText="1"/>
      <protection locked="0"/>
    </xf>
    <xf numFmtId="3" fontId="10" fillId="0" borderId="18" xfId="7" applyNumberFormat="1" applyFont="1" applyFill="1" applyBorder="1" applyAlignment="1" applyProtection="1">
      <alignment vertical="center" wrapText="1"/>
    </xf>
    <xf numFmtId="0" fontId="10" fillId="0" borderId="18" xfId="7" applyFont="1" applyFill="1" applyBorder="1" applyAlignment="1" applyProtection="1">
      <alignment horizontal="left" vertical="center" wrapText="1"/>
    </xf>
    <xf numFmtId="0" fontId="30" fillId="0" borderId="18" xfId="7" applyFont="1" applyFill="1" applyBorder="1" applyAlignment="1" applyProtection="1">
      <alignment vertical="center" wrapText="1"/>
    </xf>
    <xf numFmtId="0" fontId="31" fillId="0" borderId="23" xfId="7" applyFont="1" applyFill="1" applyBorder="1" applyAlignment="1" applyProtection="1">
      <alignment horizontal="center" vertical="center" wrapText="1"/>
    </xf>
    <xf numFmtId="0" fontId="30" fillId="0" borderId="0" xfId="7" applyFont="1" applyAlignment="1" applyProtection="1">
      <alignment vertical="center"/>
      <protection locked="0"/>
    </xf>
    <xf numFmtId="3" fontId="12" fillId="9" borderId="18" xfId="7" applyNumberFormat="1" applyFont="1" applyFill="1" applyBorder="1" applyAlignment="1" applyProtection="1">
      <alignment horizontal="right" vertical="center" wrapText="1"/>
    </xf>
    <xf numFmtId="0" fontId="32" fillId="9" borderId="23" xfId="7" applyFont="1" applyFill="1" applyBorder="1" applyAlignment="1" applyProtection="1">
      <alignment horizontal="center" vertical="center" wrapText="1"/>
    </xf>
    <xf numFmtId="4" fontId="33" fillId="0" borderId="0" xfId="7" applyNumberFormat="1" applyFont="1" applyFill="1" applyAlignment="1" applyProtection="1">
      <alignment vertical="center"/>
      <protection locked="0"/>
    </xf>
    <xf numFmtId="0" fontId="33" fillId="0" borderId="0" xfId="7" applyFont="1" applyFill="1" applyAlignment="1" applyProtection="1">
      <alignment vertical="center"/>
      <protection locked="0"/>
    </xf>
    <xf numFmtId="0" fontId="10" fillId="0" borderId="23" xfId="7" applyFont="1" applyFill="1" applyBorder="1" applyAlignment="1" applyProtection="1">
      <alignment horizontal="center" vertical="center" wrapText="1"/>
    </xf>
    <xf numFmtId="4" fontId="30" fillId="0" borderId="0" xfId="7" applyNumberFormat="1" applyFont="1" applyFill="1" applyAlignment="1" applyProtection="1">
      <alignment vertical="center"/>
      <protection locked="0"/>
    </xf>
    <xf numFmtId="0" fontId="30" fillId="0" borderId="0" xfId="7" applyFont="1" applyFill="1" applyAlignment="1" applyProtection="1">
      <alignment vertical="center"/>
      <protection locked="0"/>
    </xf>
    <xf numFmtId="164" fontId="12" fillId="9" borderId="18" xfId="7" applyNumberFormat="1" applyFont="1" applyFill="1" applyBorder="1" applyAlignment="1" applyProtection="1">
      <alignment horizontal="right" vertical="center" wrapText="1"/>
    </xf>
    <xf numFmtId="4" fontId="12" fillId="0" borderId="0" xfId="7" applyNumberFormat="1" applyFont="1" applyFill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3" fontId="12" fillId="0" borderId="18" xfId="7" applyNumberFormat="1" applyFont="1" applyFill="1" applyBorder="1" applyAlignment="1" applyProtection="1">
      <alignment horizontal="center" vertical="center"/>
    </xf>
    <xf numFmtId="0" fontId="12" fillId="0" borderId="18" xfId="7" applyNumberFormat="1" applyFont="1" applyFill="1" applyBorder="1" applyAlignment="1" applyProtection="1">
      <alignment horizontal="center" vertical="center"/>
    </xf>
    <xf numFmtId="0" fontId="10" fillId="0" borderId="18" xfId="7" applyFont="1" applyFill="1" applyBorder="1" applyAlignment="1">
      <alignment vertical="center" wrapText="1"/>
    </xf>
    <xf numFmtId="3" fontId="10" fillId="0" borderId="18" xfId="7" applyNumberFormat="1" applyFont="1" applyFill="1" applyBorder="1" applyAlignment="1" applyProtection="1">
      <alignment horizontal="right" vertical="center" wrapText="1"/>
    </xf>
    <xf numFmtId="164" fontId="28" fillId="9" borderId="23" xfId="7" applyNumberFormat="1" applyFont="1" applyFill="1" applyBorder="1" applyAlignment="1" applyProtection="1">
      <alignment horizontal="right" vertical="center" wrapText="1"/>
    </xf>
    <xf numFmtId="0" fontId="33" fillId="0" borderId="0" xfId="7" applyFont="1" applyAlignment="1" applyProtection="1">
      <alignment vertical="center"/>
      <protection locked="0"/>
    </xf>
    <xf numFmtId="0" fontId="17" fillId="0" borderId="17" xfId="7" applyFont="1" applyFill="1" applyBorder="1" applyAlignment="1" applyProtection="1">
      <alignment horizontal="center" vertical="center"/>
    </xf>
    <xf numFmtId="0" fontId="17" fillId="0" borderId="18" xfId="7" applyFont="1" applyFill="1" applyBorder="1" applyAlignment="1" applyProtection="1">
      <alignment horizontal="center" vertical="center"/>
    </xf>
    <xf numFmtId="0" fontId="34" fillId="0" borderId="18" xfId="7" applyFont="1" applyFill="1" applyBorder="1" applyAlignment="1" applyProtection="1">
      <alignment horizontal="left" vertical="center" wrapText="1"/>
      <protection locked="0"/>
    </xf>
    <xf numFmtId="3" fontId="34" fillId="0" borderId="18" xfId="7" applyNumberFormat="1" applyFont="1" applyFill="1" applyBorder="1" applyAlignment="1" applyProtection="1">
      <alignment vertical="center" wrapText="1"/>
    </xf>
    <xf numFmtId="3" fontId="34" fillId="0" borderId="18" xfId="7" applyNumberFormat="1" applyFont="1" applyFill="1" applyBorder="1" applyAlignment="1" applyProtection="1">
      <alignment vertical="center"/>
    </xf>
    <xf numFmtId="0" fontId="34" fillId="0" borderId="18" xfId="7" applyFont="1" applyFill="1" applyBorder="1" applyAlignment="1" applyProtection="1">
      <alignment vertical="center" wrapText="1"/>
    </xf>
    <xf numFmtId="0" fontId="34" fillId="0" borderId="18" xfId="7" applyFont="1" applyFill="1" applyBorder="1" applyAlignment="1" applyProtection="1">
      <alignment horizontal="right" vertical="center" wrapText="1"/>
    </xf>
    <xf numFmtId="0" fontId="27" fillId="0" borderId="23" xfId="7" applyFont="1" applyFill="1" applyBorder="1" applyAlignment="1" applyProtection="1">
      <alignment horizontal="center" vertical="center" wrapText="1"/>
    </xf>
    <xf numFmtId="4" fontId="34" fillId="0" borderId="0" xfId="7" applyNumberFormat="1" applyFont="1" applyFill="1" applyAlignment="1" applyProtection="1">
      <alignment vertical="center"/>
      <protection locked="0"/>
    </xf>
    <xf numFmtId="0" fontId="34" fillId="0" borderId="0" xfId="7" applyFont="1" applyFill="1" applyAlignment="1" applyProtection="1">
      <alignment vertical="center"/>
      <protection locked="0"/>
    </xf>
    <xf numFmtId="0" fontId="12" fillId="0" borderId="18" xfId="7" applyFont="1" applyFill="1" applyBorder="1" applyAlignment="1" applyProtection="1">
      <alignment horizontal="center" vertical="center"/>
    </xf>
    <xf numFmtId="0" fontId="10" fillId="0" borderId="18" xfId="7" applyFont="1" applyFill="1" applyBorder="1" applyAlignment="1" applyProtection="1">
      <alignment horizontal="left" vertical="center" wrapText="1"/>
      <protection locked="0"/>
    </xf>
    <xf numFmtId="4" fontId="35" fillId="0" borderId="0" xfId="7" applyNumberFormat="1" applyFont="1" applyFill="1" applyAlignment="1" applyProtection="1">
      <alignment vertical="center"/>
      <protection locked="0"/>
    </xf>
    <xf numFmtId="0" fontId="35" fillId="0" borderId="0" xfId="7" applyFont="1" applyFill="1" applyAlignment="1" applyProtection="1">
      <alignment vertical="center"/>
      <protection locked="0"/>
    </xf>
    <xf numFmtId="1" fontId="12" fillId="9" borderId="18" xfId="7" applyNumberFormat="1" applyFont="1" applyFill="1" applyBorder="1" applyAlignment="1" applyProtection="1">
      <alignment horizontal="right" vertical="center" wrapText="1"/>
    </xf>
    <xf numFmtId="0" fontId="36" fillId="6" borderId="17" xfId="7" applyFont="1" applyFill="1" applyBorder="1" applyAlignment="1" applyProtection="1">
      <alignment horizontal="center" vertical="center"/>
    </xf>
    <xf numFmtId="0" fontId="36" fillId="6" borderId="18" xfId="7" applyFont="1" applyFill="1" applyBorder="1" applyAlignment="1" applyProtection="1">
      <alignment horizontal="center" vertical="center"/>
    </xf>
    <xf numFmtId="0" fontId="35" fillId="6" borderId="18" xfId="7" applyFont="1" applyFill="1" applyBorder="1" applyAlignment="1" applyProtection="1">
      <alignment horizontal="left" vertical="center" wrapText="1"/>
    </xf>
    <xf numFmtId="3" fontId="35" fillId="6" borderId="18" xfId="7" applyNumberFormat="1" applyFont="1" applyFill="1" applyBorder="1" applyAlignment="1" applyProtection="1">
      <alignment vertical="center" wrapText="1"/>
    </xf>
    <xf numFmtId="3" fontId="35" fillId="6" borderId="18" xfId="7" applyNumberFormat="1" applyFont="1" applyFill="1" applyBorder="1" applyAlignment="1" applyProtection="1">
      <alignment vertical="center"/>
    </xf>
    <xf numFmtId="0" fontId="35" fillId="6" borderId="18" xfId="7" applyFont="1" applyFill="1" applyBorder="1" applyAlignment="1" applyProtection="1">
      <alignment vertical="center" wrapText="1"/>
    </xf>
    <xf numFmtId="0" fontId="35" fillId="6" borderId="18" xfId="7" applyFont="1" applyFill="1" applyBorder="1" applyAlignment="1" applyProtection="1">
      <alignment horizontal="right" vertical="center" wrapText="1"/>
    </xf>
    <xf numFmtId="0" fontId="37" fillId="6" borderId="23" xfId="7" applyFont="1" applyFill="1" applyBorder="1" applyAlignment="1" applyProtection="1">
      <alignment horizontal="center" vertical="center" wrapText="1"/>
    </xf>
    <xf numFmtId="0" fontId="36" fillId="10" borderId="24" xfId="7" applyFont="1" applyFill="1" applyBorder="1" applyAlignment="1" applyProtection="1">
      <alignment horizontal="center" vertical="center" wrapText="1"/>
      <protection locked="0"/>
    </xf>
    <xf numFmtId="0" fontId="36" fillId="0" borderId="0" xfId="7" applyFont="1" applyAlignment="1" applyProtection="1">
      <alignment vertical="center"/>
      <protection locked="0"/>
    </xf>
    <xf numFmtId="0" fontId="31" fillId="9" borderId="23" xfId="7" applyFont="1" applyFill="1" applyBorder="1" applyAlignment="1" applyProtection="1">
      <alignment horizontal="center" vertical="center" wrapText="1"/>
    </xf>
    <xf numFmtId="0" fontId="36" fillId="9" borderId="24" xfId="7" applyFont="1" applyFill="1" applyBorder="1" applyAlignment="1" applyProtection="1">
      <alignment horizontal="center" vertical="center" wrapText="1"/>
      <protection locked="0"/>
    </xf>
    <xf numFmtId="0" fontId="36" fillId="0" borderId="24" xfId="7" applyFont="1" applyFill="1" applyBorder="1" applyAlignment="1" applyProtection="1">
      <alignment horizontal="center" vertical="center" wrapText="1"/>
      <protection locked="0"/>
    </xf>
    <xf numFmtId="2" fontId="10" fillId="0" borderId="18" xfId="16" applyNumberFormat="1" applyFont="1" applyFill="1" applyBorder="1" applyAlignment="1" applyProtection="1">
      <alignment vertical="center" wrapText="1"/>
      <protection locked="0"/>
    </xf>
    <xf numFmtId="3" fontId="12" fillId="9" borderId="25" xfId="7" applyNumberFormat="1" applyFont="1" applyFill="1" applyBorder="1" applyAlignment="1" applyProtection="1">
      <alignment vertical="center" wrapText="1"/>
    </xf>
    <xf numFmtId="0" fontId="32" fillId="9" borderId="26" xfId="7" applyFont="1" applyFill="1" applyBorder="1" applyAlignment="1" applyProtection="1">
      <alignment horizontal="center" vertical="center" wrapText="1"/>
    </xf>
    <xf numFmtId="4" fontId="15" fillId="0" borderId="0" xfId="7" applyNumberFormat="1" applyFont="1" applyFill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12" fillId="0" borderId="8" xfId="7" applyFont="1" applyFill="1" applyBorder="1" applyAlignment="1" applyProtection="1">
      <alignment horizontal="center" vertical="center" wrapText="1"/>
    </xf>
    <xf numFmtId="3" fontId="10" fillId="0" borderId="8" xfId="7" applyNumberFormat="1" applyFont="1" applyFill="1" applyBorder="1" applyAlignment="1" applyProtection="1">
      <alignment vertical="center" wrapText="1"/>
    </xf>
    <xf numFmtId="3" fontId="10" fillId="0" borderId="8" xfId="7" applyNumberFormat="1" applyFont="1" applyFill="1" applyBorder="1" applyAlignment="1" applyProtection="1">
      <alignment horizontal="right" vertical="center" wrapText="1"/>
    </xf>
    <xf numFmtId="0" fontId="32" fillId="0" borderId="8" xfId="7" applyFont="1" applyFill="1" applyBorder="1" applyAlignment="1" applyProtection="1">
      <alignment horizontal="center" vertical="center" wrapText="1"/>
    </xf>
    <xf numFmtId="0" fontId="10" fillId="0" borderId="8" xfId="7" applyFont="1" applyFill="1" applyBorder="1" applyAlignment="1" applyProtection="1">
      <alignment horizontal="left" vertical="center" wrapText="1"/>
    </xf>
    <xf numFmtId="0" fontId="10" fillId="0" borderId="8" xfId="7" applyFont="1" applyFill="1" applyBorder="1" applyAlignment="1" applyProtection="1">
      <alignment vertical="center" wrapText="1"/>
    </xf>
    <xf numFmtId="0" fontId="10" fillId="0" borderId="8" xfId="7" applyFont="1" applyFill="1" applyBorder="1" applyAlignment="1" applyProtection="1">
      <alignment horizontal="right" vertical="center" wrapText="1"/>
    </xf>
    <xf numFmtId="0" fontId="29" fillId="0" borderId="8" xfId="7" applyFont="1" applyFill="1" applyBorder="1" applyAlignment="1" applyProtection="1">
      <alignment horizontal="center" vertical="center" wrapText="1"/>
    </xf>
    <xf numFmtId="0" fontId="35" fillId="0" borderId="16" xfId="7" applyFont="1" applyFill="1" applyBorder="1" applyAlignment="1" applyProtection="1">
      <alignment horizontal="center" vertical="center" wrapText="1"/>
      <protection locked="0"/>
    </xf>
    <xf numFmtId="3" fontId="12" fillId="2" borderId="34" xfId="7" applyNumberFormat="1" applyFont="1" applyFill="1" applyBorder="1" applyAlignment="1" applyProtection="1">
      <alignment vertical="center" wrapText="1"/>
    </xf>
    <xf numFmtId="0" fontId="28" fillId="2" borderId="35" xfId="7" applyFont="1" applyFill="1" applyBorder="1" applyAlignment="1" applyProtection="1">
      <alignment horizontal="center" vertical="center" wrapText="1"/>
    </xf>
    <xf numFmtId="0" fontId="12" fillId="0" borderId="17" xfId="7" applyFont="1" applyFill="1" applyBorder="1" applyAlignment="1" applyProtection="1">
      <alignment horizontal="center" vertical="center" wrapText="1"/>
    </xf>
    <xf numFmtId="3" fontId="12" fillId="2" borderId="25" xfId="7" applyNumberFormat="1" applyFont="1" applyFill="1" applyBorder="1" applyAlignment="1" applyProtection="1">
      <alignment vertical="center" wrapText="1"/>
    </xf>
    <xf numFmtId="0" fontId="28" fillId="2" borderId="26" xfId="7" applyFont="1" applyFill="1" applyBorder="1" applyAlignment="1" applyProtection="1">
      <alignment horizontal="center" vertical="center" wrapText="1"/>
    </xf>
    <xf numFmtId="0" fontId="12" fillId="0" borderId="10" xfId="7" applyFont="1" applyFill="1" applyBorder="1" applyAlignment="1" applyProtection="1">
      <alignment horizontal="center" vertical="center" wrapText="1"/>
    </xf>
    <xf numFmtId="0" fontId="12" fillId="0" borderId="11" xfId="7" applyFont="1" applyFill="1" applyBorder="1" applyAlignment="1" applyProtection="1">
      <alignment horizontal="center" vertical="center" wrapText="1"/>
    </xf>
    <xf numFmtId="0" fontId="10" fillId="0" borderId="11" xfId="7" applyFont="1" applyFill="1" applyBorder="1" applyAlignment="1" applyProtection="1">
      <alignment horizontal="left" vertical="center" wrapText="1"/>
    </xf>
    <xf numFmtId="3" fontId="10" fillId="0" borderId="11" xfId="7" applyNumberFormat="1" applyFont="1" applyFill="1" applyBorder="1" applyAlignment="1" applyProtection="1">
      <alignment vertical="center" wrapText="1"/>
    </xf>
    <xf numFmtId="0" fontId="10" fillId="0" borderId="11" xfId="7" applyFont="1" applyFill="1" applyBorder="1" applyAlignment="1" applyProtection="1">
      <alignment vertical="center" wrapText="1"/>
    </xf>
    <xf numFmtId="0" fontId="31" fillId="0" borderId="36" xfId="7" applyFont="1" applyFill="1" applyBorder="1" applyAlignment="1" applyProtection="1">
      <alignment horizontal="center" vertical="center" wrapText="1"/>
    </xf>
    <xf numFmtId="0" fontId="36" fillId="0" borderId="37" xfId="7" applyFont="1" applyFill="1" applyBorder="1" applyAlignment="1" applyProtection="1">
      <alignment horizontal="center" vertical="center" wrapText="1"/>
      <protection locked="0"/>
    </xf>
    <xf numFmtId="3" fontId="12" fillId="2" borderId="18" xfId="7" applyNumberFormat="1" applyFont="1" applyFill="1" applyBorder="1" applyAlignment="1" applyProtection="1">
      <alignment vertical="center" wrapText="1"/>
    </xf>
    <xf numFmtId="3" fontId="12" fillId="2" borderId="23" xfId="7" applyNumberFormat="1" applyFont="1" applyFill="1" applyBorder="1" applyAlignment="1" applyProtection="1">
      <alignment vertical="center" wrapText="1"/>
    </xf>
    <xf numFmtId="4" fontId="35" fillId="0" borderId="0" xfId="7" applyNumberFormat="1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  <protection locked="0"/>
    </xf>
    <xf numFmtId="0" fontId="12" fillId="2" borderId="25" xfId="7" applyFont="1" applyFill="1" applyBorder="1" applyAlignment="1" applyProtection="1">
      <alignment vertical="center" wrapText="1"/>
    </xf>
    <xf numFmtId="0" fontId="12" fillId="5" borderId="0" xfId="7" applyFont="1" applyFill="1" applyAlignment="1" applyProtection="1">
      <alignment vertical="center"/>
      <protection locked="0"/>
    </xf>
    <xf numFmtId="0" fontId="10" fillId="5" borderId="0" xfId="7" applyFont="1" applyFill="1" applyAlignment="1" applyProtection="1">
      <alignment vertical="center"/>
      <protection locked="0"/>
    </xf>
    <xf numFmtId="0" fontId="28" fillId="2" borderId="23" xfId="7" applyFont="1" applyFill="1" applyBorder="1" applyAlignment="1" applyProtection="1">
      <alignment horizontal="center" vertical="center" wrapText="1"/>
    </xf>
    <xf numFmtId="0" fontId="29" fillId="0" borderId="35" xfId="7" applyFont="1" applyFill="1" applyBorder="1" applyAlignment="1" applyProtection="1">
      <alignment horizontal="center" vertical="center" wrapText="1"/>
    </xf>
    <xf numFmtId="3" fontId="12" fillId="2" borderId="19" xfId="7" applyNumberFormat="1" applyFont="1" applyFill="1" applyBorder="1" applyAlignment="1" applyProtection="1">
      <alignment vertical="center" wrapText="1"/>
    </xf>
    <xf numFmtId="0" fontId="28" fillId="2" borderId="20" xfId="7" applyFont="1" applyFill="1" applyBorder="1" applyAlignment="1" applyProtection="1">
      <alignment horizontal="center" vertical="center" wrapText="1"/>
    </xf>
    <xf numFmtId="3" fontId="12" fillId="11" borderId="46" xfId="7" applyNumberFormat="1" applyFont="1" applyFill="1" applyBorder="1" applyAlignment="1" applyProtection="1">
      <alignment vertical="center" wrapText="1"/>
    </xf>
    <xf numFmtId="3" fontId="28" fillId="11" borderId="47" xfId="7" applyNumberFormat="1" applyFont="1" applyFill="1" applyBorder="1" applyAlignment="1" applyProtection="1">
      <alignment horizontal="center" vertical="center" wrapText="1"/>
    </xf>
    <xf numFmtId="0" fontId="12" fillId="5" borderId="0" xfId="7" applyFont="1" applyFill="1" applyBorder="1" applyAlignment="1" applyProtection="1">
      <alignment vertical="center"/>
      <protection locked="0"/>
    </xf>
    <xf numFmtId="0" fontId="12" fillId="0" borderId="0" xfId="9" applyFont="1" applyProtection="1"/>
    <xf numFmtId="0" fontId="28" fillId="0" borderId="0" xfId="7" applyFont="1" applyProtection="1"/>
    <xf numFmtId="3" fontId="29" fillId="0" borderId="0" xfId="7" applyNumberFormat="1" applyFont="1" applyProtection="1"/>
    <xf numFmtId="0" fontId="29" fillId="0" borderId="0" xfId="7" applyFont="1" applyProtection="1"/>
    <xf numFmtId="0" fontId="29" fillId="0" borderId="0" xfId="7" applyFont="1" applyAlignment="1" applyProtection="1">
      <alignment horizontal="center" vertical="center"/>
    </xf>
    <xf numFmtId="0" fontId="28" fillId="0" borderId="0" xfId="7" applyFont="1" applyFill="1" applyProtection="1"/>
    <xf numFmtId="0" fontId="28" fillId="0" borderId="0" xfId="7" applyFont="1" applyFill="1" applyAlignment="1" applyProtection="1">
      <alignment horizontal="center" vertical="center"/>
      <protection locked="0"/>
    </xf>
    <xf numFmtId="4" fontId="28" fillId="0" borderId="0" xfId="7" applyNumberFormat="1" applyFont="1" applyFill="1" applyAlignment="1" applyProtection="1">
      <alignment vertical="center"/>
      <protection locked="0"/>
    </xf>
    <xf numFmtId="0" fontId="28" fillId="0" borderId="0" xfId="7" applyFont="1" applyFill="1" applyAlignment="1" applyProtection="1">
      <alignment vertical="center"/>
      <protection locked="0"/>
    </xf>
    <xf numFmtId="3" fontId="29" fillId="0" borderId="0" xfId="7" applyNumberFormat="1" applyFont="1" applyAlignment="1" applyProtection="1">
      <alignment horizontal="center" vertical="center"/>
    </xf>
    <xf numFmtId="4" fontId="31" fillId="0" borderId="0" xfId="7" applyNumberFormat="1" applyFont="1" applyFill="1" applyAlignment="1" applyProtection="1">
      <alignment vertical="center"/>
      <protection locked="0"/>
    </xf>
    <xf numFmtId="0" fontId="31" fillId="0" borderId="0" xfId="7" applyFont="1" applyFill="1" applyAlignment="1" applyProtection="1">
      <alignment vertical="center"/>
      <protection locked="0"/>
    </xf>
    <xf numFmtId="3" fontId="10" fillId="0" borderId="0" xfId="7" applyNumberFormat="1" applyFont="1" applyProtection="1">
      <protection locked="0"/>
    </xf>
    <xf numFmtId="0" fontId="29" fillId="0" borderId="0" xfId="7" applyFont="1" applyProtection="1">
      <protection locked="0"/>
    </xf>
    <xf numFmtId="0" fontId="10" fillId="0" borderId="30" xfId="9" applyFont="1" applyFill="1" applyBorder="1" applyAlignment="1">
      <alignment horizontal="center" vertical="center"/>
    </xf>
    <xf numFmtId="0" fontId="15" fillId="0" borderId="30" xfId="9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 wrapText="1" readingOrder="1"/>
    </xf>
    <xf numFmtId="0" fontId="15" fillId="0" borderId="30" xfId="9" applyFont="1" applyBorder="1" applyAlignment="1">
      <alignment horizontal="center" vertical="center"/>
    </xf>
    <xf numFmtId="3" fontId="15" fillId="0" borderId="30" xfId="9" applyNumberFormat="1" applyFont="1" applyFill="1" applyBorder="1" applyAlignment="1"/>
    <xf numFmtId="0" fontId="38" fillId="0" borderId="4" xfId="0" applyFont="1" applyBorder="1" applyAlignment="1">
      <alignment vertical="center" wrapText="1" readingOrder="1"/>
    </xf>
    <xf numFmtId="0" fontId="15" fillId="0" borderId="4" xfId="9" applyFont="1" applyBorder="1" applyAlignment="1">
      <alignment vertical="center"/>
    </xf>
    <xf numFmtId="3" fontId="12" fillId="0" borderId="5" xfId="9" applyNumberFormat="1" applyFont="1" applyFill="1" applyBorder="1" applyAlignment="1"/>
    <xf numFmtId="0" fontId="23" fillId="0" borderId="5" xfId="0" applyFont="1" applyBorder="1" applyAlignment="1">
      <alignment horizontal="left" vertical="center" wrapText="1" readingOrder="1"/>
    </xf>
    <xf numFmtId="49" fontId="39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" applyFont="1" applyFill="1" applyAlignment="1" applyProtection="1">
      <alignment horizontal="center"/>
      <protection locked="0"/>
    </xf>
    <xf numFmtId="0" fontId="10" fillId="0" borderId="0" xfId="7" applyFont="1" applyFill="1" applyAlignment="1" applyProtection="1">
      <alignment horizontal="center" vertical="center"/>
      <protection locked="0"/>
    </xf>
    <xf numFmtId="0" fontId="33" fillId="0" borderId="0" xfId="7" applyFont="1" applyFill="1" applyAlignment="1" applyProtection="1">
      <alignment horizontal="center" vertical="center"/>
      <protection locked="0"/>
    </xf>
    <xf numFmtId="0" fontId="30" fillId="0" borderId="0" xfId="7" applyFont="1" applyFill="1" applyAlignment="1" applyProtection="1">
      <alignment horizontal="center" vertical="center"/>
      <protection locked="0"/>
    </xf>
    <xf numFmtId="0" fontId="34" fillId="0" borderId="0" xfId="7" applyFont="1" applyFill="1" applyAlignment="1" applyProtection="1">
      <alignment horizontal="center" vertical="center"/>
      <protection locked="0"/>
    </xf>
    <xf numFmtId="0" fontId="35" fillId="0" borderId="0" xfId="7" applyFont="1" applyFill="1" applyAlignment="1" applyProtection="1">
      <alignment horizontal="center" vertical="center"/>
      <protection locked="0"/>
    </xf>
    <xf numFmtId="0" fontId="15" fillId="0" borderId="0" xfId="7" applyFont="1" applyFill="1" applyAlignment="1" applyProtection="1">
      <alignment horizontal="center" vertical="center"/>
      <protection locked="0"/>
    </xf>
    <xf numFmtId="3" fontId="33" fillId="0" borderId="0" xfId="7" applyNumberFormat="1" applyFont="1" applyFill="1" applyAlignment="1" applyProtection="1">
      <alignment horizontal="center" vertical="center"/>
      <protection locked="0"/>
    </xf>
    <xf numFmtId="0" fontId="35" fillId="0" borderId="0" xfId="7" applyFont="1" applyFill="1" applyBorder="1" applyAlignment="1" applyProtection="1">
      <alignment horizontal="center" vertical="center"/>
      <protection locked="0"/>
    </xf>
    <xf numFmtId="0" fontId="31" fillId="0" borderId="0" xfId="7" applyFont="1" applyFill="1" applyAlignment="1" applyProtection="1">
      <alignment horizontal="center" vertical="center"/>
      <protection locked="0"/>
    </xf>
    <xf numFmtId="0" fontId="34" fillId="0" borderId="8" xfId="25" applyFont="1" applyFill="1" applyBorder="1" applyAlignment="1">
      <alignment vertical="center" wrapText="1"/>
    </xf>
    <xf numFmtId="0" fontId="36" fillId="0" borderId="0" xfId="7" applyFont="1" applyFill="1" applyAlignment="1" applyProtection="1">
      <alignment horizontal="center" vertical="center"/>
      <protection locked="0"/>
    </xf>
    <xf numFmtId="0" fontId="41" fillId="9" borderId="24" xfId="7" applyFont="1" applyFill="1" applyBorder="1" applyAlignment="1" applyProtection="1">
      <alignment horizontal="center" vertical="center" wrapText="1"/>
      <protection locked="0"/>
    </xf>
    <xf numFmtId="0" fontId="40" fillId="9" borderId="23" xfId="7" applyFont="1" applyFill="1" applyBorder="1" applyAlignment="1" applyProtection="1">
      <alignment horizontal="center" vertical="center" wrapText="1"/>
    </xf>
    <xf numFmtId="0" fontId="35" fillId="9" borderId="24" xfId="7" applyFont="1" applyFill="1" applyBorder="1" applyAlignment="1" applyProtection="1">
      <alignment horizontal="center" vertical="center" wrapText="1"/>
      <protection locked="0"/>
    </xf>
    <xf numFmtId="0" fontId="37" fillId="9" borderId="26" xfId="7" applyFont="1" applyFill="1" applyBorder="1" applyAlignment="1" applyProtection="1">
      <alignment horizontal="center" vertical="center" wrapText="1"/>
    </xf>
    <xf numFmtId="0" fontId="40" fillId="2" borderId="8" xfId="7" applyFont="1" applyFill="1" applyBorder="1" applyAlignment="1" applyProtection="1">
      <alignment horizontal="center" vertical="center" wrapText="1"/>
    </xf>
    <xf numFmtId="0" fontId="40" fillId="2" borderId="26" xfId="7" applyFont="1" applyFill="1" applyBorder="1" applyAlignment="1" applyProtection="1">
      <alignment horizontal="center" vertical="center" wrapText="1"/>
    </xf>
    <xf numFmtId="0" fontId="36" fillId="2" borderId="37" xfId="7" applyFont="1" applyFill="1" applyBorder="1" applyAlignment="1" applyProtection="1">
      <alignment horizontal="center" vertical="center" wrapText="1"/>
      <protection locked="0"/>
    </xf>
    <xf numFmtId="0" fontId="42" fillId="0" borderId="37" xfId="7" applyFont="1" applyFill="1" applyBorder="1" applyAlignment="1" applyProtection="1">
      <alignment horizontal="center" vertical="center" wrapText="1"/>
      <protection locked="0"/>
    </xf>
    <xf numFmtId="3" fontId="36" fillId="2" borderId="23" xfId="7" applyNumberFormat="1" applyFont="1" applyFill="1" applyBorder="1" applyAlignment="1" applyProtection="1">
      <alignment vertical="center" wrapText="1"/>
    </xf>
    <xf numFmtId="0" fontId="40" fillId="2" borderId="23" xfId="7" applyFont="1" applyFill="1" applyBorder="1" applyAlignment="1" applyProtection="1">
      <alignment horizontal="center" vertical="center" wrapText="1"/>
    </xf>
    <xf numFmtId="3" fontId="40" fillId="11" borderId="47" xfId="7" applyNumberFormat="1" applyFont="1" applyFill="1" applyBorder="1" applyAlignment="1" applyProtection="1">
      <alignment horizontal="center" vertical="center" wrapText="1"/>
    </xf>
    <xf numFmtId="0" fontId="40" fillId="0" borderId="0" xfId="7" applyFont="1" applyFill="1" applyAlignment="1" applyProtection="1">
      <alignment horizontal="center" vertical="center"/>
      <protection locked="0"/>
    </xf>
    <xf numFmtId="165" fontId="12" fillId="0" borderId="0" xfId="7" applyNumberFormat="1" applyFont="1" applyFill="1" applyAlignment="1" applyProtection="1">
      <alignment horizontal="center" vertical="center"/>
      <protection locked="0"/>
    </xf>
    <xf numFmtId="4" fontId="10" fillId="0" borderId="0" xfId="7" applyNumberFormat="1" applyFont="1" applyFill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10" fillId="0" borderId="0" xfId="7" applyFont="1" applyFill="1" applyProtection="1">
      <protection locked="0"/>
    </xf>
    <xf numFmtId="4" fontId="33" fillId="0" borderId="0" xfId="7" applyNumberFormat="1" applyFont="1" applyFill="1" applyAlignment="1" applyProtection="1">
      <alignment horizontal="right" vertical="center"/>
      <protection locked="0"/>
    </xf>
    <xf numFmtId="4" fontId="36" fillId="0" borderId="0" xfId="7" applyNumberFormat="1" applyFont="1" applyFill="1" applyAlignment="1" applyProtection="1">
      <alignment vertical="center"/>
      <protection locked="0"/>
    </xf>
    <xf numFmtId="0" fontId="36" fillId="0" borderId="0" xfId="7" applyFont="1" applyFill="1" applyAlignment="1" applyProtection="1">
      <alignment vertical="center"/>
      <protection locked="0"/>
    </xf>
    <xf numFmtId="3" fontId="12" fillId="0" borderId="0" xfId="7" applyNumberFormat="1" applyFont="1" applyFill="1" applyAlignment="1" applyProtection="1">
      <alignment horizontal="center" vertical="center"/>
      <protection locked="0"/>
    </xf>
    <xf numFmtId="4" fontId="12" fillId="0" borderId="0" xfId="7" applyNumberFormat="1" applyFont="1" applyFill="1" applyBorder="1" applyAlignment="1" applyProtection="1">
      <alignment vertical="center"/>
      <protection locked="0"/>
    </xf>
    <xf numFmtId="3" fontId="12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0" xfId="7" applyFont="1" applyFill="1" applyBorder="1" applyAlignment="1" applyProtection="1">
      <alignment horizontal="center" vertical="center"/>
      <protection locked="0"/>
    </xf>
    <xf numFmtId="0" fontId="12" fillId="0" borderId="0" xfId="7" applyFont="1" applyFill="1" applyBorder="1" applyAlignment="1" applyProtection="1">
      <alignment vertical="center"/>
      <protection locked="0"/>
    </xf>
    <xf numFmtId="4" fontId="29" fillId="0" borderId="0" xfId="7" applyNumberFormat="1" applyFont="1" applyFill="1" applyProtection="1">
      <protection locked="0"/>
    </xf>
    <xf numFmtId="0" fontId="29" fillId="0" borderId="0" xfId="7" applyFont="1" applyFill="1" applyAlignment="1" applyProtection="1">
      <alignment horizontal="center"/>
      <protection locked="0"/>
    </xf>
    <xf numFmtId="0" fontId="29" fillId="0" borderId="0" xfId="7" applyFont="1" applyFill="1" applyProtection="1">
      <protection locked="0"/>
    </xf>
    <xf numFmtId="0" fontId="43" fillId="0" borderId="8" xfId="16" applyFont="1" applyFill="1" applyBorder="1" applyAlignment="1">
      <alignment vertical="center" wrapText="1"/>
    </xf>
    <xf numFmtId="0" fontId="10" fillId="0" borderId="26" xfId="7" applyFont="1" applyFill="1" applyBorder="1" applyAlignment="1" applyProtection="1">
      <alignment horizontal="center" vertical="center" wrapText="1"/>
    </xf>
    <xf numFmtId="0" fontId="43" fillId="0" borderId="0" xfId="16" applyFont="1" applyFill="1" applyBorder="1" applyAlignment="1">
      <alignment vertical="center" wrapText="1"/>
    </xf>
    <xf numFmtId="0" fontId="10" fillId="0" borderId="30" xfId="7" applyFont="1" applyFill="1" applyBorder="1" applyAlignment="1">
      <alignment vertical="center" wrapText="1"/>
    </xf>
    <xf numFmtId="0" fontId="10" fillId="0" borderId="18" xfId="16" applyFont="1" applyFill="1" applyBorder="1" applyAlignment="1" applyProtection="1">
      <alignment horizontal="left" vertical="center" wrapText="1"/>
      <protection locked="0"/>
    </xf>
    <xf numFmtId="0" fontId="36" fillId="6" borderId="18" xfId="16" applyFont="1" applyFill="1" applyBorder="1" applyAlignment="1" applyProtection="1">
      <alignment vertical="center" wrapText="1"/>
      <protection locked="0"/>
    </xf>
    <xf numFmtId="3" fontId="36" fillId="6" borderId="18" xfId="7" applyNumberFormat="1" applyFont="1" applyFill="1" applyBorder="1" applyAlignment="1" applyProtection="1">
      <alignment vertical="center"/>
    </xf>
    <xf numFmtId="0" fontId="36" fillId="6" borderId="18" xfId="7" applyFont="1" applyFill="1" applyBorder="1" applyAlignment="1" applyProtection="1">
      <alignment vertical="center" wrapText="1"/>
    </xf>
    <xf numFmtId="0" fontId="36" fillId="6" borderId="18" xfId="7" applyFont="1" applyFill="1" applyBorder="1" applyAlignment="1" applyProtection="1">
      <alignment horizontal="right" vertical="center" wrapText="1"/>
    </xf>
    <xf numFmtId="0" fontId="40" fillId="6" borderId="23" xfId="7" applyFont="1" applyFill="1" applyBorder="1" applyAlignment="1" applyProtection="1">
      <alignment horizontal="center" vertical="center" wrapText="1"/>
    </xf>
    <xf numFmtId="0" fontId="36" fillId="6" borderId="18" xfId="7" applyFont="1" applyFill="1" applyBorder="1" applyAlignment="1" applyProtection="1">
      <alignment horizontal="center" vertical="center" wrapText="1"/>
    </xf>
    <xf numFmtId="3" fontId="36" fillId="6" borderId="18" xfId="7" applyNumberFormat="1" applyFont="1" applyFill="1" applyBorder="1" applyAlignment="1" applyProtection="1">
      <alignment vertical="center" wrapText="1"/>
    </xf>
    <xf numFmtId="49" fontId="44" fillId="0" borderId="0" xfId="10" applyNumberFormat="1" applyFont="1" applyAlignment="1">
      <alignment horizontal="center" vertical="center"/>
    </xf>
    <xf numFmtId="0" fontId="44" fillId="0" borderId="0" xfId="10" applyFont="1" applyAlignment="1">
      <alignment horizontal="center" vertical="center"/>
    </xf>
    <xf numFmtId="0" fontId="44" fillId="0" borderId="0" xfId="10" applyFont="1" applyAlignment="1">
      <alignment vertical="center" wrapText="1"/>
    </xf>
    <xf numFmtId="3" fontId="44" fillId="0" borderId="0" xfId="10" applyNumberFormat="1" applyFont="1" applyAlignment="1">
      <alignment vertical="center"/>
    </xf>
    <xf numFmtId="0" fontId="44" fillId="0" borderId="0" xfId="10" applyFont="1"/>
    <xf numFmtId="49" fontId="45" fillId="4" borderId="5" xfId="10" applyNumberFormat="1" applyFont="1" applyFill="1" applyBorder="1" applyAlignment="1">
      <alignment horizontal="center" vertical="center"/>
    </xf>
    <xf numFmtId="0" fontId="45" fillId="4" borderId="5" xfId="10" applyFont="1" applyFill="1" applyBorder="1" applyAlignment="1">
      <alignment horizontal="center" vertical="center"/>
    </xf>
    <xf numFmtId="0" fontId="45" fillId="4" borderId="5" xfId="10" applyFont="1" applyFill="1" applyBorder="1" applyAlignment="1">
      <alignment horizontal="center" vertical="center" wrapText="1"/>
    </xf>
    <xf numFmtId="3" fontId="45" fillId="4" borderId="5" xfId="10" applyNumberFormat="1" applyFont="1" applyFill="1" applyBorder="1" applyAlignment="1">
      <alignment horizontal="center" vertical="center"/>
    </xf>
    <xf numFmtId="0" fontId="45" fillId="12" borderId="5" xfId="10" applyFont="1" applyFill="1" applyBorder="1" applyAlignment="1">
      <alignment vertical="center" wrapText="1"/>
    </xf>
    <xf numFmtId="0" fontId="44" fillId="0" borderId="5" xfId="10" applyFont="1" applyBorder="1" applyAlignment="1">
      <alignment vertical="center" wrapText="1"/>
    </xf>
    <xf numFmtId="0" fontId="7" fillId="0" borderId="5" xfId="10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0" xfId="7" applyFont="1"/>
    <xf numFmtId="0" fontId="44" fillId="0" borderId="0" xfId="11" applyFont="1" applyAlignment="1">
      <alignment horizontal="center" vertical="center"/>
    </xf>
    <xf numFmtId="0" fontId="44" fillId="0" borderId="0" xfId="11" applyFont="1" applyAlignment="1">
      <alignment vertical="center" wrapText="1"/>
    </xf>
    <xf numFmtId="3" fontId="44" fillId="0" borderId="0" xfId="11" applyNumberFormat="1" applyFont="1" applyAlignment="1">
      <alignment vertical="center"/>
    </xf>
    <xf numFmtId="0" fontId="44" fillId="0" borderId="0" xfId="11" applyFont="1"/>
    <xf numFmtId="0" fontId="17" fillId="0" borderId="0" xfId="11" applyFont="1" applyAlignment="1">
      <alignment horizontal="center" vertical="center" wrapText="1"/>
    </xf>
    <xf numFmtId="0" fontId="45" fillId="14" borderId="5" xfId="11" applyFont="1" applyFill="1" applyBorder="1" applyAlignment="1">
      <alignment horizontal="center" vertical="center"/>
    </xf>
    <xf numFmtId="0" fontId="45" fillId="14" borderId="5" xfId="11" applyFont="1" applyFill="1" applyBorder="1" applyAlignment="1">
      <alignment horizontal="center" vertical="center" wrapText="1"/>
    </xf>
    <xf numFmtId="3" fontId="45" fillId="14" borderId="5" xfId="11" applyNumberFormat="1" applyFont="1" applyFill="1" applyBorder="1" applyAlignment="1">
      <alignment horizontal="center" vertical="center"/>
    </xf>
    <xf numFmtId="0" fontId="45" fillId="0" borderId="0" xfId="11" applyFont="1" applyAlignment="1">
      <alignment vertical="center"/>
    </xf>
    <xf numFmtId="0" fontId="45" fillId="15" borderId="5" xfId="11" applyFont="1" applyFill="1" applyBorder="1" applyAlignment="1">
      <alignment horizontal="center" vertical="center"/>
    </xf>
    <xf numFmtId="0" fontId="45" fillId="15" borderId="5" xfId="11" applyFont="1" applyFill="1" applyBorder="1" applyAlignment="1">
      <alignment vertical="center" wrapText="1"/>
    </xf>
    <xf numFmtId="3" fontId="45" fillId="15" borderId="5" xfId="11" applyNumberFormat="1" applyFont="1" applyFill="1" applyBorder="1" applyAlignment="1">
      <alignment vertical="center"/>
    </xf>
    <xf numFmtId="0" fontId="44" fillId="12" borderId="5" xfId="11" applyFont="1" applyFill="1" applyBorder="1" applyAlignment="1">
      <alignment horizontal="center" vertical="center"/>
    </xf>
    <xf numFmtId="0" fontId="44" fillId="12" borderId="5" xfId="11" applyFont="1" applyFill="1" applyBorder="1" applyAlignment="1">
      <alignment vertical="center" wrapText="1"/>
    </xf>
    <xf numFmtId="3" fontId="44" fillId="12" borderId="5" xfId="11" applyNumberFormat="1" applyFont="1" applyFill="1" applyBorder="1" applyAlignment="1">
      <alignment vertical="center"/>
    </xf>
    <xf numFmtId="0" fontId="44" fillId="0" borderId="0" xfId="11" applyFont="1" applyAlignment="1">
      <alignment vertical="center"/>
    </xf>
    <xf numFmtId="0" fontId="7" fillId="0" borderId="5" xfId="11" applyFont="1" applyBorder="1" applyAlignment="1">
      <alignment horizontal="center" vertical="center"/>
    </xf>
    <xf numFmtId="0" fontId="7" fillId="0" borderId="5" xfId="11" applyFont="1" applyBorder="1" applyAlignment="1">
      <alignment vertical="center" wrapText="1"/>
    </xf>
    <xf numFmtId="3" fontId="7" fillId="0" borderId="5" xfId="11" applyNumberFormat="1" applyFont="1" applyBorder="1" applyAlignment="1">
      <alignment vertical="center"/>
    </xf>
    <xf numFmtId="0" fontId="7" fillId="0" borderId="0" xfId="11" applyFont="1" applyAlignment="1">
      <alignment vertical="center"/>
    </xf>
    <xf numFmtId="0" fontId="44" fillId="0" borderId="5" xfId="11" applyFont="1" applyBorder="1" applyAlignment="1">
      <alignment horizontal="center" vertical="center"/>
    </xf>
    <xf numFmtId="3" fontId="44" fillId="0" borderId="5" xfId="11" applyNumberFormat="1" applyFont="1" applyBorder="1" applyAlignment="1">
      <alignment vertical="center"/>
    </xf>
    <xf numFmtId="0" fontId="44" fillId="0" borderId="5" xfId="11" applyFont="1" applyBorder="1" applyAlignment="1">
      <alignment vertical="center" wrapText="1"/>
    </xf>
    <xf numFmtId="0" fontId="45" fillId="4" borderId="5" xfId="11" applyFont="1" applyFill="1" applyBorder="1" applyAlignment="1">
      <alignment horizontal="center" vertical="center"/>
    </xf>
    <xf numFmtId="0" fontId="45" fillId="4" borderId="5" xfId="11" applyFont="1" applyFill="1" applyBorder="1" applyAlignment="1">
      <alignment vertical="center" wrapText="1"/>
    </xf>
    <xf numFmtId="3" fontId="8" fillId="4" borderId="5" xfId="11" applyNumberFormat="1" applyFont="1" applyFill="1" applyBorder="1" applyAlignment="1">
      <alignment vertical="center"/>
    </xf>
    <xf numFmtId="3" fontId="7" fillId="12" borderId="5" xfId="11" applyNumberFormat="1" applyFont="1" applyFill="1" applyBorder="1" applyAlignment="1">
      <alignment vertical="center"/>
    </xf>
    <xf numFmtId="3" fontId="45" fillId="14" borderId="5" xfId="11" applyNumberFormat="1" applyFont="1" applyFill="1" applyBorder="1" applyAlignment="1">
      <alignment vertical="center"/>
    </xf>
    <xf numFmtId="0" fontId="7" fillId="0" borderId="0" xfId="7" applyFont="1" applyAlignment="1">
      <alignment horizontal="center" vertical="center"/>
    </xf>
    <xf numFmtId="0" fontId="11" fillId="0" borderId="0" xfId="7" applyFont="1" applyAlignment="1">
      <alignment vertical="center" wrapText="1"/>
    </xf>
    <xf numFmtId="0" fontId="14" fillId="0" borderId="0" xfId="7" applyFont="1"/>
    <xf numFmtId="0" fontId="8" fillId="2" borderId="5" xfId="7" applyFont="1" applyFill="1" applyBorder="1" applyAlignment="1">
      <alignment horizontal="center" vertical="center"/>
    </xf>
    <xf numFmtId="0" fontId="46" fillId="16" borderId="5" xfId="7" applyFont="1" applyFill="1" applyBorder="1" applyAlignment="1">
      <alignment horizontal="center" vertical="center"/>
    </xf>
    <xf numFmtId="0" fontId="46" fillId="0" borderId="0" xfId="7" applyFont="1"/>
    <xf numFmtId="0" fontId="8" fillId="13" borderId="5" xfId="7" applyFont="1" applyFill="1" applyBorder="1" applyAlignment="1">
      <alignment horizontal="center" vertical="center"/>
    </xf>
    <xf numFmtId="0" fontId="7" fillId="13" borderId="5" xfId="7" applyFont="1" applyFill="1" applyBorder="1" applyAlignment="1">
      <alignment horizontal="center" vertical="center"/>
    </xf>
    <xf numFmtId="0" fontId="7" fillId="0" borderId="5" xfId="7" applyFont="1" applyBorder="1" applyAlignment="1">
      <alignment horizontal="center" vertical="center" wrapText="1"/>
    </xf>
    <xf numFmtId="0" fontId="20" fillId="0" borderId="5" xfId="7" applyFont="1" applyBorder="1" applyAlignment="1">
      <alignment horizontal="center" vertical="center"/>
    </xf>
    <xf numFmtId="0" fontId="7" fillId="0" borderId="0" xfId="7" applyFont="1" applyAlignment="1">
      <alignment vertical="center"/>
    </xf>
    <xf numFmtId="0" fontId="7" fillId="0" borderId="5" xfId="7" applyFont="1" applyBorder="1" applyAlignment="1">
      <alignment horizontal="center" vertical="center"/>
    </xf>
    <xf numFmtId="0" fontId="20" fillId="0" borderId="5" xfId="7" applyFont="1" applyBorder="1" applyAlignment="1">
      <alignment vertical="center"/>
    </xf>
    <xf numFmtId="0" fontId="7" fillId="0" borderId="5" xfId="7" applyFont="1" applyBorder="1" applyAlignment="1">
      <alignment vertical="center"/>
    </xf>
    <xf numFmtId="0" fontId="7" fillId="0" borderId="5" xfId="7" applyFont="1" applyBorder="1" applyAlignment="1">
      <alignment vertical="center" wrapText="1"/>
    </xf>
    <xf numFmtId="0" fontId="20" fillId="0" borderId="5" xfId="7" applyFont="1" applyBorder="1" applyAlignment="1">
      <alignment vertical="center" wrapText="1"/>
    </xf>
    <xf numFmtId="0" fontId="7" fillId="0" borderId="0" xfId="7" applyFont="1" applyAlignment="1">
      <alignment vertical="center" wrapText="1"/>
    </xf>
    <xf numFmtId="3" fontId="8" fillId="2" borderId="5" xfId="7" applyNumberFormat="1" applyFont="1" applyFill="1" applyBorder="1" applyAlignment="1">
      <alignment vertical="center"/>
    </xf>
    <xf numFmtId="0" fontId="8" fillId="0" borderId="0" xfId="7" applyFont="1" applyAlignment="1">
      <alignment vertical="center"/>
    </xf>
    <xf numFmtId="3" fontId="8" fillId="0" borderId="0" xfId="7" applyNumberFormat="1" applyFont="1" applyAlignment="1">
      <alignment vertical="center"/>
    </xf>
    <xf numFmtId="0" fontId="8" fillId="0" borderId="0" xfId="7" applyFont="1" applyAlignment="1">
      <alignment horizontal="center" vertical="center"/>
    </xf>
    <xf numFmtId="49" fontId="7" fillId="0" borderId="5" xfId="7" applyNumberFormat="1" applyFont="1" applyBorder="1" applyAlignment="1">
      <alignment horizontal="center" vertical="center"/>
    </xf>
    <xf numFmtId="3" fontId="7" fillId="0" borderId="0" xfId="7" applyNumberFormat="1" applyFont="1" applyAlignment="1">
      <alignment vertical="center"/>
    </xf>
    <xf numFmtId="3" fontId="11" fillId="17" borderId="5" xfId="7" applyNumberFormat="1" applyFont="1" applyFill="1" applyBorder="1" applyAlignment="1">
      <alignment horizontal="right"/>
    </xf>
    <xf numFmtId="0" fontId="47" fillId="0" borderId="0" xfId="7" applyFont="1"/>
    <xf numFmtId="0" fontId="48" fillId="0" borderId="5" xfId="11" applyFont="1" applyBorder="1" applyAlignment="1">
      <alignment horizontal="center" vertical="center"/>
    </xf>
    <xf numFmtId="0" fontId="48" fillId="0" borderId="5" xfId="11" applyFont="1" applyBorder="1" applyAlignment="1">
      <alignment vertical="center" wrapText="1"/>
    </xf>
    <xf numFmtId="3" fontId="48" fillId="0" borderId="5" xfId="11" applyNumberFormat="1" applyFont="1" applyBorder="1" applyAlignment="1">
      <alignment vertical="center"/>
    </xf>
    <xf numFmtId="0" fontId="48" fillId="0" borderId="0" xfId="11" applyFont="1" applyAlignment="1">
      <alignment vertical="center"/>
    </xf>
    <xf numFmtId="0" fontId="48" fillId="0" borderId="5" xfId="7" applyFont="1" applyBorder="1" applyAlignment="1">
      <alignment horizontal="center" vertical="center"/>
    </xf>
    <xf numFmtId="0" fontId="48" fillId="0" borderId="5" xfId="7" applyFont="1" applyBorder="1" applyAlignment="1">
      <alignment vertical="center" wrapText="1"/>
    </xf>
    <xf numFmtId="0" fontId="48" fillId="0" borderId="0" xfId="7" applyFont="1" applyAlignment="1">
      <alignment vertical="center"/>
    </xf>
    <xf numFmtId="3" fontId="48" fillId="0" borderId="5" xfId="7" applyNumberFormat="1" applyFont="1" applyBorder="1" applyAlignment="1">
      <alignment vertical="center" wrapText="1"/>
    </xf>
    <xf numFmtId="0" fontId="49" fillId="0" borderId="5" xfId="7" applyFont="1" applyBorder="1" applyAlignment="1">
      <alignment vertical="center" wrapText="1"/>
    </xf>
    <xf numFmtId="3" fontId="49" fillId="0" borderId="5" xfId="7" applyNumberFormat="1" applyFont="1" applyBorder="1" applyAlignment="1">
      <alignment vertical="center" wrapText="1"/>
    </xf>
    <xf numFmtId="3" fontId="7" fillId="0" borderId="5" xfId="7" applyNumberFormat="1" applyFont="1" applyFill="1" applyBorder="1" applyAlignment="1">
      <alignment horizontal="right" vertical="center"/>
    </xf>
    <xf numFmtId="3" fontId="7" fillId="0" borderId="5" xfId="7" applyNumberFormat="1" applyFont="1" applyFill="1" applyBorder="1" applyAlignment="1">
      <alignment vertical="center"/>
    </xf>
    <xf numFmtId="3" fontId="48" fillId="0" borderId="5" xfId="7" applyNumberFormat="1" applyFont="1" applyFill="1" applyBorder="1" applyAlignment="1">
      <alignment horizontal="right" vertical="center" wrapText="1"/>
    </xf>
    <xf numFmtId="3" fontId="7" fillId="0" borderId="5" xfId="7" applyNumberFormat="1" applyFont="1" applyFill="1" applyBorder="1" applyAlignment="1">
      <alignment horizontal="right" vertical="center" wrapText="1"/>
    </xf>
    <xf numFmtId="3" fontId="20" fillId="0" borderId="5" xfId="7" applyNumberFormat="1" applyFont="1" applyFill="1" applyBorder="1" applyAlignment="1">
      <alignment vertical="center"/>
    </xf>
    <xf numFmtId="3" fontId="7" fillId="0" borderId="5" xfId="7" applyNumberFormat="1" applyFont="1" applyFill="1" applyBorder="1" applyAlignment="1">
      <alignment vertical="center" wrapText="1"/>
    </xf>
    <xf numFmtId="0" fontId="20" fillId="0" borderId="5" xfId="7" applyFont="1" applyFill="1" applyBorder="1" applyAlignment="1">
      <alignment vertical="center"/>
    </xf>
    <xf numFmtId="0" fontId="20" fillId="0" borderId="5" xfId="7" applyFont="1" applyFill="1" applyBorder="1" applyAlignment="1">
      <alignment vertical="center" wrapText="1"/>
    </xf>
    <xf numFmtId="3" fontId="20" fillId="0" borderId="5" xfId="7" applyNumberFormat="1" applyFont="1" applyFill="1" applyBorder="1" applyAlignment="1">
      <alignment vertical="center" wrapText="1"/>
    </xf>
    <xf numFmtId="1" fontId="20" fillId="0" borderId="5" xfId="7" applyNumberFormat="1" applyFont="1" applyFill="1" applyBorder="1" applyAlignment="1">
      <alignment vertical="center" wrapText="1"/>
    </xf>
    <xf numFmtId="3" fontId="48" fillId="0" borderId="5" xfId="7" applyNumberFormat="1" applyFont="1" applyFill="1" applyBorder="1" applyAlignment="1">
      <alignment vertical="center" wrapText="1"/>
    </xf>
    <xf numFmtId="0" fontId="49" fillId="0" borderId="5" xfId="7" applyFont="1" applyFill="1" applyBorder="1" applyAlignment="1">
      <alignment vertical="center" wrapText="1"/>
    </xf>
    <xf numFmtId="0" fontId="36" fillId="6" borderId="18" xfId="7" applyFont="1" applyFill="1" applyBorder="1" applyAlignment="1" applyProtection="1">
      <alignment horizontal="left" vertical="center" wrapText="1"/>
    </xf>
    <xf numFmtId="3" fontId="35" fillId="0" borderId="0" xfId="7" applyNumberFormat="1" applyFont="1" applyFill="1" applyAlignment="1" applyProtection="1">
      <alignment horizontal="center" vertical="center"/>
      <protection locked="0"/>
    </xf>
    <xf numFmtId="3" fontId="15" fillId="0" borderId="4" xfId="9" applyNumberFormat="1" applyFont="1" applyFill="1" applyBorder="1" applyAlignment="1"/>
    <xf numFmtId="0" fontId="36" fillId="10" borderId="27" xfId="7" applyFont="1" applyFill="1" applyBorder="1" applyAlignment="1" applyProtection="1">
      <alignment horizontal="center" vertical="center" wrapText="1"/>
      <protection locked="0"/>
    </xf>
    <xf numFmtId="0" fontId="36" fillId="10" borderId="21" xfId="7" applyFont="1" applyFill="1" applyBorder="1" applyAlignment="1" applyProtection="1">
      <alignment horizontal="center" vertical="center" wrapText="1"/>
      <protection locked="0"/>
    </xf>
    <xf numFmtId="0" fontId="36" fillId="10" borderId="37" xfId="7" applyFont="1" applyFill="1" applyBorder="1" applyAlignment="1" applyProtection="1">
      <alignment horizontal="center" vertical="center" wrapText="1"/>
      <protection locked="0"/>
    </xf>
    <xf numFmtId="3" fontId="7" fillId="0" borderId="5" xfId="11" applyNumberFormat="1" applyFont="1" applyFill="1" applyBorder="1" applyAlignment="1">
      <alignment vertical="center"/>
    </xf>
    <xf numFmtId="3" fontId="44" fillId="0" borderId="5" xfId="11" applyNumberFormat="1" applyFont="1" applyFill="1" applyBorder="1" applyAlignment="1">
      <alignment vertical="center"/>
    </xf>
    <xf numFmtId="0" fontId="43" fillId="0" borderId="0" xfId="0" applyFont="1" applyFill="1" applyAlignment="1">
      <alignment horizontal="left" vertical="center" wrapText="1"/>
    </xf>
    <xf numFmtId="0" fontId="12" fillId="0" borderId="50" xfId="7" applyFont="1" applyFill="1" applyBorder="1" applyAlignment="1" applyProtection="1">
      <alignment horizontal="center" vertical="center" wrapText="1"/>
    </xf>
    <xf numFmtId="0" fontId="12" fillId="0" borderId="51" xfId="7" applyFont="1" applyFill="1" applyBorder="1" applyAlignment="1" applyProtection="1">
      <alignment horizontal="center" vertical="center" wrapText="1"/>
    </xf>
    <xf numFmtId="0" fontId="10" fillId="0" borderId="51" xfId="7" applyFont="1" applyFill="1" applyBorder="1" applyAlignment="1" applyProtection="1">
      <alignment horizontal="left" vertical="center" wrapText="1"/>
    </xf>
    <xf numFmtId="3" fontId="10" fillId="0" borderId="51" xfId="7" applyNumberFormat="1" applyFont="1" applyFill="1" applyBorder="1" applyAlignment="1" applyProtection="1">
      <alignment vertical="center" wrapText="1"/>
    </xf>
    <xf numFmtId="0" fontId="29" fillId="0" borderId="52" xfId="7" applyFont="1" applyFill="1" applyBorder="1" applyAlignment="1" applyProtection="1">
      <alignment horizontal="center" vertical="center" wrapText="1"/>
    </xf>
    <xf numFmtId="3" fontId="10" fillId="0" borderId="23" xfId="7" applyNumberFormat="1" applyFont="1" applyFill="1" applyBorder="1" applyAlignment="1" applyProtection="1">
      <alignment vertical="center" wrapText="1"/>
    </xf>
    <xf numFmtId="0" fontId="50" fillId="6" borderId="30" xfId="25" applyFont="1" applyFill="1" applyBorder="1" applyAlignment="1">
      <alignment vertical="center" wrapText="1"/>
    </xf>
    <xf numFmtId="0" fontId="36" fillId="6" borderId="24" xfId="7" applyFont="1" applyFill="1" applyBorder="1" applyAlignment="1" applyProtection="1">
      <alignment horizontal="center" vertical="center" wrapText="1"/>
      <protection locked="0"/>
    </xf>
    <xf numFmtId="0" fontId="28" fillId="2" borderId="18" xfId="7" applyFont="1" applyFill="1" applyBorder="1" applyAlignment="1" applyProtection="1">
      <alignment horizontal="center" vertical="center" wrapText="1"/>
    </xf>
    <xf numFmtId="0" fontId="40" fillId="2" borderId="18" xfId="7" applyFont="1" applyFill="1" applyBorder="1" applyAlignment="1" applyProtection="1">
      <alignment horizontal="center" vertical="center" wrapText="1"/>
    </xf>
    <xf numFmtId="0" fontId="12" fillId="0" borderId="19" xfId="7" applyFont="1" applyFill="1" applyBorder="1" applyAlignment="1" applyProtection="1">
      <alignment horizontal="center" vertical="center" wrapText="1"/>
    </xf>
    <xf numFmtId="0" fontId="10" fillId="0" borderId="19" xfId="7" applyFont="1" applyFill="1" applyBorder="1" applyAlignment="1" applyProtection="1">
      <alignment horizontal="left" vertical="center" wrapText="1"/>
    </xf>
    <xf numFmtId="3" fontId="10" fillId="0" borderId="19" xfId="7" applyNumberFormat="1" applyFont="1" applyFill="1" applyBorder="1" applyAlignment="1" applyProtection="1">
      <alignment vertical="center" wrapText="1"/>
    </xf>
    <xf numFmtId="3" fontId="10" fillId="0" borderId="34" xfId="7" applyNumberFormat="1" applyFont="1" applyFill="1" applyBorder="1" applyAlignment="1" applyProtection="1">
      <alignment vertical="center" wrapText="1"/>
    </xf>
    <xf numFmtId="0" fontId="10" fillId="0" borderId="34" xfId="7" applyFont="1" applyFill="1" applyBorder="1" applyAlignment="1" applyProtection="1">
      <alignment vertical="center" wrapText="1"/>
    </xf>
    <xf numFmtId="0" fontId="10" fillId="0" borderId="34" xfId="7" applyFont="1" applyFill="1" applyBorder="1" applyAlignment="1" applyProtection="1">
      <alignment horizontal="right" vertical="center" wrapText="1"/>
    </xf>
    <xf numFmtId="0" fontId="40" fillId="6" borderId="18" xfId="7" applyFont="1" applyFill="1" applyBorder="1" applyAlignment="1" applyProtection="1">
      <alignment horizontal="center" vertical="center" wrapText="1"/>
    </xf>
    <xf numFmtId="0" fontId="36" fillId="6" borderId="39" xfId="7" applyFont="1" applyFill="1" applyBorder="1" applyAlignment="1" applyProtection="1">
      <alignment horizontal="center" vertical="center" wrapText="1"/>
    </xf>
    <xf numFmtId="0" fontId="7" fillId="0" borderId="0" xfId="9" applyFont="1"/>
    <xf numFmtId="0" fontId="7" fillId="0" borderId="0" xfId="9" applyFont="1" applyAlignment="1">
      <alignment horizontal="center"/>
    </xf>
    <xf numFmtId="0" fontId="20" fillId="0" borderId="0" xfId="9" applyFont="1"/>
    <xf numFmtId="0" fontId="8" fillId="0" borderId="0" xfId="9" applyFont="1" applyAlignment="1">
      <alignment horizontal="center"/>
    </xf>
    <xf numFmtId="0" fontId="7" fillId="0" borderId="0" xfId="9" applyFont="1" applyAlignment="1">
      <alignment vertical="center"/>
    </xf>
    <xf numFmtId="0" fontId="8" fillId="18" borderId="48" xfId="9" applyFont="1" applyFill="1" applyBorder="1" applyAlignment="1">
      <alignment horizontal="center" vertical="center" wrapText="1"/>
    </xf>
    <xf numFmtId="0" fontId="16" fillId="0" borderId="5" xfId="9" applyFont="1" applyBorder="1" applyAlignment="1">
      <alignment horizontal="center" vertical="center"/>
    </xf>
    <xf numFmtId="0" fontId="7" fillId="0" borderId="5" xfId="9" applyFont="1" applyBorder="1" applyAlignment="1">
      <alignment vertical="center" wrapText="1"/>
    </xf>
    <xf numFmtId="0" fontId="7" fillId="19" borderId="5" xfId="9" applyFont="1" applyFill="1" applyBorder="1" applyAlignment="1">
      <alignment vertical="center" wrapText="1"/>
    </xf>
    <xf numFmtId="0" fontId="7" fillId="2" borderId="48" xfId="9" applyFont="1" applyFill="1" applyBorder="1" applyAlignment="1">
      <alignment horizontal="right"/>
    </xf>
    <xf numFmtId="4" fontId="7" fillId="2" borderId="5" xfId="9" applyNumberFormat="1" applyFont="1" applyFill="1" applyBorder="1" applyAlignment="1">
      <alignment wrapText="1"/>
    </xf>
    <xf numFmtId="4" fontId="7" fillId="2" borderId="5" xfId="9" applyNumberFormat="1" applyFont="1" applyFill="1" applyBorder="1"/>
    <xf numFmtId="0" fontId="8" fillId="2" borderId="48" xfId="9" applyFont="1" applyFill="1" applyBorder="1" applyAlignment="1">
      <alignment horizontal="right"/>
    </xf>
    <xf numFmtId="4" fontId="8" fillId="2" borderId="5" xfId="9" applyNumberFormat="1" applyFont="1" applyFill="1" applyBorder="1" applyAlignment="1">
      <alignment wrapText="1"/>
    </xf>
    <xf numFmtId="4" fontId="8" fillId="2" borderId="5" xfId="9" applyNumberFormat="1" applyFont="1" applyFill="1" applyBorder="1"/>
    <xf numFmtId="0" fontId="8" fillId="0" borderId="0" xfId="9" applyFont="1"/>
    <xf numFmtId="0" fontId="48" fillId="0" borderId="5" xfId="9" applyFont="1" applyBorder="1" applyAlignment="1">
      <alignment vertical="center" wrapText="1"/>
    </xf>
    <xf numFmtId="0" fontId="48" fillId="0" borderId="0" xfId="9" applyFont="1"/>
    <xf numFmtId="0" fontId="48" fillId="2" borderId="48" xfId="9" applyFont="1" applyFill="1" applyBorder="1" applyAlignment="1">
      <alignment horizontal="right"/>
    </xf>
    <xf numFmtId="4" fontId="48" fillId="2" borderId="5" xfId="9" applyNumberFormat="1" applyFont="1" applyFill="1" applyBorder="1" applyAlignment="1">
      <alignment wrapText="1"/>
    </xf>
    <xf numFmtId="4" fontId="48" fillId="2" borderId="5" xfId="9" applyNumberFormat="1" applyFont="1" applyFill="1" applyBorder="1"/>
    <xf numFmtId="0" fontId="48" fillId="19" borderId="48" xfId="9" applyFont="1" applyFill="1" applyBorder="1" applyAlignment="1">
      <alignment horizontal="left" vertical="center" wrapText="1"/>
    </xf>
    <xf numFmtId="0" fontId="7" fillId="19" borderId="48" xfId="9" applyFont="1" applyFill="1" applyBorder="1" applyAlignment="1">
      <alignment horizontal="left" vertical="center" wrapText="1"/>
    </xf>
    <xf numFmtId="4" fontId="7" fillId="2" borderId="48" xfId="9" applyNumberFormat="1" applyFont="1" applyFill="1" applyBorder="1" applyAlignment="1">
      <alignment wrapText="1"/>
    </xf>
    <xf numFmtId="4" fontId="7" fillId="2" borderId="48" xfId="9" applyNumberFormat="1" applyFont="1" applyFill="1" applyBorder="1"/>
    <xf numFmtId="4" fontId="8" fillId="2" borderId="48" xfId="9" applyNumberFormat="1" applyFont="1" applyFill="1" applyBorder="1" applyAlignment="1">
      <alignment wrapText="1"/>
    </xf>
    <xf numFmtId="4" fontId="8" fillId="18" borderId="5" xfId="9" applyNumberFormat="1" applyFont="1" applyFill="1" applyBorder="1" applyAlignment="1">
      <alignment vertical="center"/>
    </xf>
    <xf numFmtId="0" fontId="8" fillId="0" borderId="0" xfId="9" applyFont="1" applyAlignment="1">
      <alignment vertical="center"/>
    </xf>
    <xf numFmtId="4" fontId="8" fillId="0" borderId="0" xfId="9" applyNumberFormat="1" applyFont="1" applyAlignment="1">
      <alignment vertical="center"/>
    </xf>
    <xf numFmtId="4" fontId="7" fillId="0" borderId="0" xfId="9" applyNumberFormat="1" applyFont="1"/>
    <xf numFmtId="0" fontId="7" fillId="19" borderId="5" xfId="9" applyFont="1" applyFill="1" applyBorder="1" applyAlignment="1">
      <alignment horizontal="left" vertical="center"/>
    </xf>
    <xf numFmtId="2" fontId="7" fillId="2" borderId="5" xfId="9" applyNumberFormat="1" applyFont="1" applyFill="1" applyBorder="1" applyAlignment="1">
      <alignment horizontal="right" wrapText="1"/>
    </xf>
    <xf numFmtId="2" fontId="7" fillId="2" borderId="5" xfId="9" applyNumberFormat="1" applyFont="1" applyFill="1" applyBorder="1" applyAlignment="1">
      <alignment horizontal="right"/>
    </xf>
    <xf numFmtId="4" fontId="8" fillId="2" borderId="48" xfId="9" applyNumberFormat="1" applyFont="1" applyFill="1" applyBorder="1"/>
    <xf numFmtId="0" fontId="7" fillId="0" borderId="5" xfId="9" applyFont="1" applyBorder="1" applyAlignment="1">
      <alignment horizontal="left" vertical="center" wrapText="1"/>
    </xf>
    <xf numFmtId="2" fontId="7" fillId="2" borderId="48" xfId="9" applyNumberFormat="1" applyFont="1" applyFill="1" applyBorder="1" applyAlignment="1">
      <alignment horizontal="right"/>
    </xf>
    <xf numFmtId="0" fontId="7" fillId="0" borderId="48" xfId="9" applyFont="1" applyBorder="1" applyAlignment="1">
      <alignment horizontal="left" vertical="center"/>
    </xf>
    <xf numFmtId="0" fontId="44" fillId="0" borderId="0" xfId="2" applyFont="1"/>
    <xf numFmtId="0" fontId="45" fillId="4" borderId="5" xfId="2" applyFont="1" applyFill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5" fillId="12" borderId="5" xfId="2" applyFont="1" applyFill="1" applyBorder="1" applyAlignment="1">
      <alignment horizontal="center" vertical="center"/>
    </xf>
    <xf numFmtId="0" fontId="45" fillId="12" borderId="5" xfId="2" applyFont="1" applyFill="1" applyBorder="1" applyAlignment="1">
      <alignment vertical="center" wrapText="1"/>
    </xf>
    <xf numFmtId="3" fontId="45" fillId="12" borderId="5" xfId="2" applyNumberFormat="1" applyFont="1" applyFill="1" applyBorder="1" applyAlignment="1">
      <alignment vertical="center"/>
    </xf>
    <xf numFmtId="0" fontId="45" fillId="0" borderId="0" xfId="2" applyFont="1" applyAlignment="1">
      <alignment vertical="center"/>
    </xf>
    <xf numFmtId="0" fontId="44" fillId="13" borderId="5" xfId="2" applyFont="1" applyFill="1" applyBorder="1" applyAlignment="1">
      <alignment horizontal="center" vertical="center"/>
    </xf>
    <xf numFmtId="0" fontId="44" fillId="13" borderId="5" xfId="2" applyFont="1" applyFill="1" applyBorder="1" applyAlignment="1">
      <alignment vertical="center" wrapText="1"/>
    </xf>
    <xf numFmtId="3" fontId="44" fillId="13" borderId="5" xfId="2" applyNumberFormat="1" applyFont="1" applyFill="1" applyBorder="1" applyAlignment="1">
      <alignment vertical="center"/>
    </xf>
    <xf numFmtId="0" fontId="44" fillId="0" borderId="5" xfId="2" applyFont="1" applyBorder="1" applyAlignment="1">
      <alignment horizontal="center" vertical="center"/>
    </xf>
    <xf numFmtId="0" fontId="44" fillId="0" borderId="5" xfId="2" applyFont="1" applyBorder="1" applyAlignment="1">
      <alignment vertical="center" wrapText="1"/>
    </xf>
    <xf numFmtId="3" fontId="44" fillId="0" borderId="5" xfId="2" applyNumberFormat="1" applyFont="1" applyBorder="1" applyAlignment="1">
      <alignment vertical="center"/>
    </xf>
    <xf numFmtId="3" fontId="45" fillId="4" borderId="30" xfId="2" applyNumberFormat="1" applyFont="1" applyFill="1" applyBorder="1" applyAlignment="1">
      <alignment vertical="center"/>
    </xf>
    <xf numFmtId="0" fontId="44" fillId="0" borderId="0" xfId="2" applyFont="1" applyAlignment="1">
      <alignment horizontal="center"/>
    </xf>
    <xf numFmtId="3" fontId="44" fillId="0" borderId="30" xfId="2" applyNumberFormat="1" applyFont="1" applyBorder="1" applyAlignment="1">
      <alignment vertical="center"/>
    </xf>
    <xf numFmtId="3" fontId="44" fillId="13" borderId="30" xfId="2" applyNumberFormat="1" applyFont="1" applyFill="1" applyBorder="1" applyAlignment="1">
      <alignment vertical="center"/>
    </xf>
    <xf numFmtId="0" fontId="44" fillId="13" borderId="30" xfId="2" applyFont="1" applyFill="1" applyBorder="1" applyAlignment="1">
      <alignment horizontal="center" vertical="center"/>
    </xf>
    <xf numFmtId="0" fontId="44" fillId="13" borderId="30" xfId="10" applyFont="1" applyFill="1" applyBorder="1" applyAlignment="1">
      <alignment vertical="center" wrapText="1"/>
    </xf>
    <xf numFmtId="0" fontId="44" fillId="0" borderId="0" xfId="2" applyFont="1" applyFill="1" applyAlignment="1">
      <alignment vertical="center"/>
    </xf>
    <xf numFmtId="3" fontId="44" fillId="0" borderId="30" xfId="2" applyNumberFormat="1" applyFont="1" applyFill="1" applyBorder="1" applyAlignment="1">
      <alignment vertical="center"/>
    </xf>
    <xf numFmtId="0" fontId="44" fillId="0" borderId="30" xfId="2" applyFont="1" applyFill="1" applyBorder="1" applyAlignment="1">
      <alignment horizontal="center" vertical="center"/>
    </xf>
    <xf numFmtId="0" fontId="44" fillId="0" borderId="30" xfId="10" applyFont="1" applyFill="1" applyBorder="1" applyAlignment="1">
      <alignment vertical="center" wrapText="1"/>
    </xf>
    <xf numFmtId="0" fontId="44" fillId="0" borderId="30" xfId="2" applyFont="1" applyBorder="1" applyAlignment="1">
      <alignment horizontal="center" vertical="center"/>
    </xf>
    <xf numFmtId="0" fontId="45" fillId="12" borderId="30" xfId="2" applyFont="1" applyFill="1" applyBorder="1" applyAlignment="1">
      <alignment horizontal="center" vertical="center"/>
    </xf>
    <xf numFmtId="3" fontId="45" fillId="12" borderId="30" xfId="2" applyNumberFormat="1" applyFont="1" applyFill="1" applyBorder="1" applyAlignment="1">
      <alignment vertical="center"/>
    </xf>
    <xf numFmtId="0" fontId="45" fillId="0" borderId="0" xfId="2" applyFont="1" applyFill="1" applyAlignment="1">
      <alignment vertical="center"/>
    </xf>
    <xf numFmtId="0" fontId="45" fillId="12" borderId="30" xfId="10" applyFont="1" applyFill="1" applyBorder="1" applyAlignment="1">
      <alignment vertical="center" wrapText="1"/>
    </xf>
    <xf numFmtId="0" fontId="20" fillId="0" borderId="5" xfId="2" applyFont="1" applyBorder="1" applyAlignment="1">
      <alignment horizontal="center" vertical="center"/>
    </xf>
    <xf numFmtId="0" fontId="45" fillId="4" borderId="30" xfId="11" applyFont="1" applyFill="1" applyBorder="1" applyAlignment="1">
      <alignment horizontal="center" vertical="center"/>
    </xf>
    <xf numFmtId="0" fontId="51" fillId="0" borderId="0" xfId="11" applyFont="1" applyAlignment="1">
      <alignment vertical="center"/>
    </xf>
    <xf numFmtId="0" fontId="51" fillId="4" borderId="30" xfId="11" applyFont="1" applyFill="1" applyBorder="1" applyAlignment="1">
      <alignment horizontal="center" vertical="center"/>
    </xf>
    <xf numFmtId="0" fontId="48" fillId="4" borderId="30" xfId="11" applyFont="1" applyFill="1" applyBorder="1" applyAlignment="1">
      <alignment vertical="center" wrapText="1"/>
    </xf>
    <xf numFmtId="3" fontId="51" fillId="4" borderId="30" xfId="11" applyNumberFormat="1" applyFont="1" applyFill="1" applyBorder="1" applyAlignment="1">
      <alignment vertical="center"/>
    </xf>
    <xf numFmtId="0" fontId="51" fillId="12" borderId="30" xfId="11" applyFont="1" applyFill="1" applyBorder="1" applyAlignment="1">
      <alignment horizontal="center" vertical="center"/>
    </xf>
    <xf numFmtId="0" fontId="48" fillId="12" borderId="30" xfId="11" applyFont="1" applyFill="1" applyBorder="1" applyAlignment="1">
      <alignment vertical="center" wrapText="1"/>
    </xf>
    <xf numFmtId="3" fontId="51" fillId="12" borderId="30" xfId="11" applyNumberFormat="1" applyFont="1" applyFill="1" applyBorder="1" applyAlignment="1">
      <alignment vertical="center"/>
    </xf>
    <xf numFmtId="0" fontId="51" fillId="0" borderId="30" xfId="11" applyFont="1" applyBorder="1" applyAlignment="1">
      <alignment horizontal="center" vertical="center"/>
    </xf>
    <xf numFmtId="0" fontId="48" fillId="0" borderId="30" xfId="11" applyFont="1" applyBorder="1" applyAlignment="1">
      <alignment vertical="center" wrapText="1"/>
    </xf>
    <xf numFmtId="3" fontId="51" fillId="0" borderId="30" xfId="11" applyNumberFormat="1" applyFont="1" applyBorder="1" applyAlignment="1">
      <alignment vertical="center"/>
    </xf>
    <xf numFmtId="0" fontId="51" fillId="0" borderId="5" xfId="11" applyFont="1" applyBorder="1" applyAlignment="1">
      <alignment horizontal="center" vertical="center"/>
    </xf>
    <xf numFmtId="3" fontId="51" fillId="0" borderId="5" xfId="11" applyNumberFormat="1" applyFont="1" applyBorder="1" applyAlignment="1">
      <alignment vertical="center"/>
    </xf>
    <xf numFmtId="0" fontId="45" fillId="4" borderId="30" xfId="10" applyFont="1" applyFill="1" applyBorder="1" applyAlignment="1">
      <alignment vertical="center" wrapText="1"/>
    </xf>
    <xf numFmtId="3" fontId="8" fillId="4" borderId="30" xfId="11" applyNumberFormat="1" applyFont="1" applyFill="1" applyBorder="1" applyAlignment="1">
      <alignment vertical="center"/>
    </xf>
    <xf numFmtId="0" fontId="51" fillId="12" borderId="30" xfId="11" applyFont="1" applyFill="1" applyBorder="1" applyAlignment="1">
      <alignment vertical="center" wrapText="1"/>
    </xf>
    <xf numFmtId="3" fontId="48" fillId="12" borderId="30" xfId="11" applyNumberFormat="1" applyFont="1" applyFill="1" applyBorder="1" applyAlignment="1">
      <alignment vertical="center"/>
    </xf>
    <xf numFmtId="0" fontId="51" fillId="0" borderId="30" xfId="11" applyFont="1" applyBorder="1" applyAlignment="1">
      <alignment vertical="center" wrapText="1"/>
    </xf>
    <xf numFmtId="3" fontId="48" fillId="0" borderId="30" xfId="11" applyNumberFormat="1" applyFont="1" applyBorder="1" applyAlignment="1">
      <alignment vertical="center"/>
    </xf>
    <xf numFmtId="3" fontId="48" fillId="0" borderId="30" xfId="11" applyNumberFormat="1" applyFont="1" applyFill="1" applyBorder="1" applyAlignment="1">
      <alignment vertical="center"/>
    </xf>
    <xf numFmtId="0" fontId="51" fillId="12" borderId="5" xfId="11" applyFont="1" applyFill="1" applyBorder="1" applyAlignment="1">
      <alignment horizontal="center" vertical="center"/>
    </xf>
    <xf numFmtId="0" fontId="51" fillId="12" borderId="5" xfId="11" applyFont="1" applyFill="1" applyBorder="1" applyAlignment="1">
      <alignment vertical="center" wrapText="1"/>
    </xf>
    <xf numFmtId="3" fontId="51" fillId="12" borderId="5" xfId="11" applyNumberFormat="1" applyFont="1" applyFill="1" applyBorder="1" applyAlignment="1">
      <alignment vertical="center"/>
    </xf>
    <xf numFmtId="0" fontId="10" fillId="0" borderId="25" xfId="16" applyFont="1" applyFill="1" applyBorder="1" applyAlignment="1" applyProtection="1">
      <alignment vertical="center" wrapText="1"/>
      <protection locked="0"/>
    </xf>
    <xf numFmtId="0" fontId="36" fillId="20" borderId="24" xfId="7" applyFont="1" applyFill="1" applyBorder="1" applyAlignment="1" applyProtection="1">
      <alignment horizontal="center" vertical="center" wrapText="1"/>
      <protection locked="0"/>
    </xf>
    <xf numFmtId="0" fontId="36" fillId="20" borderId="37" xfId="7" applyFont="1" applyFill="1" applyBorder="1" applyAlignment="1" applyProtection="1">
      <alignment horizontal="center" vertical="center" wrapText="1"/>
      <protection locked="0"/>
    </xf>
    <xf numFmtId="0" fontId="36" fillId="10" borderId="16" xfId="7" applyFont="1" applyFill="1" applyBorder="1" applyAlignment="1" applyProtection="1">
      <alignment horizontal="center" vertical="center" wrapText="1"/>
      <protection locked="0"/>
    </xf>
    <xf numFmtId="0" fontId="40" fillId="9" borderId="20" xfId="7" applyFont="1" applyFill="1" applyBorder="1" applyAlignment="1" applyProtection="1">
      <alignment horizontal="center" vertical="center" wrapText="1"/>
    </xf>
    <xf numFmtId="0" fontId="36" fillId="20" borderId="63" xfId="7" applyFont="1" applyFill="1" applyBorder="1" applyAlignment="1" applyProtection="1">
      <alignment horizontal="center" vertical="center" wrapText="1"/>
      <protection locked="0"/>
    </xf>
    <xf numFmtId="0" fontId="36" fillId="20" borderId="64" xfId="7" applyFont="1" applyFill="1" applyBorder="1" applyAlignment="1" applyProtection="1">
      <alignment horizontal="center" vertical="center" wrapText="1"/>
      <protection locked="0"/>
    </xf>
    <xf numFmtId="0" fontId="7" fillId="13" borderId="5" xfId="2" applyFont="1" applyFill="1" applyBorder="1" applyAlignment="1">
      <alignment horizontal="center" vertical="center"/>
    </xf>
    <xf numFmtId="0" fontId="7" fillId="13" borderId="5" xfId="2" applyFont="1" applyFill="1" applyBorder="1" applyAlignment="1">
      <alignment horizontal="left" vertical="center"/>
    </xf>
    <xf numFmtId="3" fontId="7" fillId="13" borderId="5" xfId="2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horizontal="center" vertical="center"/>
    </xf>
    <xf numFmtId="3" fontId="7" fillId="0" borderId="5" xfId="2" applyNumberFormat="1" applyFont="1" applyBorder="1" applyAlignment="1">
      <alignment vertical="center"/>
    </xf>
    <xf numFmtId="3" fontId="7" fillId="0" borderId="5" xfId="7" applyNumberFormat="1" applyFont="1" applyBorder="1" applyAlignment="1">
      <alignment vertical="center" wrapText="1"/>
    </xf>
    <xf numFmtId="0" fontId="51" fillId="0" borderId="5" xfId="7" applyFont="1" applyBorder="1" applyAlignment="1">
      <alignment horizontal="center" vertical="center"/>
    </xf>
    <xf numFmtId="0" fontId="51" fillId="0" borderId="5" xfId="11" applyFont="1" applyBorder="1" applyAlignment="1">
      <alignment vertical="center" wrapText="1"/>
    </xf>
    <xf numFmtId="0" fontId="51" fillId="0" borderId="5" xfId="7" applyFont="1" applyBorder="1" applyAlignment="1">
      <alignment vertical="center"/>
    </xf>
    <xf numFmtId="3" fontId="51" fillId="0" borderId="5" xfId="7" applyNumberFormat="1" applyFont="1" applyBorder="1" applyAlignment="1">
      <alignment vertical="center"/>
    </xf>
    <xf numFmtId="0" fontId="51" fillId="0" borderId="0" xfId="7" applyFont="1" applyAlignment="1">
      <alignment vertical="center"/>
    </xf>
    <xf numFmtId="3" fontId="20" fillId="0" borderId="5" xfId="7" applyNumberFormat="1" applyFont="1" applyBorder="1" applyAlignment="1">
      <alignment horizontal="right" vertical="center" wrapText="1"/>
    </xf>
    <xf numFmtId="3" fontId="49" fillId="0" borderId="5" xfId="7" applyNumberFormat="1" applyFont="1" applyFill="1" applyBorder="1" applyAlignment="1">
      <alignment vertical="center" wrapText="1"/>
    </xf>
    <xf numFmtId="3" fontId="51" fillId="0" borderId="5" xfId="11" applyNumberFormat="1" applyFont="1" applyFill="1" applyBorder="1" applyAlignment="1">
      <alignment vertical="center"/>
    </xf>
    <xf numFmtId="3" fontId="51" fillId="0" borderId="30" xfId="11" applyNumberFormat="1" applyFont="1" applyFill="1" applyBorder="1" applyAlignment="1">
      <alignment vertical="center"/>
    </xf>
    <xf numFmtId="0" fontId="10" fillId="0" borderId="17" xfId="7" applyFont="1" applyFill="1" applyBorder="1" applyAlignment="1" applyProtection="1">
      <alignment horizontal="center" vertical="center"/>
    </xf>
    <xf numFmtId="3" fontId="10" fillId="0" borderId="18" xfId="7" applyNumberFormat="1" applyFont="1" applyFill="1" applyBorder="1" applyAlignment="1" applyProtection="1">
      <alignment horizontal="center" vertical="center"/>
    </xf>
    <xf numFmtId="0" fontId="10" fillId="0" borderId="18" xfId="7" applyNumberFormat="1" applyFont="1" applyFill="1" applyBorder="1" applyAlignment="1" applyProtection="1">
      <alignment horizontal="center" vertical="center"/>
    </xf>
    <xf numFmtId="4" fontId="7" fillId="2" borderId="5" xfId="9" applyNumberFormat="1" applyFont="1" applyFill="1" applyBorder="1" applyAlignment="1">
      <alignment horizontal="right"/>
    </xf>
    <xf numFmtId="0" fontId="53" fillId="21" borderId="0" xfId="26" applyFont="1" applyFill="1" applyAlignment="1">
      <alignment horizontal="left" vertical="top" wrapText="1"/>
    </xf>
    <xf numFmtId="0" fontId="53" fillId="21" borderId="65" xfId="26" applyFont="1" applyFill="1" applyBorder="1" applyAlignment="1">
      <alignment horizontal="center" vertical="center" wrapText="1"/>
    </xf>
    <xf numFmtId="0" fontId="53" fillId="21" borderId="65" xfId="26" applyFont="1" applyFill="1" applyBorder="1" applyAlignment="1">
      <alignment horizontal="left" vertical="center" wrapText="1"/>
    </xf>
    <xf numFmtId="39" fontId="53" fillId="21" borderId="65" xfId="26" applyNumberFormat="1" applyFont="1" applyFill="1" applyBorder="1" applyAlignment="1">
      <alignment horizontal="right" vertical="center" wrapText="1"/>
    </xf>
    <xf numFmtId="0" fontId="54" fillId="12" borderId="65" xfId="26" applyFont="1" applyFill="1" applyBorder="1" applyAlignment="1">
      <alignment horizontal="center" vertical="center" wrapText="1"/>
    </xf>
    <xf numFmtId="0" fontId="54" fillId="12" borderId="65" xfId="26" applyFont="1" applyFill="1" applyBorder="1" applyAlignment="1">
      <alignment horizontal="left" vertical="center" wrapText="1"/>
    </xf>
    <xf numFmtId="39" fontId="54" fillId="12" borderId="65" xfId="26" applyNumberFormat="1" applyFont="1" applyFill="1" applyBorder="1" applyAlignment="1">
      <alignment horizontal="right" vertical="center" wrapText="1"/>
    </xf>
    <xf numFmtId="0" fontId="53" fillId="13" borderId="65" xfId="26" applyFont="1" applyFill="1" applyBorder="1" applyAlignment="1">
      <alignment horizontal="center" vertical="center" wrapText="1"/>
    </xf>
    <xf numFmtId="0" fontId="53" fillId="13" borderId="65" xfId="26" applyFont="1" applyFill="1" applyBorder="1" applyAlignment="1">
      <alignment horizontal="left" vertical="center" wrapText="1"/>
    </xf>
    <xf numFmtId="39" fontId="53" fillId="13" borderId="65" xfId="26" applyNumberFormat="1" applyFont="1" applyFill="1" applyBorder="1" applyAlignment="1">
      <alignment horizontal="right" vertical="center" wrapText="1"/>
    </xf>
    <xf numFmtId="39" fontId="54" fillId="4" borderId="65" xfId="26" applyNumberFormat="1" applyFont="1" applyFill="1" applyBorder="1" applyAlignment="1">
      <alignment horizontal="right" vertical="center" wrapText="1"/>
    </xf>
    <xf numFmtId="0" fontId="28" fillId="0" borderId="22" xfId="7" applyFont="1" applyFill="1" applyBorder="1" applyAlignment="1" applyProtection="1">
      <alignment horizontal="center" vertical="center"/>
    </xf>
    <xf numFmtId="3" fontId="15" fillId="0" borderId="0" xfId="9" applyNumberFormat="1" applyFont="1" applyAlignment="1">
      <alignment vertical="center"/>
    </xf>
    <xf numFmtId="3" fontId="36" fillId="6" borderId="18" xfId="7" applyNumberFormat="1" applyFont="1" applyFill="1" applyBorder="1" applyAlignment="1" applyProtection="1">
      <alignment horizontal="center" vertical="center"/>
    </xf>
    <xf numFmtId="0" fontId="36" fillId="6" borderId="18" xfId="7" applyNumberFormat="1" applyFont="1" applyFill="1" applyBorder="1" applyAlignment="1" applyProtection="1">
      <alignment horizontal="center" vertical="center"/>
    </xf>
    <xf numFmtId="0" fontId="52" fillId="6" borderId="8" xfId="0" applyFont="1" applyFill="1" applyBorder="1" applyAlignment="1">
      <alignment vertical="center" wrapText="1"/>
    </xf>
    <xf numFmtId="3" fontId="36" fillId="6" borderId="24" xfId="7" applyNumberFormat="1" applyFont="1" applyFill="1" applyBorder="1" applyAlignment="1" applyProtection="1">
      <alignment horizontal="right" vertical="center" wrapText="1"/>
    </xf>
    <xf numFmtId="0" fontId="52" fillId="6" borderId="0" xfId="0" applyFont="1" applyFill="1" applyAlignment="1">
      <alignment vertical="center" wrapText="1"/>
    </xf>
    <xf numFmtId="3" fontId="36" fillId="6" borderId="18" xfId="7" applyNumberFormat="1" applyFont="1" applyFill="1" applyBorder="1" applyAlignment="1" applyProtection="1">
      <alignment horizontal="right" vertical="center" wrapText="1"/>
    </xf>
    <xf numFmtId="0" fontId="36" fillId="6" borderId="18" xfId="7" applyFont="1" applyFill="1" applyBorder="1" applyAlignment="1" applyProtection="1">
      <alignment horizontal="left" vertical="center" wrapText="1"/>
      <protection locked="0"/>
    </xf>
    <xf numFmtId="0" fontId="36" fillId="6" borderId="17" xfId="7" applyFont="1" applyFill="1" applyBorder="1" applyAlignment="1" applyProtection="1">
      <alignment horizontal="center" vertical="center" wrapText="1"/>
    </xf>
    <xf numFmtId="0" fontId="36" fillId="6" borderId="24" xfId="7" applyFont="1" applyFill="1" applyBorder="1" applyAlignment="1" applyProtection="1">
      <alignment horizontal="left" vertical="center" wrapText="1"/>
    </xf>
    <xf numFmtId="0" fontId="36" fillId="6" borderId="62" xfId="7" applyFont="1" applyFill="1" applyBorder="1" applyAlignment="1" applyProtection="1">
      <alignment horizontal="center" vertical="center" wrapText="1"/>
    </xf>
    <xf numFmtId="0" fontId="52" fillId="6" borderId="62" xfId="0" applyFont="1" applyFill="1" applyBorder="1" applyAlignment="1">
      <alignment vertical="center" wrapText="1"/>
    </xf>
    <xf numFmtId="3" fontId="36" fillId="6" borderId="62" xfId="7" applyNumberFormat="1" applyFont="1" applyFill="1" applyBorder="1" applyAlignment="1" applyProtection="1">
      <alignment vertical="center" wrapText="1"/>
    </xf>
    <xf numFmtId="0" fontId="36" fillId="6" borderId="62" xfId="7" applyFont="1" applyFill="1" applyBorder="1" applyAlignment="1" applyProtection="1">
      <alignment vertical="center" wrapText="1"/>
    </xf>
    <xf numFmtId="0" fontId="40" fillId="6" borderId="62" xfId="7" applyFont="1" applyFill="1" applyBorder="1" applyAlignment="1" applyProtection="1">
      <alignment horizontal="center" vertical="center" wrapText="1"/>
    </xf>
    <xf numFmtId="0" fontId="55" fillId="0" borderId="5" xfId="9" applyFont="1" applyBorder="1" applyAlignment="1">
      <alignment horizontal="center" vertical="center"/>
    </xf>
    <xf numFmtId="0" fontId="11" fillId="0" borderId="0" xfId="7" applyFont="1" applyBorder="1" applyAlignment="1" applyProtection="1">
      <alignment horizontal="center"/>
    </xf>
    <xf numFmtId="0" fontId="12" fillId="2" borderId="10" xfId="7" applyFont="1" applyFill="1" applyBorder="1" applyAlignment="1" applyProtection="1">
      <alignment horizontal="center" vertical="center"/>
    </xf>
    <xf numFmtId="0" fontId="12" fillId="2" borderId="17" xfId="7" applyFont="1" applyFill="1" applyBorder="1" applyAlignment="1" applyProtection="1">
      <alignment horizontal="center" vertical="center"/>
    </xf>
    <xf numFmtId="0" fontId="12" fillId="2" borderId="11" xfId="7" applyFont="1" applyFill="1" applyBorder="1" applyAlignment="1" applyProtection="1">
      <alignment horizontal="center" vertical="center" wrapText="1"/>
    </xf>
    <xf numFmtId="0" fontId="12" fillId="2" borderId="18" xfId="7" applyFont="1" applyFill="1" applyBorder="1" applyAlignment="1" applyProtection="1">
      <alignment horizontal="center" vertical="center" wrapText="1"/>
    </xf>
    <xf numFmtId="0" fontId="12" fillId="8" borderId="11" xfId="7" applyFont="1" applyFill="1" applyBorder="1" applyAlignment="1" applyProtection="1">
      <alignment horizontal="center" vertical="center" wrapText="1"/>
    </xf>
    <xf numFmtId="0" fontId="12" fillId="8" borderId="18" xfId="7" applyFont="1" applyFill="1" applyBorder="1" applyAlignment="1" applyProtection="1">
      <alignment horizontal="center" vertical="center" wrapText="1"/>
    </xf>
    <xf numFmtId="0" fontId="12" fillId="8" borderId="12" xfId="7" applyFont="1" applyFill="1" applyBorder="1" applyAlignment="1" applyProtection="1">
      <alignment horizontal="center" vertical="center" wrapText="1"/>
    </xf>
    <xf numFmtId="0" fontId="12" fillId="8" borderId="19" xfId="7" applyFont="1" applyFill="1" applyBorder="1" applyAlignment="1" applyProtection="1">
      <alignment horizontal="center" vertical="center" wrapText="1"/>
    </xf>
    <xf numFmtId="0" fontId="12" fillId="8" borderId="13" xfId="7" applyFont="1" applyFill="1" applyBorder="1" applyAlignment="1" applyProtection="1">
      <alignment horizontal="center" vertical="center" wrapText="1"/>
    </xf>
    <xf numFmtId="0" fontId="12" fillId="8" borderId="14" xfId="7" applyFont="1" applyFill="1" applyBorder="1" applyAlignment="1" applyProtection="1">
      <alignment horizontal="center" vertical="center" wrapText="1"/>
    </xf>
    <xf numFmtId="0" fontId="12" fillId="8" borderId="15" xfId="7" applyFont="1" applyFill="1" applyBorder="1" applyAlignment="1" applyProtection="1">
      <alignment horizontal="center" vertical="center" wrapText="1"/>
    </xf>
    <xf numFmtId="0" fontId="12" fillId="8" borderId="20" xfId="7" applyFont="1" applyFill="1" applyBorder="1" applyAlignment="1" applyProtection="1">
      <alignment horizontal="center" vertical="center" wrapText="1"/>
    </xf>
    <xf numFmtId="0" fontId="12" fillId="2" borderId="31" xfId="7" applyFont="1" applyFill="1" applyBorder="1" applyAlignment="1" applyProtection="1">
      <alignment horizontal="center" vertical="center" wrapText="1"/>
    </xf>
    <xf numFmtId="0" fontId="12" fillId="2" borderId="32" xfId="7" applyFont="1" applyFill="1" applyBorder="1" applyAlignment="1" applyProtection="1">
      <alignment horizontal="center" vertical="center" wrapText="1"/>
    </xf>
    <xf numFmtId="0" fontId="12" fillId="2" borderId="16" xfId="7" applyFont="1" applyFill="1" applyBorder="1" applyAlignment="1" applyProtection="1">
      <alignment horizontal="center" vertical="center" wrapText="1"/>
    </xf>
    <xf numFmtId="0" fontId="36" fillId="2" borderId="16" xfId="7" applyFont="1" applyFill="1" applyBorder="1" applyAlignment="1" applyProtection="1">
      <alignment horizontal="center" vertical="center" wrapText="1"/>
      <protection locked="0"/>
    </xf>
    <xf numFmtId="0" fontId="36" fillId="2" borderId="21" xfId="7" applyFont="1" applyFill="1" applyBorder="1" applyAlignment="1" applyProtection="1">
      <alignment horizontal="center" vertical="center" wrapText="1"/>
      <protection locked="0"/>
    </xf>
    <xf numFmtId="0" fontId="19" fillId="9" borderId="17" xfId="7" applyFont="1" applyFill="1" applyBorder="1" applyAlignment="1" applyProtection="1">
      <alignment horizontal="center" vertical="center"/>
    </xf>
    <xf numFmtId="0" fontId="19" fillId="9" borderId="18" xfId="7" applyFont="1" applyFill="1" applyBorder="1" applyAlignment="1" applyProtection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</xf>
    <xf numFmtId="0" fontId="19" fillId="9" borderId="29" xfId="7" applyFont="1" applyFill="1" applyBorder="1" applyAlignment="1" applyProtection="1">
      <alignment horizontal="center" vertical="center" wrapText="1"/>
    </xf>
    <xf numFmtId="0" fontId="19" fillId="9" borderId="21" xfId="7" applyFont="1" applyFill="1" applyBorder="1" applyAlignment="1" applyProtection="1">
      <alignment horizontal="center" vertical="center" wrapText="1"/>
    </xf>
    <xf numFmtId="0" fontId="19" fillId="9" borderId="39" xfId="7" applyFont="1" applyFill="1" applyBorder="1" applyAlignment="1" applyProtection="1">
      <alignment horizontal="center" vertical="center"/>
    </xf>
    <xf numFmtId="0" fontId="19" fillId="9" borderId="40" xfId="7" applyFont="1" applyFill="1" applyBorder="1" applyAlignment="1" applyProtection="1">
      <alignment horizontal="center" vertical="center"/>
    </xf>
    <xf numFmtId="0" fontId="19" fillId="9" borderId="24" xfId="7" applyFont="1" applyFill="1" applyBorder="1" applyAlignment="1" applyProtection="1">
      <alignment horizontal="center" vertical="center"/>
    </xf>
    <xf numFmtId="0" fontId="19" fillId="9" borderId="31" xfId="7" applyFont="1" applyFill="1" applyBorder="1" applyAlignment="1" applyProtection="1">
      <alignment horizontal="center" vertical="center"/>
    </xf>
    <xf numFmtId="0" fontId="19" fillId="9" borderId="32" xfId="7" applyFont="1" applyFill="1" applyBorder="1" applyAlignment="1" applyProtection="1">
      <alignment horizontal="center" vertical="center"/>
    </xf>
    <xf numFmtId="0" fontId="19" fillId="9" borderId="16" xfId="7" applyFont="1" applyFill="1" applyBorder="1" applyAlignment="1" applyProtection="1">
      <alignment horizontal="center" vertical="center"/>
    </xf>
    <xf numFmtId="0" fontId="12" fillId="2" borderId="33" xfId="7" applyFont="1" applyFill="1" applyBorder="1" applyAlignment="1" applyProtection="1">
      <alignment horizontal="center" vertical="center" wrapText="1"/>
    </xf>
    <xf numFmtId="0" fontId="12" fillId="2" borderId="34" xfId="7" applyFont="1" applyFill="1" applyBorder="1" applyAlignment="1" applyProtection="1">
      <alignment horizontal="center" vertical="center" wrapText="1"/>
    </xf>
    <xf numFmtId="167" fontId="11" fillId="11" borderId="43" xfId="8" applyNumberFormat="1" applyFont="1" applyFill="1" applyBorder="1" applyAlignment="1" applyProtection="1">
      <alignment horizontal="center" vertical="center" wrapText="1"/>
    </xf>
    <xf numFmtId="167" fontId="11" fillId="11" borderId="44" xfId="8" applyNumberFormat="1" applyFont="1" applyFill="1" applyBorder="1" applyAlignment="1" applyProtection="1">
      <alignment horizontal="center" vertical="center" wrapText="1"/>
    </xf>
    <xf numFmtId="167" fontId="11" fillId="11" borderId="45" xfId="8" applyNumberFormat="1" applyFont="1" applyFill="1" applyBorder="1" applyAlignment="1" applyProtection="1">
      <alignment horizontal="center" vertical="center" wrapText="1"/>
    </xf>
    <xf numFmtId="0" fontId="12" fillId="2" borderId="17" xfId="7" applyFont="1" applyFill="1" applyBorder="1" applyAlignment="1" applyProtection="1">
      <alignment horizontal="center" vertical="center" wrapText="1"/>
    </xf>
    <xf numFmtId="0" fontId="12" fillId="2" borderId="38" xfId="7" applyFont="1" applyFill="1" applyBorder="1" applyAlignment="1" applyProtection="1">
      <alignment horizontal="center" vertical="center" wrapText="1"/>
    </xf>
    <xf numFmtId="0" fontId="12" fillId="2" borderId="25" xfId="7" applyFont="1" applyFill="1" applyBorder="1" applyAlignment="1" applyProtection="1">
      <alignment horizontal="center" vertical="center" wrapText="1"/>
    </xf>
    <xf numFmtId="0" fontId="12" fillId="2" borderId="39" xfId="7" applyFont="1" applyFill="1" applyBorder="1" applyAlignment="1" applyProtection="1">
      <alignment horizontal="center" vertical="center" wrapText="1"/>
    </xf>
    <xf numFmtId="0" fontId="12" fillId="2" borderId="40" xfId="7" applyFont="1" applyFill="1" applyBorder="1" applyAlignment="1" applyProtection="1">
      <alignment horizontal="center" vertical="center" wrapText="1"/>
    </xf>
    <xf numFmtId="0" fontId="12" fillId="2" borderId="24" xfId="7" applyFont="1" applyFill="1" applyBorder="1" applyAlignment="1" applyProtection="1">
      <alignment horizontal="center" vertical="center" wrapText="1"/>
    </xf>
    <xf numFmtId="0" fontId="12" fillId="2" borderId="41" xfId="7" applyFont="1" applyFill="1" applyBorder="1" applyAlignment="1" applyProtection="1">
      <alignment horizontal="center" vertical="center" wrapText="1"/>
    </xf>
    <xf numFmtId="0" fontId="12" fillId="2" borderId="0" xfId="7" applyFont="1" applyFill="1" applyBorder="1" applyAlignment="1" applyProtection="1">
      <alignment horizontal="center" vertical="center" wrapText="1"/>
    </xf>
    <xf numFmtId="0" fontId="12" fillId="2" borderId="42" xfId="7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3" borderId="6" xfId="9" applyFont="1" applyFill="1" applyBorder="1" applyAlignment="1">
      <alignment horizontal="center" vertical="center"/>
    </xf>
    <xf numFmtId="0" fontId="12" fillId="3" borderId="2" xfId="9" applyFont="1" applyFill="1" applyBorder="1" applyAlignment="1">
      <alignment horizontal="center" vertical="center"/>
    </xf>
    <xf numFmtId="0" fontId="23" fillId="0" borderId="30" xfId="0" applyFont="1" applyBorder="1" applyAlignment="1">
      <alignment horizontal="left" vertical="center" wrapText="1" readingOrder="1"/>
    </xf>
    <xf numFmtId="0" fontId="48" fillId="0" borderId="48" xfId="9" applyFont="1" applyBorder="1" applyAlignment="1">
      <alignment horizontal="center" vertical="center"/>
    </xf>
    <xf numFmtId="0" fontId="48" fillId="0" borderId="3" xfId="9" applyFont="1" applyBorder="1" applyAlignment="1">
      <alignment horizontal="center" vertical="center"/>
    </xf>
    <xf numFmtId="0" fontId="48" fillId="0" borderId="4" xfId="9" applyFont="1" applyBorder="1" applyAlignment="1">
      <alignment horizontal="center" vertical="center"/>
    </xf>
    <xf numFmtId="0" fontId="48" fillId="0" borderId="5" xfId="9" applyFont="1" applyBorder="1" applyAlignment="1">
      <alignment horizontal="center" vertical="center"/>
    </xf>
    <xf numFmtId="0" fontId="8" fillId="18" borderId="5" xfId="9" applyFont="1" applyFill="1" applyBorder="1" applyAlignment="1">
      <alignment horizontal="center" vertical="center"/>
    </xf>
    <xf numFmtId="0" fontId="8" fillId="0" borderId="48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7" fillId="0" borderId="53" xfId="9" applyFont="1" applyBorder="1" applyAlignment="1">
      <alignment horizontal="center" vertical="center" wrapText="1"/>
    </xf>
    <xf numFmtId="0" fontId="7" fillId="0" borderId="54" xfId="9" applyFont="1" applyBorder="1" applyAlignment="1">
      <alignment horizontal="center" vertic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57" xfId="9" applyFont="1" applyBorder="1" applyAlignment="1">
      <alignment horizontal="center" vertical="center" wrapText="1"/>
    </xf>
    <xf numFmtId="0" fontId="7" fillId="0" borderId="58" xfId="9" applyFont="1" applyBorder="1" applyAlignment="1">
      <alignment horizontal="center" vertical="center" wrapText="1"/>
    </xf>
    <xf numFmtId="0" fontId="7" fillId="0" borderId="59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8" xfId="9" applyFont="1" applyBorder="1" applyAlignment="1">
      <alignment horizontal="left" vertical="center" wrapText="1"/>
    </xf>
    <xf numFmtId="0" fontId="7" fillId="0" borderId="3" xfId="9" applyFont="1" applyBorder="1" applyAlignment="1">
      <alignment horizontal="left" vertical="center" wrapText="1"/>
    </xf>
    <xf numFmtId="0" fontId="7" fillId="0" borderId="48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/>
    </xf>
    <xf numFmtId="0" fontId="8" fillId="0" borderId="53" xfId="9" applyFont="1" applyBorder="1" applyAlignment="1">
      <alignment horizontal="center" vertical="center" wrapText="1"/>
    </xf>
    <xf numFmtId="0" fontId="8" fillId="0" borderId="58" xfId="9" applyFont="1" applyBorder="1" applyAlignment="1">
      <alignment horizontal="center" vertical="center" wrapText="1"/>
    </xf>
    <xf numFmtId="0" fontId="8" fillId="0" borderId="48" xfId="9" applyFont="1" applyBorder="1" applyAlignment="1">
      <alignment horizontal="center" vertical="center" wrapText="1"/>
    </xf>
    <xf numFmtId="0" fontId="8" fillId="0" borderId="4" xfId="9" applyFont="1" applyBorder="1" applyAlignment="1">
      <alignment horizontal="center" vertical="center" wrapText="1"/>
    </xf>
    <xf numFmtId="0" fontId="19" fillId="0" borderId="0" xfId="9" applyFont="1" applyAlignment="1">
      <alignment horizontal="center" vertical="center" wrapText="1"/>
    </xf>
    <xf numFmtId="0" fontId="8" fillId="18" borderId="48" xfId="9" applyFont="1" applyFill="1" applyBorder="1" applyAlignment="1">
      <alignment horizontal="center" vertical="center" wrapText="1"/>
    </xf>
    <xf numFmtId="0" fontId="8" fillId="18" borderId="3" xfId="9" applyFont="1" applyFill="1" applyBorder="1" applyAlignment="1">
      <alignment horizontal="center" vertical="center" wrapText="1"/>
    </xf>
    <xf numFmtId="0" fontId="8" fillId="18" borderId="5" xfId="9" applyFont="1" applyFill="1" applyBorder="1" applyAlignment="1">
      <alignment horizontal="center" vertical="center" wrapText="1"/>
    </xf>
    <xf numFmtId="49" fontId="17" fillId="0" borderId="0" xfId="10" applyNumberFormat="1" applyFont="1" applyAlignment="1">
      <alignment horizontal="center" vertical="center" wrapText="1"/>
    </xf>
    <xf numFmtId="0" fontId="54" fillId="4" borderId="65" xfId="26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45" fillId="4" borderId="60" xfId="2" applyFont="1" applyFill="1" applyBorder="1" applyAlignment="1">
      <alignment horizontal="center" vertical="center" wrapText="1"/>
    </xf>
    <xf numFmtId="0" fontId="45" fillId="4" borderId="49" xfId="2" applyFont="1" applyFill="1" applyBorder="1" applyAlignment="1">
      <alignment horizontal="center" vertical="center" wrapText="1"/>
    </xf>
    <xf numFmtId="0" fontId="45" fillId="4" borderId="61" xfId="2" applyFont="1" applyFill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0" fontId="45" fillId="14" borderId="6" xfId="11" applyFont="1" applyFill="1" applyBorder="1" applyAlignment="1">
      <alignment horizontal="center" vertical="center" wrapText="1"/>
    </xf>
    <xf numFmtId="0" fontId="45" fillId="14" borderId="49" xfId="11" applyFont="1" applyFill="1" applyBorder="1" applyAlignment="1">
      <alignment horizontal="center" vertical="center" wrapText="1"/>
    </xf>
    <xf numFmtId="0" fontId="45" fillId="14" borderId="2" xfId="11" applyFont="1" applyFill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8" fillId="2" borderId="5" xfId="7" applyFont="1" applyFill="1" applyBorder="1" applyAlignment="1">
      <alignment horizontal="center" vertical="center"/>
    </xf>
    <xf numFmtId="0" fontId="8" fillId="13" borderId="5" xfId="7" applyFont="1" applyFill="1" applyBorder="1" applyAlignment="1">
      <alignment horizontal="center" vertical="center" wrapText="1"/>
    </xf>
    <xf numFmtId="44" fontId="8" fillId="2" borderId="5" xfId="12" applyFont="1" applyFill="1" applyBorder="1" applyAlignment="1">
      <alignment horizontal="center" vertical="center"/>
    </xf>
    <xf numFmtId="44" fontId="11" fillId="17" borderId="5" xfId="12" applyFont="1" applyFill="1" applyBorder="1" applyAlignment="1">
      <alignment horizontal="center"/>
    </xf>
  </cellXfs>
  <cellStyles count="27">
    <cellStyle name="Normalny" xfId="0" builtinId="0"/>
    <cellStyle name="Normalny 10" xfId="3" xr:uid="{00000000-0005-0000-0000-000001000000}"/>
    <cellStyle name="Normalny 11" xfId="20" xr:uid="{00000000-0005-0000-0000-000002000000}"/>
    <cellStyle name="Normalny 12" xfId="21" xr:uid="{00000000-0005-0000-0000-000003000000}"/>
    <cellStyle name="Normalny 12 2" xfId="26" xr:uid="{00000000-0005-0000-0000-000004000000}"/>
    <cellStyle name="Normalny 13" xfId="24" xr:uid="{00000000-0005-0000-0000-000005000000}"/>
    <cellStyle name="Normalny 13 2" xfId="23" xr:uid="{00000000-0005-0000-0000-000006000000}"/>
    <cellStyle name="Normalny 2" xfId="1" xr:uid="{00000000-0005-0000-0000-000007000000}"/>
    <cellStyle name="Normalny 2 2" xfId="22" xr:uid="{00000000-0005-0000-0000-000008000000}"/>
    <cellStyle name="Normalny 2 2 2" xfId="7" xr:uid="{00000000-0005-0000-0000-000009000000}"/>
    <cellStyle name="Normalny 2 2 3" xfId="25" xr:uid="{00000000-0005-0000-0000-00000A000000}"/>
    <cellStyle name="Normalny 2 3" xfId="9" xr:uid="{00000000-0005-0000-0000-00000B000000}"/>
    <cellStyle name="Normalny 2 4" xfId="16" xr:uid="{00000000-0005-0000-0000-00000C000000}"/>
    <cellStyle name="Normalny 3" xfId="13" xr:uid="{00000000-0005-0000-0000-00000D000000}"/>
    <cellStyle name="Normalny 3 2" xfId="14" xr:uid="{00000000-0005-0000-0000-00000E000000}"/>
    <cellStyle name="Normalny 4" xfId="15" xr:uid="{00000000-0005-0000-0000-00000F000000}"/>
    <cellStyle name="Normalny 5" xfId="17" xr:uid="{00000000-0005-0000-0000-000010000000}"/>
    <cellStyle name="Normalny 6" xfId="2" xr:uid="{00000000-0005-0000-0000-000011000000}"/>
    <cellStyle name="Normalny 6 2" xfId="11" xr:uid="{00000000-0005-0000-0000-000012000000}"/>
    <cellStyle name="Normalny 6 3" xfId="10" xr:uid="{00000000-0005-0000-0000-000013000000}"/>
    <cellStyle name="Normalny 7" xfId="18" xr:uid="{00000000-0005-0000-0000-000014000000}"/>
    <cellStyle name="Normalny 7 2" xfId="5" xr:uid="{00000000-0005-0000-0000-000015000000}"/>
    <cellStyle name="Normalny 8" xfId="19" xr:uid="{00000000-0005-0000-0000-000016000000}"/>
    <cellStyle name="Normalny 8 2" xfId="4" xr:uid="{00000000-0005-0000-0000-000017000000}"/>
    <cellStyle name="Normalny 9" xfId="6" xr:uid="{00000000-0005-0000-0000-000018000000}"/>
    <cellStyle name="Walutowy 3 2 2" xfId="8" xr:uid="{00000000-0005-0000-0000-000019000000}"/>
    <cellStyle name="Walutowy 3 3" xfId="12" xr:uid="{00000000-0005-0000-0000-00001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Q76"/>
  <sheetViews>
    <sheetView topLeftCell="A33" zoomScale="93" zoomScaleNormal="93" workbookViewId="0">
      <selection activeCell="A33" sqref="A1:XFD1048576"/>
    </sheetView>
  </sheetViews>
  <sheetFormatPr defaultColWidth="11.6640625" defaultRowHeight="12.75"/>
  <cols>
    <col min="1" max="1" width="5.6640625" style="39" customWidth="1"/>
    <col min="2" max="2" width="6.6640625" style="39" customWidth="1"/>
    <col min="3" max="3" width="9.33203125" style="40" customWidth="1"/>
    <col min="4" max="4" width="7.33203125" style="40" customWidth="1"/>
    <col min="5" max="5" width="81.1640625" style="41" customWidth="1"/>
    <col min="6" max="8" width="14.33203125" style="41" customWidth="1"/>
    <col min="9" max="9" width="12.5" style="41" customWidth="1"/>
    <col min="10" max="10" width="16.5" style="41" customWidth="1"/>
    <col min="11" max="11" width="29" style="42" customWidth="1"/>
    <col min="12" max="12" width="6.83203125" style="194" hidden="1" customWidth="1"/>
    <col min="13" max="13" width="15.5" style="208" bestFit="1" customWidth="1"/>
    <col min="14" max="14" width="13" style="209" bestFit="1" customWidth="1"/>
    <col min="15" max="15" width="17.1640625" style="209" customWidth="1"/>
    <col min="16" max="16" width="11.6640625" style="209"/>
    <col min="17" max="17" width="11.6640625" style="210"/>
    <col min="18" max="16384" width="11.6640625" style="41"/>
  </cols>
  <sheetData>
    <row r="1" spans="1:17" ht="12" customHeight="1"/>
    <row r="2" spans="1:17" ht="15.75" customHeight="1">
      <c r="A2" s="494" t="s">
        <v>135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</row>
    <row r="3" spans="1:17" ht="15" customHeight="1" thickBot="1">
      <c r="A3" s="44"/>
      <c r="B3" s="44"/>
      <c r="C3" s="45"/>
      <c r="D3" s="45"/>
      <c r="E3" s="46"/>
      <c r="F3" s="46"/>
      <c r="G3" s="46"/>
      <c r="H3" s="46"/>
      <c r="I3" s="46"/>
      <c r="J3" s="46"/>
      <c r="K3" s="47"/>
    </row>
    <row r="4" spans="1:17" ht="19.5" customHeight="1" thickBot="1">
      <c r="A4" s="495" t="s">
        <v>1</v>
      </c>
      <c r="B4" s="497" t="s">
        <v>0</v>
      </c>
      <c r="C4" s="499" t="s">
        <v>48</v>
      </c>
      <c r="D4" s="501" t="s">
        <v>31</v>
      </c>
      <c r="E4" s="499" t="s">
        <v>32</v>
      </c>
      <c r="F4" s="499" t="s">
        <v>33</v>
      </c>
      <c r="G4" s="503" t="s">
        <v>34</v>
      </c>
      <c r="H4" s="504"/>
      <c r="I4" s="504"/>
      <c r="J4" s="504"/>
      <c r="K4" s="505" t="s">
        <v>49</v>
      </c>
      <c r="L4" s="510"/>
    </row>
    <row r="5" spans="1:17" ht="95.25" customHeight="1" thickBot="1">
      <c r="A5" s="496"/>
      <c r="B5" s="498"/>
      <c r="C5" s="500"/>
      <c r="D5" s="502"/>
      <c r="E5" s="500"/>
      <c r="F5" s="500"/>
      <c r="G5" s="48" t="s">
        <v>50</v>
      </c>
      <c r="H5" s="48" t="s">
        <v>51</v>
      </c>
      <c r="I5" s="48" t="s">
        <v>52</v>
      </c>
      <c r="J5" s="48" t="s">
        <v>53</v>
      </c>
      <c r="K5" s="506"/>
      <c r="L5" s="511"/>
    </row>
    <row r="6" spans="1:17" s="53" customFormat="1" ht="15" customHeight="1" thickBot="1">
      <c r="A6" s="477" t="s">
        <v>2</v>
      </c>
      <c r="B6" s="49" t="s">
        <v>3</v>
      </c>
      <c r="C6" s="49" t="s">
        <v>4</v>
      </c>
      <c r="D6" s="49" t="s">
        <v>5</v>
      </c>
      <c r="E6" s="50" t="s">
        <v>6</v>
      </c>
      <c r="F6" s="49" t="s">
        <v>39</v>
      </c>
      <c r="G6" s="49" t="s">
        <v>38</v>
      </c>
      <c r="H6" s="49" t="s">
        <v>54</v>
      </c>
      <c r="I6" s="49" t="s">
        <v>37</v>
      </c>
      <c r="J6" s="49" t="s">
        <v>55</v>
      </c>
      <c r="K6" s="51" t="s">
        <v>56</v>
      </c>
      <c r="L6" s="49" t="s">
        <v>77</v>
      </c>
      <c r="M6" s="52"/>
      <c r="N6" s="183"/>
      <c r="O6" s="183"/>
      <c r="P6" s="183"/>
    </row>
    <row r="7" spans="1:17" s="56" customFormat="1" ht="27.95" customHeight="1" thickBot="1">
      <c r="A7" s="512" t="s">
        <v>57</v>
      </c>
      <c r="B7" s="513"/>
      <c r="C7" s="513"/>
      <c r="D7" s="513"/>
      <c r="E7" s="513"/>
      <c r="F7" s="54">
        <f>SUM(G7:J7)</f>
        <v>11380709</v>
      </c>
      <c r="G7" s="54">
        <f>SUM(G8:G12)</f>
        <v>221539</v>
      </c>
      <c r="H7" s="54">
        <f>SUM(H8:H12)</f>
        <v>1500000</v>
      </c>
      <c r="I7" s="54">
        <f>SUM(I8:I12)</f>
        <v>0</v>
      </c>
      <c r="J7" s="54">
        <f>4000000+159170+5500000</f>
        <v>9659170</v>
      </c>
      <c r="K7" s="55"/>
      <c r="L7" s="195"/>
      <c r="M7" s="65"/>
      <c r="N7" s="184"/>
      <c r="O7" s="184"/>
      <c r="P7" s="184"/>
      <c r="Q7" s="66"/>
    </row>
    <row r="8" spans="1:17" s="66" customFormat="1" ht="36.75" customHeight="1" thickBot="1">
      <c r="A8" s="57" t="s">
        <v>2</v>
      </c>
      <c r="B8" s="58">
        <v>600</v>
      </c>
      <c r="C8" s="58">
        <v>60014</v>
      </c>
      <c r="D8" s="58">
        <v>6050</v>
      </c>
      <c r="E8" s="59" t="s">
        <v>58</v>
      </c>
      <c r="F8" s="60">
        <f>4000000+100000</f>
        <v>4100000</v>
      </c>
      <c r="G8" s="61">
        <v>100000</v>
      </c>
      <c r="H8" s="61"/>
      <c r="I8" s="62"/>
      <c r="J8" s="63" t="s">
        <v>59</v>
      </c>
      <c r="K8" s="64"/>
      <c r="L8" s="118"/>
      <c r="M8" s="65"/>
      <c r="N8" s="184"/>
      <c r="O8" s="184"/>
      <c r="P8" s="184"/>
    </row>
    <row r="9" spans="1:17" s="66" customFormat="1" ht="31.5" customHeight="1" thickBot="1">
      <c r="A9" s="67" t="s">
        <v>3</v>
      </c>
      <c r="B9" s="68">
        <v>600</v>
      </c>
      <c r="C9" s="68">
        <v>60014</v>
      </c>
      <c r="D9" s="68">
        <v>6050</v>
      </c>
      <c r="E9" s="69" t="s">
        <v>60</v>
      </c>
      <c r="F9" s="60">
        <f>SUM(G9:I9)</f>
        <v>80000</v>
      </c>
      <c r="G9" s="61">
        <f>80000</f>
        <v>80000</v>
      </c>
      <c r="H9" s="61"/>
      <c r="I9" s="62"/>
      <c r="J9" s="63"/>
      <c r="K9" s="64"/>
      <c r="L9" s="114" t="s">
        <v>61</v>
      </c>
      <c r="M9" s="77"/>
      <c r="N9" s="184"/>
      <c r="O9" s="184"/>
      <c r="P9" s="184"/>
    </row>
    <row r="10" spans="1:17" s="66" customFormat="1" ht="45" customHeight="1" thickBot="1">
      <c r="A10" s="57" t="s">
        <v>4</v>
      </c>
      <c r="B10" s="68">
        <v>600</v>
      </c>
      <c r="C10" s="68">
        <v>60014</v>
      </c>
      <c r="D10" s="68">
        <v>6050</v>
      </c>
      <c r="E10" s="222" t="s">
        <v>62</v>
      </c>
      <c r="F10" s="60">
        <f>G10+159170</f>
        <v>194709</v>
      </c>
      <c r="G10" s="61">
        <f>5000+30539</f>
        <v>35539</v>
      </c>
      <c r="H10" s="61"/>
      <c r="I10" s="62"/>
      <c r="J10" s="63" t="s">
        <v>63</v>
      </c>
      <c r="K10" s="223"/>
      <c r="L10" s="114" t="s">
        <v>61</v>
      </c>
      <c r="M10" s="83"/>
      <c r="N10" s="43"/>
      <c r="O10" s="184"/>
      <c r="P10" s="184"/>
    </row>
    <row r="11" spans="1:17" s="66" customFormat="1" ht="45" customHeight="1" thickBot="1">
      <c r="A11" s="67" t="s">
        <v>5</v>
      </c>
      <c r="B11" s="68">
        <v>600</v>
      </c>
      <c r="C11" s="68">
        <v>60014</v>
      </c>
      <c r="D11" s="68">
        <v>6050</v>
      </c>
      <c r="E11" s="224" t="s">
        <v>64</v>
      </c>
      <c r="F11" s="70">
        <f>5500000+G11</f>
        <v>5506000</v>
      </c>
      <c r="G11" s="60">
        <v>6000</v>
      </c>
      <c r="H11" s="61"/>
      <c r="I11" s="62"/>
      <c r="J11" s="63" t="s">
        <v>131</v>
      </c>
      <c r="K11" s="223"/>
      <c r="L11" s="114" t="s">
        <v>61</v>
      </c>
      <c r="M11" s="83"/>
      <c r="N11" s="43"/>
      <c r="O11" s="184"/>
      <c r="P11" s="184"/>
    </row>
    <row r="12" spans="1:17" s="74" customFormat="1" ht="91.5" customHeight="1" thickBot="1">
      <c r="A12" s="57" t="s">
        <v>6</v>
      </c>
      <c r="B12" s="68">
        <v>600</v>
      </c>
      <c r="C12" s="68">
        <v>60014</v>
      </c>
      <c r="D12" s="68">
        <v>6300</v>
      </c>
      <c r="E12" s="71" t="s">
        <v>65</v>
      </c>
      <c r="F12" s="70">
        <f>SUM(G12:I12)</f>
        <v>1500000</v>
      </c>
      <c r="G12" s="70">
        <v>0</v>
      </c>
      <c r="H12" s="70">
        <v>1500000</v>
      </c>
      <c r="I12" s="72"/>
      <c r="J12" s="72"/>
      <c r="K12" s="73"/>
      <c r="L12" s="326" t="s">
        <v>61</v>
      </c>
      <c r="M12" s="80"/>
      <c r="N12" s="186"/>
      <c r="O12" s="186"/>
      <c r="P12" s="186"/>
      <c r="Q12" s="81"/>
    </row>
    <row r="13" spans="1:17" s="66" customFormat="1" ht="27.75" customHeight="1" thickBot="1">
      <c r="A13" s="514" t="s">
        <v>66</v>
      </c>
      <c r="B13" s="515"/>
      <c r="C13" s="515"/>
      <c r="D13" s="515"/>
      <c r="E13" s="516"/>
      <c r="F13" s="75">
        <f>SUM(G13:J13)</f>
        <v>246000</v>
      </c>
      <c r="G13" s="75">
        <f>SUM(G14:G14)</f>
        <v>49200</v>
      </c>
      <c r="H13" s="75">
        <f>SUM(H14:H14)</f>
        <v>0</v>
      </c>
      <c r="I13" s="75">
        <f>SUM(I14:I14)</f>
        <v>0</v>
      </c>
      <c r="J13" s="75">
        <f>150000+46800</f>
        <v>196800</v>
      </c>
      <c r="K13" s="55"/>
      <c r="L13" s="196"/>
      <c r="M13" s="65"/>
      <c r="N13" s="184"/>
      <c r="O13" s="184"/>
      <c r="P13" s="184"/>
    </row>
    <row r="14" spans="1:17" s="66" customFormat="1" ht="46.5" customHeight="1" thickBot="1">
      <c r="A14" s="67" t="s">
        <v>39</v>
      </c>
      <c r="B14" s="68">
        <v>600</v>
      </c>
      <c r="C14" s="68">
        <v>60014</v>
      </c>
      <c r="D14" s="68">
        <v>6050</v>
      </c>
      <c r="E14" s="225" t="s">
        <v>67</v>
      </c>
      <c r="F14" s="70">
        <f>196800+G14</f>
        <v>246000</v>
      </c>
      <c r="G14" s="61">
        <v>49200</v>
      </c>
      <c r="H14" s="61"/>
      <c r="I14" s="62"/>
      <c r="J14" s="63" t="s">
        <v>132</v>
      </c>
      <c r="K14" s="64"/>
      <c r="L14" s="114" t="s">
        <v>61</v>
      </c>
      <c r="M14" s="83"/>
      <c r="N14" s="43"/>
      <c r="O14" s="184"/>
      <c r="P14" s="184"/>
    </row>
    <row r="15" spans="1:17" s="78" customFormat="1" ht="27.95" customHeight="1" thickBot="1">
      <c r="A15" s="512" t="s">
        <v>68</v>
      </c>
      <c r="B15" s="513"/>
      <c r="C15" s="513"/>
      <c r="D15" s="513"/>
      <c r="E15" s="513"/>
      <c r="F15" s="54">
        <f>SUM(G15:J15)</f>
        <v>9273157</v>
      </c>
      <c r="G15" s="54">
        <f>SUM(G16:G21)</f>
        <v>1594389</v>
      </c>
      <c r="H15" s="54">
        <f t="shared" ref="H15:I15" si="0">SUM(H16:H21)</f>
        <v>1963081</v>
      </c>
      <c r="I15" s="54">
        <f t="shared" si="0"/>
        <v>0</v>
      </c>
      <c r="J15" s="54">
        <f>159090+3300000+1000000+7852323-3322+180000-7852323+1079919</f>
        <v>5715687</v>
      </c>
      <c r="K15" s="76"/>
      <c r="L15" s="197"/>
      <c r="M15" s="83"/>
      <c r="N15" s="43"/>
      <c r="O15" s="185"/>
      <c r="P15" s="185"/>
    </row>
    <row r="16" spans="1:17" s="81" customFormat="1" ht="42" customHeight="1" thickBot="1">
      <c r="A16" s="67" t="s">
        <v>38</v>
      </c>
      <c r="B16" s="68">
        <v>600</v>
      </c>
      <c r="C16" s="68">
        <v>60014</v>
      </c>
      <c r="D16" s="68">
        <v>6050</v>
      </c>
      <c r="E16" s="226" t="s">
        <v>69</v>
      </c>
      <c r="F16" s="70">
        <f>G16+155768</f>
        <v>194710</v>
      </c>
      <c r="G16" s="61">
        <f>20000+18942</f>
        <v>38942</v>
      </c>
      <c r="H16" s="61"/>
      <c r="I16" s="62"/>
      <c r="J16" s="63" t="s">
        <v>133</v>
      </c>
      <c r="K16" s="79"/>
      <c r="L16" s="114" t="s">
        <v>61</v>
      </c>
      <c r="M16" s="211"/>
      <c r="N16" s="185"/>
      <c r="O16" s="207"/>
    </row>
    <row r="17" spans="1:17" s="81" customFormat="1" ht="42.75" customHeight="1" thickBot="1">
      <c r="A17" s="67" t="s">
        <v>54</v>
      </c>
      <c r="B17" s="68">
        <v>600</v>
      </c>
      <c r="C17" s="68">
        <v>60014</v>
      </c>
      <c r="D17" s="68">
        <v>6050</v>
      </c>
      <c r="E17" s="69" t="s">
        <v>71</v>
      </c>
      <c r="F17" s="70">
        <f>3480000</f>
        <v>3480000</v>
      </c>
      <c r="G17" s="61"/>
      <c r="H17" s="61"/>
      <c r="I17" s="62"/>
      <c r="J17" s="63" t="s">
        <v>134</v>
      </c>
      <c r="K17" s="64"/>
      <c r="L17" s="114" t="s">
        <v>61</v>
      </c>
      <c r="M17" s="83"/>
      <c r="N17" s="43"/>
      <c r="O17" s="43"/>
      <c r="P17" s="186"/>
    </row>
    <row r="18" spans="1:17" s="81" customFormat="1" ht="42.75" customHeight="1" thickBot="1">
      <c r="A18" s="67" t="s">
        <v>37</v>
      </c>
      <c r="B18" s="68">
        <v>600</v>
      </c>
      <c r="C18" s="68">
        <v>60014</v>
      </c>
      <c r="D18" s="68">
        <v>6050</v>
      </c>
      <c r="E18" s="69" t="s">
        <v>72</v>
      </c>
      <c r="F18" s="70">
        <f>1000000</f>
        <v>1000000</v>
      </c>
      <c r="G18" s="61"/>
      <c r="H18" s="61"/>
      <c r="I18" s="62"/>
      <c r="J18" s="63" t="s">
        <v>73</v>
      </c>
      <c r="K18" s="64"/>
      <c r="L18" s="114" t="s">
        <v>61</v>
      </c>
      <c r="M18" s="80"/>
      <c r="N18" s="186"/>
      <c r="O18" s="186"/>
      <c r="P18" s="186"/>
    </row>
    <row r="19" spans="1:17" s="81" customFormat="1" ht="45.75" customHeight="1" thickBot="1">
      <c r="A19" s="106" t="s">
        <v>55</v>
      </c>
      <c r="B19" s="232">
        <v>600</v>
      </c>
      <c r="C19" s="232">
        <v>60014</v>
      </c>
      <c r="D19" s="232">
        <v>6050</v>
      </c>
      <c r="E19" s="227" t="s">
        <v>388</v>
      </c>
      <c r="F19" s="233">
        <v>0</v>
      </c>
      <c r="G19" s="228">
        <v>0</v>
      </c>
      <c r="H19" s="228">
        <v>0</v>
      </c>
      <c r="I19" s="229"/>
      <c r="J19" s="230" t="s">
        <v>269</v>
      </c>
      <c r="K19" s="231"/>
      <c r="L19" s="118"/>
      <c r="M19" s="80"/>
      <c r="N19" s="186"/>
      <c r="O19" s="186"/>
      <c r="P19" s="186"/>
    </row>
    <row r="20" spans="1:17" s="81" customFormat="1" ht="42.75" customHeight="1" thickBot="1">
      <c r="A20" s="106" t="s">
        <v>56</v>
      </c>
      <c r="B20" s="232">
        <v>600</v>
      </c>
      <c r="C20" s="232">
        <v>60014</v>
      </c>
      <c r="D20" s="232">
        <v>6050</v>
      </c>
      <c r="E20" s="227" t="s">
        <v>268</v>
      </c>
      <c r="F20" s="233">
        <f>SUM(G20:H20)+1079919</f>
        <v>4000000</v>
      </c>
      <c r="G20" s="228">
        <v>957000</v>
      </c>
      <c r="H20" s="228">
        <v>1963081</v>
      </c>
      <c r="I20" s="229"/>
      <c r="J20" s="230" t="s">
        <v>316</v>
      </c>
      <c r="K20" s="231" t="s">
        <v>387</v>
      </c>
      <c r="L20" s="114" t="s">
        <v>61</v>
      </c>
      <c r="M20" s="80"/>
      <c r="N20" s="186"/>
      <c r="O20" s="186"/>
      <c r="P20" s="186"/>
    </row>
    <row r="21" spans="1:17" s="81" customFormat="1" ht="46.5" customHeight="1" thickBot="1">
      <c r="A21" s="67" t="s">
        <v>77</v>
      </c>
      <c r="B21" s="68">
        <v>600</v>
      </c>
      <c r="C21" s="68">
        <v>60014</v>
      </c>
      <c r="D21" s="68">
        <v>6050</v>
      </c>
      <c r="E21" s="331" t="s">
        <v>265</v>
      </c>
      <c r="F21" s="70">
        <f>SUM(G21:I21)</f>
        <v>598447</v>
      </c>
      <c r="G21" s="61">
        <v>598447</v>
      </c>
      <c r="H21" s="61"/>
      <c r="I21" s="62"/>
      <c r="J21" s="63"/>
      <c r="K21" s="79"/>
      <c r="L21" s="114" t="s">
        <v>61</v>
      </c>
      <c r="M21" s="80"/>
      <c r="N21" s="186"/>
      <c r="O21" s="186"/>
      <c r="P21" s="186"/>
    </row>
    <row r="22" spans="1:17" s="84" customFormat="1" ht="27.95" customHeight="1" thickBot="1">
      <c r="A22" s="512" t="s">
        <v>74</v>
      </c>
      <c r="B22" s="513"/>
      <c r="C22" s="513"/>
      <c r="D22" s="513"/>
      <c r="E22" s="513"/>
      <c r="F22" s="54">
        <f>SUM(G22:J22)</f>
        <v>1412529</v>
      </c>
      <c r="G22" s="54">
        <f>SUM(G23:G27)</f>
        <v>423439</v>
      </c>
      <c r="H22" s="54">
        <f t="shared" ref="H22:I22" si="1">SUM(H23:H27)</f>
        <v>0</v>
      </c>
      <c r="I22" s="54">
        <f t="shared" si="1"/>
        <v>0</v>
      </c>
      <c r="J22" s="82">
        <f>159090+300000+199500+500+330000</f>
        <v>989090</v>
      </c>
      <c r="K22" s="55"/>
      <c r="L22" s="117"/>
      <c r="M22" s="83"/>
      <c r="N22" s="43"/>
      <c r="O22" s="43"/>
      <c r="P22" s="43"/>
    </row>
    <row r="23" spans="1:17" s="66" customFormat="1" ht="30.75" customHeight="1" thickBot="1">
      <c r="A23" s="462" t="s">
        <v>79</v>
      </c>
      <c r="B23" s="463">
        <v>600</v>
      </c>
      <c r="C23" s="464">
        <v>60014</v>
      </c>
      <c r="D23" s="464">
        <v>6050</v>
      </c>
      <c r="E23" s="87" t="s">
        <v>75</v>
      </c>
      <c r="F23" s="88">
        <f>G23+300000</f>
        <v>600000</v>
      </c>
      <c r="G23" s="61">
        <v>300000</v>
      </c>
      <c r="H23" s="61"/>
      <c r="I23" s="62"/>
      <c r="J23" s="63" t="s">
        <v>76</v>
      </c>
      <c r="K23" s="64"/>
      <c r="L23" s="440"/>
      <c r="M23" s="65"/>
      <c r="N23" s="184"/>
      <c r="O23" s="184"/>
      <c r="P23" s="184"/>
    </row>
    <row r="24" spans="1:17" s="66" customFormat="1" ht="45.75" customHeight="1" thickBot="1">
      <c r="A24" s="67" t="s">
        <v>82</v>
      </c>
      <c r="B24" s="85">
        <v>600</v>
      </c>
      <c r="C24" s="86">
        <v>60014</v>
      </c>
      <c r="D24" s="86">
        <v>6050</v>
      </c>
      <c r="E24" s="69" t="s">
        <v>78</v>
      </c>
      <c r="F24" s="88">
        <f>G24+159090</f>
        <v>194709</v>
      </c>
      <c r="G24" s="61">
        <f>20000+15619</f>
        <v>35619</v>
      </c>
      <c r="H24" s="61"/>
      <c r="I24" s="62"/>
      <c r="J24" s="63" t="s">
        <v>70</v>
      </c>
      <c r="K24" s="79"/>
      <c r="L24" s="114" t="s">
        <v>61</v>
      </c>
      <c r="M24" s="83"/>
      <c r="N24" s="43"/>
      <c r="O24" s="184"/>
      <c r="P24" s="184"/>
    </row>
    <row r="25" spans="1:17" s="66" customFormat="1" ht="43.5" customHeight="1" thickBot="1">
      <c r="A25" s="67" t="s">
        <v>84</v>
      </c>
      <c r="B25" s="85">
        <v>600</v>
      </c>
      <c r="C25" s="86">
        <v>60014</v>
      </c>
      <c r="D25" s="86">
        <v>6050</v>
      </c>
      <c r="E25" s="439" t="s">
        <v>80</v>
      </c>
      <c r="F25" s="88">
        <f>SUM(G25:I25)+200000</f>
        <v>287820</v>
      </c>
      <c r="G25" s="61">
        <f>49500+38820-500</f>
        <v>87820</v>
      </c>
      <c r="H25" s="61"/>
      <c r="I25" s="62"/>
      <c r="J25" s="63" t="s">
        <v>137</v>
      </c>
      <c r="K25" s="64"/>
      <c r="L25" s="442" t="s">
        <v>61</v>
      </c>
      <c r="M25" s="65"/>
      <c r="N25" s="184"/>
      <c r="O25" s="184"/>
      <c r="P25" s="184"/>
    </row>
    <row r="26" spans="1:17" s="66" customFormat="1" ht="57" customHeight="1" thickBot="1">
      <c r="A26" s="106" t="s">
        <v>88</v>
      </c>
      <c r="B26" s="479">
        <v>600</v>
      </c>
      <c r="C26" s="480">
        <v>60014</v>
      </c>
      <c r="D26" s="480">
        <v>6050</v>
      </c>
      <c r="E26" s="481" t="s">
        <v>314</v>
      </c>
      <c r="F26" s="482">
        <v>30000</v>
      </c>
      <c r="G26" s="228"/>
      <c r="H26" s="228"/>
      <c r="I26" s="229"/>
      <c r="J26" s="230" t="s">
        <v>315</v>
      </c>
      <c r="K26" s="231"/>
      <c r="L26" s="444"/>
      <c r="M26" s="65"/>
      <c r="N26" s="184"/>
      <c r="O26" s="184"/>
      <c r="P26" s="184"/>
    </row>
    <row r="27" spans="1:17" s="66" customFormat="1" ht="43.5" customHeight="1" thickBot="1">
      <c r="A27" s="106" t="s">
        <v>91</v>
      </c>
      <c r="B27" s="479">
        <v>600</v>
      </c>
      <c r="C27" s="480">
        <v>60014</v>
      </c>
      <c r="D27" s="480">
        <v>6050</v>
      </c>
      <c r="E27" s="483" t="s">
        <v>313</v>
      </c>
      <c r="F27" s="484">
        <v>300000</v>
      </c>
      <c r="G27" s="228"/>
      <c r="H27" s="228"/>
      <c r="I27" s="229"/>
      <c r="J27" s="230" t="s">
        <v>76</v>
      </c>
      <c r="K27" s="231"/>
      <c r="L27" s="445"/>
      <c r="M27" s="65"/>
      <c r="N27" s="184"/>
      <c r="O27" s="184"/>
      <c r="P27" s="184"/>
    </row>
    <row r="28" spans="1:17" s="90" customFormat="1" ht="27.95" customHeight="1" thickBot="1">
      <c r="A28" s="512" t="s">
        <v>81</v>
      </c>
      <c r="B28" s="513"/>
      <c r="C28" s="513"/>
      <c r="D28" s="513"/>
      <c r="E28" s="513"/>
      <c r="F28" s="54">
        <f>SUM(G28:J28)</f>
        <v>329090</v>
      </c>
      <c r="G28" s="54">
        <f>SUM(G29:G30)</f>
        <v>170000</v>
      </c>
      <c r="H28" s="54">
        <f>SUM(H29:H30)</f>
        <v>0</v>
      </c>
      <c r="I28" s="54">
        <f>SUM(I29:I30)</f>
        <v>0</v>
      </c>
      <c r="J28" s="82">
        <f>159090</f>
        <v>159090</v>
      </c>
      <c r="K28" s="55"/>
      <c r="L28" s="443"/>
      <c r="M28" s="77"/>
      <c r="N28" s="185"/>
      <c r="O28" s="185"/>
      <c r="P28" s="185"/>
      <c r="Q28" s="78"/>
    </row>
    <row r="29" spans="1:17" s="100" customFormat="1" ht="45.75" customHeight="1" thickBot="1">
      <c r="A29" s="91" t="s">
        <v>93</v>
      </c>
      <c r="B29" s="92">
        <v>600</v>
      </c>
      <c r="C29" s="92">
        <v>60014</v>
      </c>
      <c r="D29" s="92">
        <v>6050</v>
      </c>
      <c r="E29" s="93" t="s">
        <v>83</v>
      </c>
      <c r="F29" s="94">
        <f t="shared" ref="F29" si="2">G29</f>
        <v>150000</v>
      </c>
      <c r="G29" s="95">
        <v>150000</v>
      </c>
      <c r="H29" s="95"/>
      <c r="I29" s="96"/>
      <c r="J29" s="97"/>
      <c r="K29" s="98"/>
      <c r="L29" s="114" t="s">
        <v>61</v>
      </c>
      <c r="M29" s="99"/>
      <c r="N29" s="187"/>
      <c r="O29" s="187"/>
      <c r="P29" s="187"/>
    </row>
    <row r="30" spans="1:17" s="104" customFormat="1" ht="54.75" customHeight="1" thickBot="1">
      <c r="A30" s="67" t="s">
        <v>95</v>
      </c>
      <c r="B30" s="101">
        <v>600</v>
      </c>
      <c r="C30" s="101">
        <v>60014</v>
      </c>
      <c r="D30" s="101">
        <v>6050</v>
      </c>
      <c r="E30" s="102" t="s">
        <v>85</v>
      </c>
      <c r="F30" s="70">
        <f>G30+159090</f>
        <v>179090</v>
      </c>
      <c r="G30" s="61">
        <v>20000</v>
      </c>
      <c r="H30" s="61"/>
      <c r="I30" s="62"/>
      <c r="J30" s="63" t="s">
        <v>70</v>
      </c>
      <c r="K30" s="79"/>
      <c r="L30" s="114" t="s">
        <v>61</v>
      </c>
      <c r="M30" s="103"/>
      <c r="N30" s="188"/>
      <c r="O30" s="188"/>
      <c r="P30" s="188"/>
    </row>
    <row r="31" spans="1:17" s="74" customFormat="1" ht="27.95" hidden="1" customHeight="1" thickBot="1">
      <c r="A31" s="517" t="s">
        <v>86</v>
      </c>
      <c r="B31" s="518"/>
      <c r="C31" s="518"/>
      <c r="D31" s="518"/>
      <c r="E31" s="519"/>
      <c r="F31" s="82">
        <f>SUM(G31:J31)</f>
        <v>0</v>
      </c>
      <c r="G31" s="82">
        <f>SUM(G32:G32)</f>
        <v>0</v>
      </c>
      <c r="H31" s="75">
        <f>SUM(H32:H32)</f>
        <v>0</v>
      </c>
      <c r="I31" s="105">
        <f>SUM(I32:I32)</f>
        <v>0</v>
      </c>
      <c r="J31" s="82"/>
      <c r="K31" s="89"/>
      <c r="L31" s="118"/>
      <c r="M31" s="80"/>
      <c r="N31" s="186"/>
      <c r="O31" s="186"/>
      <c r="P31" s="186"/>
      <c r="Q31" s="81"/>
    </row>
    <row r="32" spans="1:17" s="115" customFormat="1" ht="34.5" hidden="1" customHeight="1" thickBot="1">
      <c r="A32" s="106"/>
      <c r="B32" s="107"/>
      <c r="C32" s="107"/>
      <c r="D32" s="107"/>
      <c r="E32" s="108"/>
      <c r="F32" s="109"/>
      <c r="G32" s="110"/>
      <c r="H32" s="110"/>
      <c r="I32" s="111"/>
      <c r="J32" s="112"/>
      <c r="K32" s="113"/>
      <c r="L32" s="114" t="s">
        <v>61</v>
      </c>
      <c r="M32" s="212"/>
      <c r="N32" s="194"/>
      <c r="O32" s="194"/>
      <c r="P32" s="194"/>
      <c r="Q32" s="213"/>
    </row>
    <row r="33" spans="1:17" s="74" customFormat="1" ht="27.95" customHeight="1" thickBot="1">
      <c r="A33" s="512" t="s">
        <v>87</v>
      </c>
      <c r="B33" s="513"/>
      <c r="C33" s="513"/>
      <c r="D33" s="513"/>
      <c r="E33" s="513"/>
      <c r="F33" s="54">
        <f>SUM(G33:J33)</f>
        <v>1491000</v>
      </c>
      <c r="G33" s="54">
        <f>SUM(G34:G34)</f>
        <v>1491000</v>
      </c>
      <c r="H33" s="54">
        <f>SUM(H34:H34)</f>
        <v>0</v>
      </c>
      <c r="I33" s="54">
        <f>SUM(I34:I34)</f>
        <v>0</v>
      </c>
      <c r="J33" s="82"/>
      <c r="K33" s="116"/>
      <c r="L33" s="117"/>
      <c r="M33" s="80"/>
      <c r="N33" s="186"/>
      <c r="O33" s="186"/>
      <c r="P33" s="186"/>
      <c r="Q33" s="81"/>
    </row>
    <row r="34" spans="1:17" s="66" customFormat="1" ht="42.75" customHeight="1" thickBot="1">
      <c r="A34" s="106" t="s">
        <v>98</v>
      </c>
      <c r="B34" s="107">
        <v>600</v>
      </c>
      <c r="C34" s="107">
        <v>60014</v>
      </c>
      <c r="D34" s="107">
        <v>6050</v>
      </c>
      <c r="E34" s="485" t="s">
        <v>89</v>
      </c>
      <c r="F34" s="233">
        <f>G34</f>
        <v>1491000</v>
      </c>
      <c r="G34" s="228">
        <f>1000000+491000</f>
        <v>1491000</v>
      </c>
      <c r="H34" s="228"/>
      <c r="I34" s="229"/>
      <c r="J34" s="230"/>
      <c r="K34" s="231"/>
      <c r="L34" s="440"/>
      <c r="M34" s="65"/>
      <c r="N34" s="184"/>
      <c r="O34" s="184"/>
      <c r="P34" s="184"/>
    </row>
    <row r="35" spans="1:17" s="81" customFormat="1" ht="27.95" customHeight="1" thickBot="1">
      <c r="A35" s="512" t="s">
        <v>90</v>
      </c>
      <c r="B35" s="513"/>
      <c r="C35" s="513"/>
      <c r="D35" s="513"/>
      <c r="E35" s="513"/>
      <c r="F35" s="54">
        <f>SUM(G35:J35)</f>
        <v>300000</v>
      </c>
      <c r="G35" s="54">
        <f>SUM(G36:G37)</f>
        <v>300000</v>
      </c>
      <c r="H35" s="54">
        <f>SUM(H36:H37)</f>
        <v>0</v>
      </c>
      <c r="I35" s="54">
        <f>SUM(I36:I37)</f>
        <v>0</v>
      </c>
      <c r="J35" s="82">
        <v>0</v>
      </c>
      <c r="K35" s="76"/>
      <c r="L35" s="117"/>
      <c r="M35" s="80"/>
      <c r="N35" s="186"/>
      <c r="O35" s="186"/>
      <c r="P35" s="186"/>
    </row>
    <row r="36" spans="1:17" s="81" customFormat="1" ht="39.75" customHeight="1" thickBot="1">
      <c r="A36" s="67" t="s">
        <v>101</v>
      </c>
      <c r="B36" s="68">
        <v>600</v>
      </c>
      <c r="C36" s="68">
        <v>60014</v>
      </c>
      <c r="D36" s="68">
        <v>6050</v>
      </c>
      <c r="E36" s="119" t="s">
        <v>92</v>
      </c>
      <c r="F36" s="70">
        <f>SUM(G36:I36)</f>
        <v>300000</v>
      </c>
      <c r="G36" s="61">
        <v>300000</v>
      </c>
      <c r="H36" s="61"/>
      <c r="I36" s="62"/>
      <c r="J36" s="63"/>
      <c r="K36" s="64"/>
      <c r="L36" s="114" t="s">
        <v>61</v>
      </c>
      <c r="M36" s="80"/>
      <c r="N36" s="186"/>
      <c r="O36" s="186"/>
      <c r="P36" s="186"/>
    </row>
    <row r="37" spans="1:17" s="81" customFormat="1" ht="45" customHeight="1" thickBot="1">
      <c r="A37" s="106" t="s">
        <v>103</v>
      </c>
      <c r="B37" s="232">
        <v>600</v>
      </c>
      <c r="C37" s="232">
        <v>60014</v>
      </c>
      <c r="D37" s="232">
        <v>6050</v>
      </c>
      <c r="E37" s="338" t="s">
        <v>94</v>
      </c>
      <c r="F37" s="233">
        <v>0</v>
      </c>
      <c r="G37" s="228">
        <v>0</v>
      </c>
      <c r="H37" s="228"/>
      <c r="I37" s="229"/>
      <c r="J37" s="230" t="s">
        <v>269</v>
      </c>
      <c r="K37" s="113"/>
      <c r="L37" s="339"/>
      <c r="M37" s="80"/>
      <c r="N37" s="186"/>
      <c r="O37" s="186"/>
      <c r="P37" s="186"/>
    </row>
    <row r="38" spans="1:17" s="123" customFormat="1" ht="27.95" customHeight="1" thickBot="1">
      <c r="A38" s="520"/>
      <c r="B38" s="521"/>
      <c r="C38" s="521"/>
      <c r="D38" s="521"/>
      <c r="E38" s="522"/>
      <c r="F38" s="120">
        <f>SUM(G38:J38)</f>
        <v>4303368</v>
      </c>
      <c r="G38" s="120">
        <f>SUM(G39:G40)</f>
        <v>503368</v>
      </c>
      <c r="H38" s="120">
        <f t="shared" ref="H38:I38" si="3">SUM(H39:H40)</f>
        <v>0</v>
      </c>
      <c r="I38" s="120">
        <f t="shared" si="3"/>
        <v>0</v>
      </c>
      <c r="J38" s="120">
        <v>3800000</v>
      </c>
      <c r="K38" s="121"/>
      <c r="L38" s="198"/>
      <c r="M38" s="122"/>
      <c r="N38" s="189"/>
      <c r="O38" s="189"/>
      <c r="P38" s="189"/>
    </row>
    <row r="39" spans="1:17" s="123" customFormat="1" ht="55.5" customHeight="1" thickBot="1">
      <c r="A39" s="57" t="s">
        <v>105</v>
      </c>
      <c r="B39" s="124">
        <v>600</v>
      </c>
      <c r="C39" s="124">
        <v>60014</v>
      </c>
      <c r="D39" s="124">
        <v>6050</v>
      </c>
      <c r="E39" s="193" t="s">
        <v>96</v>
      </c>
      <c r="F39" s="125">
        <f>G39+3800000</f>
        <v>4000000</v>
      </c>
      <c r="G39" s="125">
        <v>200000</v>
      </c>
      <c r="H39" s="125"/>
      <c r="I39" s="125"/>
      <c r="J39" s="126" t="s">
        <v>97</v>
      </c>
      <c r="K39" s="127"/>
      <c r="L39" s="114" t="s">
        <v>61</v>
      </c>
      <c r="M39" s="122"/>
      <c r="N39" s="189"/>
      <c r="O39" s="189"/>
      <c r="P39" s="189"/>
    </row>
    <row r="40" spans="1:17" s="74" customFormat="1" ht="30" customHeight="1" thickBot="1">
      <c r="A40" s="57" t="s">
        <v>108</v>
      </c>
      <c r="B40" s="124">
        <v>600</v>
      </c>
      <c r="C40" s="124">
        <v>60014</v>
      </c>
      <c r="D40" s="124">
        <v>6060</v>
      </c>
      <c r="E40" s="128" t="s">
        <v>99</v>
      </c>
      <c r="F40" s="125">
        <f>SUM(G40:I40)</f>
        <v>303368</v>
      </c>
      <c r="G40" s="125">
        <f>233368+70000</f>
        <v>303368</v>
      </c>
      <c r="H40" s="125"/>
      <c r="I40" s="129"/>
      <c r="J40" s="130"/>
      <c r="K40" s="131"/>
      <c r="L40" s="132"/>
      <c r="M40" s="80"/>
      <c r="N40" s="186"/>
      <c r="O40" s="186"/>
      <c r="P40" s="186"/>
      <c r="Q40" s="81"/>
    </row>
    <row r="41" spans="1:17" s="78" customFormat="1" ht="35.1" customHeight="1" thickBot="1">
      <c r="A41" s="523" t="s">
        <v>100</v>
      </c>
      <c r="B41" s="524"/>
      <c r="C41" s="524"/>
      <c r="D41" s="524"/>
      <c r="E41" s="524"/>
      <c r="F41" s="133">
        <f>SUM(F7,F13,F15,F22,F28,F31,F33,F35,F38)</f>
        <v>28735853</v>
      </c>
      <c r="G41" s="133">
        <f>SUM(G7,G13,G15,G22,G28,G31,G33,G35,G38)</f>
        <v>4752935</v>
      </c>
      <c r="H41" s="133">
        <f>SUM(H7,H13,H15,H22,H28,H31,H33,H35,H38)</f>
        <v>3463081</v>
      </c>
      <c r="I41" s="133">
        <f>SUM(I7,I13,I15,I22,I28,I31,I33,I35,I38)</f>
        <v>0</v>
      </c>
      <c r="J41" s="133">
        <f>SUM(J7,J13,J15,J22,J28,J31,J33,J35,J38)</f>
        <v>20519837</v>
      </c>
      <c r="K41" s="134"/>
      <c r="L41" s="199"/>
      <c r="M41" s="77"/>
      <c r="N41" s="190"/>
      <c r="O41" s="190"/>
      <c r="P41" s="185"/>
    </row>
    <row r="42" spans="1:17" s="104" customFormat="1" ht="37.5" customHeight="1" thickBot="1">
      <c r="A42" s="332" t="s">
        <v>111</v>
      </c>
      <c r="B42" s="333">
        <v>710</v>
      </c>
      <c r="C42" s="333">
        <v>71012</v>
      </c>
      <c r="D42" s="333">
        <v>6060</v>
      </c>
      <c r="E42" s="334" t="s">
        <v>262</v>
      </c>
      <c r="F42" s="335">
        <v>50000</v>
      </c>
      <c r="G42" s="335">
        <v>50000</v>
      </c>
      <c r="H42" s="335"/>
      <c r="I42" s="335"/>
      <c r="J42" s="335"/>
      <c r="K42" s="336"/>
      <c r="L42" s="199"/>
      <c r="M42" s="103"/>
      <c r="N42" s="324"/>
      <c r="O42" s="324"/>
      <c r="P42" s="188"/>
    </row>
    <row r="43" spans="1:17" s="78" customFormat="1" ht="35.1" customHeight="1" thickBot="1">
      <c r="A43" s="507" t="s">
        <v>263</v>
      </c>
      <c r="B43" s="508"/>
      <c r="C43" s="508"/>
      <c r="D43" s="508"/>
      <c r="E43" s="509"/>
      <c r="F43" s="133">
        <f>SUM(F42)</f>
        <v>50000</v>
      </c>
      <c r="G43" s="133">
        <f>SUM(G42)</f>
        <v>50000</v>
      </c>
      <c r="H43" s="133">
        <f t="shared" ref="H43:J43" si="4">SUM(H42)</f>
        <v>0</v>
      </c>
      <c r="I43" s="133">
        <f t="shared" si="4"/>
        <v>0</v>
      </c>
      <c r="J43" s="133">
        <f t="shared" si="4"/>
        <v>0</v>
      </c>
      <c r="K43" s="134"/>
      <c r="L43" s="199"/>
      <c r="M43" s="77"/>
      <c r="N43" s="190"/>
      <c r="O43" s="190"/>
      <c r="P43" s="185"/>
    </row>
    <row r="44" spans="1:17" s="81" customFormat="1" ht="45" customHeight="1" thickBot="1">
      <c r="A44" s="135" t="s">
        <v>113</v>
      </c>
      <c r="B44" s="68">
        <v>710</v>
      </c>
      <c r="C44" s="68">
        <v>71095</v>
      </c>
      <c r="D44" s="68">
        <v>6639</v>
      </c>
      <c r="E44" s="71" t="s">
        <v>44</v>
      </c>
      <c r="F44" s="70">
        <f>G44</f>
        <v>53618</v>
      </c>
      <c r="G44" s="70">
        <v>53618</v>
      </c>
      <c r="H44" s="70"/>
      <c r="I44" s="70"/>
      <c r="J44" s="70"/>
      <c r="K44" s="64"/>
      <c r="L44" s="327" t="s">
        <v>61</v>
      </c>
      <c r="M44" s="80"/>
      <c r="N44" s="186"/>
      <c r="O44" s="186"/>
      <c r="P44" s="186"/>
    </row>
    <row r="45" spans="1:17" s="78" customFormat="1" ht="35.1" customHeight="1" thickBot="1">
      <c r="A45" s="507" t="s">
        <v>102</v>
      </c>
      <c r="B45" s="508"/>
      <c r="C45" s="508"/>
      <c r="D45" s="508"/>
      <c r="E45" s="509"/>
      <c r="F45" s="136">
        <f>SUM(F44)</f>
        <v>53618</v>
      </c>
      <c r="G45" s="136">
        <f>SUM(G44)</f>
        <v>53618</v>
      </c>
      <c r="H45" s="136">
        <f t="shared" ref="H45:J45" si="5">SUM(H44)</f>
        <v>0</v>
      </c>
      <c r="I45" s="136">
        <f t="shared" si="5"/>
        <v>0</v>
      </c>
      <c r="J45" s="136">
        <f t="shared" si="5"/>
        <v>0</v>
      </c>
      <c r="K45" s="137"/>
      <c r="L45" s="200"/>
      <c r="M45" s="77"/>
      <c r="N45" s="185"/>
      <c r="O45" s="185"/>
      <c r="P45" s="185"/>
    </row>
    <row r="46" spans="1:17" s="66" customFormat="1" ht="57.75" customHeight="1" thickBot="1">
      <c r="A46" s="138" t="s">
        <v>115</v>
      </c>
      <c r="B46" s="139">
        <v>750</v>
      </c>
      <c r="C46" s="139">
        <v>75020</v>
      </c>
      <c r="D46" s="139">
        <v>6050</v>
      </c>
      <c r="E46" s="140" t="s">
        <v>104</v>
      </c>
      <c r="F46" s="141">
        <f t="shared" ref="F46:F47" si="6">SUM(G46:H46)</f>
        <v>240000</v>
      </c>
      <c r="G46" s="141">
        <v>240000</v>
      </c>
      <c r="H46" s="141"/>
      <c r="I46" s="142"/>
      <c r="J46" s="142"/>
      <c r="K46" s="143"/>
      <c r="L46" s="114" t="s">
        <v>61</v>
      </c>
      <c r="M46" s="65"/>
      <c r="N46" s="184"/>
      <c r="O46" s="184"/>
      <c r="P46" s="184"/>
    </row>
    <row r="47" spans="1:17" s="66" customFormat="1" ht="36.75" customHeight="1" thickBot="1">
      <c r="A47" s="135" t="s">
        <v>118</v>
      </c>
      <c r="B47" s="68">
        <v>750</v>
      </c>
      <c r="C47" s="68">
        <v>75020</v>
      </c>
      <c r="D47" s="68">
        <v>6060</v>
      </c>
      <c r="E47" s="71" t="s">
        <v>106</v>
      </c>
      <c r="F47" s="70">
        <f t="shared" si="6"/>
        <v>130000</v>
      </c>
      <c r="G47" s="70">
        <v>130000</v>
      </c>
      <c r="H47" s="70"/>
      <c r="I47" s="62"/>
      <c r="J47" s="62"/>
      <c r="K47" s="64"/>
      <c r="L47" s="144"/>
      <c r="M47" s="65"/>
      <c r="N47" s="184"/>
      <c r="O47" s="184"/>
      <c r="P47" s="184"/>
    </row>
    <row r="48" spans="1:17" s="104" customFormat="1" ht="35.25" customHeight="1" thickBot="1">
      <c r="A48" s="528" t="s">
        <v>107</v>
      </c>
      <c r="B48" s="498"/>
      <c r="C48" s="498"/>
      <c r="D48" s="498"/>
      <c r="E48" s="498"/>
      <c r="F48" s="145">
        <f t="shared" ref="F48:K48" si="7">SUM(F46:F47)</f>
        <v>370000</v>
      </c>
      <c r="G48" s="145">
        <f t="shared" si="7"/>
        <v>370000</v>
      </c>
      <c r="H48" s="145">
        <f t="shared" si="7"/>
        <v>0</v>
      </c>
      <c r="I48" s="145">
        <f t="shared" si="7"/>
        <v>0</v>
      </c>
      <c r="J48" s="145">
        <f t="shared" si="7"/>
        <v>0</v>
      </c>
      <c r="K48" s="146">
        <f t="shared" si="7"/>
        <v>0</v>
      </c>
      <c r="L48" s="201"/>
      <c r="M48" s="103"/>
      <c r="N48" s="188"/>
      <c r="O48" s="188"/>
      <c r="P48" s="188"/>
    </row>
    <row r="49" spans="1:17" s="104" customFormat="1" ht="39.75" customHeight="1" thickBot="1">
      <c r="A49" s="135" t="s">
        <v>120</v>
      </c>
      <c r="B49" s="68">
        <v>754</v>
      </c>
      <c r="C49" s="68">
        <v>75410</v>
      </c>
      <c r="D49" s="68">
        <v>6170</v>
      </c>
      <c r="E49" s="71" t="s">
        <v>267</v>
      </c>
      <c r="F49" s="70">
        <f>G49</f>
        <v>40000</v>
      </c>
      <c r="G49" s="70">
        <v>40000</v>
      </c>
      <c r="H49" s="70"/>
      <c r="I49" s="70"/>
      <c r="J49" s="70"/>
      <c r="K49" s="337"/>
      <c r="L49" s="201"/>
      <c r="M49" s="103"/>
      <c r="N49" s="188"/>
      <c r="O49" s="188"/>
      <c r="P49" s="188"/>
    </row>
    <row r="50" spans="1:17" s="104" customFormat="1" ht="35.25" customHeight="1" thickBot="1">
      <c r="A50" s="531" t="s">
        <v>260</v>
      </c>
      <c r="B50" s="532"/>
      <c r="C50" s="532"/>
      <c r="D50" s="532"/>
      <c r="E50" s="533"/>
      <c r="F50" s="145">
        <f>SUM(F49)</f>
        <v>40000</v>
      </c>
      <c r="G50" s="145">
        <f>SUM(G49)</f>
        <v>40000</v>
      </c>
      <c r="H50" s="145">
        <f t="shared" ref="H50:J50" si="8">SUM(H49)</f>
        <v>0</v>
      </c>
      <c r="I50" s="145">
        <f t="shared" si="8"/>
        <v>0</v>
      </c>
      <c r="J50" s="145">
        <f t="shared" si="8"/>
        <v>0</v>
      </c>
      <c r="K50" s="146"/>
      <c r="L50" s="201"/>
      <c r="M50" s="103"/>
      <c r="N50" s="188"/>
      <c r="O50" s="188"/>
      <c r="P50" s="188"/>
    </row>
    <row r="51" spans="1:17" s="148" customFormat="1" ht="34.5" customHeight="1" thickBot="1">
      <c r="A51" s="486" t="s">
        <v>261</v>
      </c>
      <c r="B51" s="232">
        <v>758</v>
      </c>
      <c r="C51" s="232">
        <v>75818</v>
      </c>
      <c r="D51" s="232">
        <v>6800</v>
      </c>
      <c r="E51" s="323" t="s">
        <v>109</v>
      </c>
      <c r="F51" s="233">
        <f>G51</f>
        <v>309000</v>
      </c>
      <c r="G51" s="233">
        <f>500000-191000</f>
        <v>309000</v>
      </c>
      <c r="H51" s="233"/>
      <c r="I51" s="229"/>
      <c r="J51" s="229"/>
      <c r="K51" s="231"/>
      <c r="L51" s="441"/>
      <c r="M51" s="147"/>
      <c r="N51" s="191"/>
      <c r="O51" s="191"/>
      <c r="P51" s="191"/>
    </row>
    <row r="52" spans="1:17" s="81" customFormat="1" ht="35.1" customHeight="1" thickBot="1">
      <c r="A52" s="529" t="s">
        <v>110</v>
      </c>
      <c r="B52" s="530"/>
      <c r="C52" s="530"/>
      <c r="D52" s="530"/>
      <c r="E52" s="530"/>
      <c r="F52" s="136">
        <f>SUM(F51)</f>
        <v>309000</v>
      </c>
      <c r="G52" s="136">
        <f>SUM(G51)</f>
        <v>309000</v>
      </c>
      <c r="H52" s="136">
        <f>SUM(H51)</f>
        <v>0</v>
      </c>
      <c r="I52" s="149"/>
      <c r="J52" s="149"/>
      <c r="K52" s="137"/>
      <c r="L52" s="200"/>
      <c r="M52" s="80"/>
      <c r="N52" s="186"/>
      <c r="O52" s="186"/>
      <c r="P52" s="186"/>
    </row>
    <row r="53" spans="1:17" s="66" customFormat="1" ht="45" customHeight="1" thickBot="1">
      <c r="A53" s="91" t="s">
        <v>264</v>
      </c>
      <c r="B53" s="68">
        <v>851</v>
      </c>
      <c r="C53" s="68">
        <v>85111</v>
      </c>
      <c r="D53" s="68">
        <v>6010</v>
      </c>
      <c r="E53" s="62" t="s">
        <v>112</v>
      </c>
      <c r="F53" s="70">
        <f>SUM(G53:H53)</f>
        <v>1395900</v>
      </c>
      <c r="G53" s="70">
        <v>0</v>
      </c>
      <c r="H53" s="70">
        <v>1395900</v>
      </c>
      <c r="I53" s="72"/>
      <c r="J53" s="72"/>
      <c r="K53" s="73"/>
      <c r="L53" s="202"/>
      <c r="M53" s="65"/>
      <c r="N53" s="184"/>
      <c r="O53" s="184"/>
      <c r="P53" s="184"/>
    </row>
    <row r="54" spans="1:17" s="84" customFormat="1" ht="54.75" customHeight="1" thickBot="1">
      <c r="A54" s="67" t="s">
        <v>266</v>
      </c>
      <c r="B54" s="68">
        <v>851</v>
      </c>
      <c r="C54" s="68">
        <v>85111</v>
      </c>
      <c r="D54" s="68">
        <v>6230</v>
      </c>
      <c r="E54" s="62" t="s">
        <v>139</v>
      </c>
      <c r="F54" s="70">
        <v>4295224</v>
      </c>
      <c r="G54" s="70"/>
      <c r="H54" s="70"/>
      <c r="I54" s="62"/>
      <c r="J54" s="63" t="s">
        <v>138</v>
      </c>
      <c r="K54" s="64"/>
      <c r="L54" s="114" t="s">
        <v>61</v>
      </c>
      <c r="M54" s="83"/>
      <c r="N54" s="43"/>
      <c r="O54" s="43"/>
      <c r="P54" s="43"/>
    </row>
    <row r="55" spans="1:17" s="150" customFormat="1" ht="35.1" customHeight="1" thickBot="1">
      <c r="A55" s="528" t="s">
        <v>114</v>
      </c>
      <c r="B55" s="498"/>
      <c r="C55" s="498"/>
      <c r="D55" s="498"/>
      <c r="E55" s="498"/>
      <c r="F55" s="145">
        <f>SUM(F53:F54)</f>
        <v>5691124</v>
      </c>
      <c r="G55" s="145">
        <f>SUM(G53:G54)</f>
        <v>0</v>
      </c>
      <c r="H55" s="145">
        <f>SUM(H53:H54)</f>
        <v>1395900</v>
      </c>
      <c r="I55" s="145">
        <f>SUM(I53:I54)</f>
        <v>0</v>
      </c>
      <c r="J55" s="145">
        <v>4295224</v>
      </c>
      <c r="K55" s="146"/>
      <c r="L55" s="203"/>
      <c r="M55" s="83"/>
      <c r="N55" s="214"/>
      <c r="O55" s="43"/>
      <c r="P55" s="43"/>
      <c r="Q55" s="84"/>
    </row>
    <row r="56" spans="1:17" s="151" customFormat="1" ht="42" customHeight="1" thickBot="1">
      <c r="A56" s="349" t="s">
        <v>319</v>
      </c>
      <c r="B56" s="232">
        <v>852</v>
      </c>
      <c r="C56" s="232">
        <v>85202</v>
      </c>
      <c r="D56" s="232">
        <v>6050</v>
      </c>
      <c r="E56" s="487" t="s">
        <v>116</v>
      </c>
      <c r="F56" s="233">
        <v>0</v>
      </c>
      <c r="G56" s="233"/>
      <c r="H56" s="233"/>
      <c r="I56" s="229"/>
      <c r="J56" s="230" t="s">
        <v>318</v>
      </c>
      <c r="K56" s="231"/>
      <c r="L56" s="328" t="s">
        <v>61</v>
      </c>
      <c r="M56" s="65"/>
      <c r="N56" s="184"/>
      <c r="O56" s="184"/>
      <c r="P56" s="184"/>
      <c r="Q56" s="66"/>
    </row>
    <row r="57" spans="1:17" s="151" customFormat="1" ht="42" customHeight="1" thickBot="1">
      <c r="A57" s="488" t="s">
        <v>320</v>
      </c>
      <c r="B57" s="232">
        <v>852</v>
      </c>
      <c r="C57" s="232">
        <v>85202</v>
      </c>
      <c r="D57" s="232">
        <v>6050</v>
      </c>
      <c r="E57" s="489" t="s">
        <v>272</v>
      </c>
      <c r="F57" s="490">
        <f>SUM(G57:I57)+2000000</f>
        <v>2923000</v>
      </c>
      <c r="G57" s="490">
        <v>923000</v>
      </c>
      <c r="H57" s="490"/>
      <c r="I57" s="491"/>
      <c r="J57" s="230" t="s">
        <v>317</v>
      </c>
      <c r="K57" s="492"/>
      <c r="L57" s="328" t="s">
        <v>61</v>
      </c>
      <c r="M57" s="65"/>
      <c r="N57" s="184"/>
      <c r="O57" s="184"/>
      <c r="P57" s="184"/>
      <c r="Q57" s="66"/>
    </row>
    <row r="58" spans="1:17" s="150" customFormat="1" ht="42" customHeight="1" thickBot="1">
      <c r="A58" s="531" t="s">
        <v>117</v>
      </c>
      <c r="B58" s="532"/>
      <c r="C58" s="532"/>
      <c r="D58" s="532"/>
      <c r="E58" s="533"/>
      <c r="F58" s="145">
        <f>SUM(F56:F57)</f>
        <v>2923000</v>
      </c>
      <c r="G58" s="145">
        <f t="shared" ref="G58:I58" si="9">SUM(G56:G57)</f>
        <v>923000</v>
      </c>
      <c r="H58" s="145">
        <f t="shared" si="9"/>
        <v>0</v>
      </c>
      <c r="I58" s="145">
        <f t="shared" si="9"/>
        <v>0</v>
      </c>
      <c r="J58" s="145">
        <v>2000000</v>
      </c>
      <c r="K58" s="152"/>
      <c r="L58" s="204"/>
      <c r="M58" s="83"/>
      <c r="N58" s="43"/>
      <c r="O58" s="43"/>
      <c r="P58" s="43"/>
      <c r="Q58" s="84"/>
    </row>
    <row r="59" spans="1:17" s="150" customFormat="1" ht="62.25" customHeight="1" thickBot="1">
      <c r="A59" s="349" t="s">
        <v>321</v>
      </c>
      <c r="B59" s="232">
        <v>853</v>
      </c>
      <c r="C59" s="232">
        <v>85311</v>
      </c>
      <c r="D59" s="232">
        <v>6230</v>
      </c>
      <c r="E59" s="323" t="s">
        <v>270</v>
      </c>
      <c r="F59" s="233">
        <f>SUM(G59:I59)</f>
        <v>15942</v>
      </c>
      <c r="G59" s="233">
        <v>15942</v>
      </c>
      <c r="H59" s="233"/>
      <c r="I59" s="233"/>
      <c r="J59" s="233"/>
      <c r="K59" s="348"/>
      <c r="L59" s="348"/>
      <c r="M59" s="83"/>
      <c r="N59" s="43"/>
      <c r="O59" s="43"/>
      <c r="P59" s="43"/>
      <c r="Q59" s="84"/>
    </row>
    <row r="60" spans="1:17" s="150" customFormat="1" ht="42" customHeight="1" thickBot="1">
      <c r="A60" s="531" t="s">
        <v>271</v>
      </c>
      <c r="B60" s="532"/>
      <c r="C60" s="532"/>
      <c r="D60" s="532"/>
      <c r="E60" s="533"/>
      <c r="F60" s="145">
        <f>SUM(F59)</f>
        <v>15942</v>
      </c>
      <c r="G60" s="145">
        <f t="shared" ref="G60:I60" si="10">SUM(G59)</f>
        <v>15942</v>
      </c>
      <c r="H60" s="145">
        <f t="shared" si="10"/>
        <v>0</v>
      </c>
      <c r="I60" s="145">
        <f t="shared" si="10"/>
        <v>0</v>
      </c>
      <c r="J60" s="145"/>
      <c r="K60" s="340"/>
      <c r="L60" s="341"/>
      <c r="M60" s="83"/>
      <c r="N60" s="43"/>
      <c r="O60" s="43"/>
      <c r="P60" s="43"/>
      <c r="Q60" s="84"/>
    </row>
    <row r="61" spans="1:17" s="66" customFormat="1" ht="45.75" customHeight="1" thickBot="1">
      <c r="A61" s="135" t="s">
        <v>322</v>
      </c>
      <c r="B61" s="68">
        <v>854</v>
      </c>
      <c r="C61" s="342">
        <v>85403</v>
      </c>
      <c r="D61" s="342">
        <v>6050</v>
      </c>
      <c r="E61" s="343" t="s">
        <v>47</v>
      </c>
      <c r="F61" s="344">
        <f>SUM(G61:I61)</f>
        <v>600000</v>
      </c>
      <c r="G61" s="345">
        <v>293981</v>
      </c>
      <c r="H61" s="345">
        <v>306019</v>
      </c>
      <c r="I61" s="346"/>
      <c r="J61" s="347"/>
      <c r="K61" s="153"/>
      <c r="L61" s="327" t="s">
        <v>61</v>
      </c>
      <c r="M61" s="65"/>
      <c r="N61" s="184"/>
      <c r="O61" s="184"/>
      <c r="P61" s="184"/>
    </row>
    <row r="62" spans="1:17" s="84" customFormat="1" ht="35.1" customHeight="1" thickBot="1">
      <c r="A62" s="507" t="s">
        <v>119</v>
      </c>
      <c r="B62" s="508"/>
      <c r="C62" s="508"/>
      <c r="D62" s="508"/>
      <c r="E62" s="509"/>
      <c r="F62" s="136">
        <f>SUM(F61:F61)</f>
        <v>600000</v>
      </c>
      <c r="G62" s="136">
        <f>SUM(G61:G61)</f>
        <v>293981</v>
      </c>
      <c r="H62" s="136">
        <f>SUM(H61:H61)</f>
        <v>306019</v>
      </c>
      <c r="I62" s="136">
        <f>SUM(I61:I61)</f>
        <v>0</v>
      </c>
      <c r="J62" s="136">
        <f>SUM(J61:J61)</f>
        <v>0</v>
      </c>
      <c r="K62" s="137"/>
      <c r="L62" s="200"/>
      <c r="M62" s="83"/>
      <c r="N62" s="43"/>
      <c r="O62" s="43"/>
      <c r="P62" s="43"/>
    </row>
    <row r="63" spans="1:17" s="66" customFormat="1" ht="35.1" customHeight="1" thickBot="1">
      <c r="A63" s="124" t="s">
        <v>323</v>
      </c>
      <c r="B63" s="124">
        <v>855</v>
      </c>
      <c r="C63" s="124">
        <v>85510</v>
      </c>
      <c r="D63" s="124">
        <v>6050</v>
      </c>
      <c r="E63" s="128" t="s">
        <v>121</v>
      </c>
      <c r="F63" s="125">
        <v>50000</v>
      </c>
      <c r="G63" s="125">
        <v>50000</v>
      </c>
      <c r="H63" s="125"/>
      <c r="I63" s="129"/>
      <c r="J63" s="129"/>
      <c r="K63" s="131"/>
      <c r="L63" s="118"/>
      <c r="M63" s="65"/>
      <c r="N63" s="184"/>
      <c r="O63" s="184"/>
      <c r="P63" s="184"/>
    </row>
    <row r="64" spans="1:17" s="84" customFormat="1" ht="35.1" customHeight="1" thickBot="1">
      <c r="A64" s="534" t="s">
        <v>122</v>
      </c>
      <c r="B64" s="535"/>
      <c r="C64" s="535"/>
      <c r="D64" s="535"/>
      <c r="E64" s="536"/>
      <c r="F64" s="154">
        <f>SUM(F63:F63)</f>
        <v>50000</v>
      </c>
      <c r="G64" s="154">
        <f>SUM(G63:G63)</f>
        <v>50000</v>
      </c>
      <c r="H64" s="154">
        <f>SUM(H63:H63)</f>
        <v>0</v>
      </c>
      <c r="I64" s="154">
        <f>SUM(I63:I63)</f>
        <v>0</v>
      </c>
      <c r="J64" s="154">
        <f>SUM(J63:J63)</f>
        <v>0</v>
      </c>
      <c r="K64" s="155"/>
      <c r="L64" s="200"/>
      <c r="M64" s="83"/>
      <c r="N64" s="43"/>
      <c r="O64" s="43"/>
      <c r="P64" s="43"/>
    </row>
    <row r="65" spans="1:17" s="158" customFormat="1" ht="36" customHeight="1" thickBot="1">
      <c r="A65" s="525" t="s">
        <v>35</v>
      </c>
      <c r="B65" s="526"/>
      <c r="C65" s="526"/>
      <c r="D65" s="526"/>
      <c r="E65" s="527"/>
      <c r="F65" s="156">
        <f>F41+F43+F45+F48+F50+F52+F55+F58+F60+F62+F64</f>
        <v>38838537</v>
      </c>
      <c r="G65" s="156">
        <f t="shared" ref="G65:I65" si="11">G41+G43+G45+G48+G50+G52+G55+G58+G60+G62+G64</f>
        <v>6858476</v>
      </c>
      <c r="H65" s="156">
        <f t="shared" si="11"/>
        <v>5165000</v>
      </c>
      <c r="I65" s="156">
        <f t="shared" si="11"/>
        <v>0</v>
      </c>
      <c r="J65" s="156">
        <f>J41+J43+J45+J48+J50+J52+J55+J58+J60+J62+J64</f>
        <v>26815061</v>
      </c>
      <c r="K65" s="157"/>
      <c r="L65" s="205"/>
      <c r="M65" s="215"/>
      <c r="N65" s="216"/>
      <c r="O65" s="217"/>
      <c r="P65" s="217"/>
      <c r="Q65" s="218"/>
    </row>
    <row r="66" spans="1:17" s="84" customFormat="1" ht="27" customHeight="1">
      <c r="A66" s="159" t="s">
        <v>123</v>
      </c>
      <c r="B66" s="160"/>
      <c r="C66" s="160"/>
      <c r="D66" s="160"/>
      <c r="E66" s="45"/>
      <c r="F66" s="161"/>
      <c r="G66" s="161"/>
      <c r="H66" s="161"/>
      <c r="I66" s="162"/>
      <c r="J66" s="162"/>
      <c r="K66" s="163"/>
      <c r="L66" s="194"/>
      <c r="M66" s="83"/>
      <c r="N66" s="43"/>
      <c r="O66" s="43"/>
      <c r="P66" s="43"/>
    </row>
    <row r="67" spans="1:17" s="74" customFormat="1" ht="20.25" customHeight="1">
      <c r="A67" s="159" t="s">
        <v>124</v>
      </c>
      <c r="B67" s="160"/>
      <c r="C67" s="160"/>
      <c r="D67" s="160"/>
      <c r="E67" s="45"/>
      <c r="F67" s="162"/>
      <c r="G67" s="162"/>
      <c r="H67" s="162"/>
      <c r="I67" s="161"/>
      <c r="J67" s="161"/>
      <c r="K67" s="163"/>
      <c r="L67" s="194"/>
      <c r="M67" s="80"/>
      <c r="N67" s="186"/>
      <c r="O67" s="186"/>
      <c r="P67" s="186"/>
      <c r="Q67" s="81"/>
    </row>
    <row r="68" spans="1:17" s="84" customFormat="1" ht="21" customHeight="1">
      <c r="A68" s="159" t="s">
        <v>125</v>
      </c>
      <c r="B68" s="160"/>
      <c r="C68" s="160"/>
      <c r="D68" s="160"/>
      <c r="E68" s="45"/>
      <c r="F68" s="161"/>
      <c r="G68" s="162"/>
      <c r="H68" s="162"/>
      <c r="I68" s="162"/>
      <c r="J68" s="162"/>
      <c r="K68" s="163"/>
      <c r="L68" s="194"/>
      <c r="M68" s="83"/>
      <c r="N68" s="43"/>
      <c r="O68" s="43"/>
      <c r="P68" s="43"/>
    </row>
    <row r="69" spans="1:17" s="167" customFormat="1" ht="21" customHeight="1">
      <c r="A69" s="159" t="s">
        <v>126</v>
      </c>
      <c r="B69" s="164"/>
      <c r="C69" s="160"/>
      <c r="D69" s="160"/>
      <c r="E69" s="160"/>
      <c r="F69" s="162"/>
      <c r="G69" s="162"/>
      <c r="H69" s="162"/>
      <c r="I69" s="161"/>
      <c r="J69" s="161"/>
      <c r="K69" s="163"/>
      <c r="L69" s="206"/>
      <c r="M69" s="166"/>
      <c r="N69" s="165"/>
      <c r="O69" s="165"/>
      <c r="P69" s="165"/>
    </row>
    <row r="70" spans="1:17" s="170" customFormat="1" ht="19.5" customHeight="1">
      <c r="A70" s="44" t="s">
        <v>127</v>
      </c>
      <c r="B70" s="164"/>
      <c r="C70" s="160"/>
      <c r="D70" s="160"/>
      <c r="E70" s="162"/>
      <c r="F70" s="161"/>
      <c r="G70" s="162"/>
      <c r="H70" s="162"/>
      <c r="I70" s="162"/>
      <c r="J70" s="162"/>
      <c r="K70" s="168"/>
      <c r="L70" s="206"/>
      <c r="M70" s="169"/>
      <c r="N70" s="192"/>
      <c r="O70" s="192"/>
      <c r="P70" s="192"/>
    </row>
    <row r="71" spans="1:17" s="84" customFormat="1" ht="30" customHeight="1">
      <c r="A71" s="39"/>
      <c r="B71" s="39"/>
      <c r="C71" s="40"/>
      <c r="D71" s="40"/>
      <c r="E71" s="41"/>
      <c r="F71" s="41"/>
      <c r="G71" s="41"/>
      <c r="H71" s="171"/>
      <c r="I71" s="41"/>
      <c r="J71" s="171"/>
      <c r="K71" s="42"/>
      <c r="L71" s="194"/>
      <c r="M71" s="83"/>
      <c r="N71" s="43"/>
      <c r="O71" s="43"/>
      <c r="P71" s="43"/>
    </row>
    <row r="72" spans="1:17" s="56" customFormat="1" ht="27" customHeight="1">
      <c r="A72" s="39"/>
      <c r="B72" s="39"/>
      <c r="C72" s="40"/>
      <c r="D72" s="40"/>
      <c r="E72" s="41"/>
      <c r="F72" s="41"/>
      <c r="G72" s="41"/>
      <c r="H72" s="41"/>
      <c r="I72" s="41"/>
      <c r="J72" s="41"/>
      <c r="K72" s="42"/>
      <c r="L72" s="194"/>
      <c r="M72" s="65"/>
      <c r="N72" s="184"/>
      <c r="O72" s="184"/>
      <c r="P72" s="184"/>
      <c r="Q72" s="66"/>
    </row>
    <row r="74" spans="1:17" s="172" customFormat="1" ht="12.75" customHeight="1">
      <c r="A74" s="39"/>
      <c r="B74" s="39"/>
      <c r="C74" s="40"/>
      <c r="D74" s="40"/>
      <c r="E74" s="41"/>
      <c r="F74" s="41"/>
      <c r="G74" s="41"/>
      <c r="H74" s="41"/>
      <c r="I74" s="41"/>
      <c r="J74" s="41"/>
      <c r="K74" s="42"/>
      <c r="L74" s="194"/>
      <c r="M74" s="219"/>
      <c r="N74" s="220"/>
      <c r="O74" s="220"/>
      <c r="P74" s="220"/>
      <c r="Q74" s="221"/>
    </row>
    <row r="75" spans="1:17" s="172" customFormat="1" ht="12.75" customHeight="1">
      <c r="A75" s="39"/>
      <c r="B75" s="39"/>
      <c r="C75" s="40"/>
      <c r="D75" s="40"/>
      <c r="E75" s="41"/>
      <c r="F75" s="41"/>
      <c r="G75" s="41"/>
      <c r="H75" s="41"/>
      <c r="I75" s="41"/>
      <c r="J75" s="41"/>
      <c r="K75" s="42"/>
      <c r="L75" s="194"/>
      <c r="M75" s="219"/>
      <c r="N75" s="220"/>
      <c r="O75" s="220"/>
      <c r="P75" s="220"/>
      <c r="Q75" s="221"/>
    </row>
    <row r="76" spans="1:17" s="172" customFormat="1" ht="12.75" customHeight="1">
      <c r="A76" s="39"/>
      <c r="B76" s="39"/>
      <c r="C76" s="40"/>
      <c r="D76" s="40"/>
      <c r="E76" s="41"/>
      <c r="F76" s="41"/>
      <c r="G76" s="41"/>
      <c r="H76" s="41"/>
      <c r="I76" s="41"/>
      <c r="J76" s="41"/>
      <c r="K76" s="42"/>
      <c r="L76" s="194"/>
      <c r="M76" s="219"/>
      <c r="N76" s="220"/>
      <c r="O76" s="220"/>
      <c r="P76" s="220"/>
      <c r="Q76" s="221"/>
    </row>
  </sheetData>
  <sheetProtection algorithmName="SHA-512" hashValue="GcPdGnaYjqmtsAKcXr4RQgScmlXPgGJ3MhxlQIwbXNtYtrdLCrCwSJ2PwvXu48P0Pe06PyWmftacwjKacRlDhA==" saltValue="yO18kjpOmIwa86fkmctKHw==" spinCount="100000" sheet="1" objects="1" scenarios="1"/>
  <autoFilter ref="L1:L76" xr:uid="{00000000-0001-0000-0000-000000000000}"/>
  <mergeCells count="31">
    <mergeCell ref="A65:E65"/>
    <mergeCell ref="A48:E48"/>
    <mergeCell ref="A52:E52"/>
    <mergeCell ref="A55:E55"/>
    <mergeCell ref="A58:E58"/>
    <mergeCell ref="A62:E62"/>
    <mergeCell ref="A64:E64"/>
    <mergeCell ref="A50:E50"/>
    <mergeCell ref="A60:E60"/>
    <mergeCell ref="A45:E45"/>
    <mergeCell ref="L4:L5"/>
    <mergeCell ref="A7:E7"/>
    <mergeCell ref="A13:E13"/>
    <mergeCell ref="A15:E15"/>
    <mergeCell ref="A22:E22"/>
    <mergeCell ref="A28:E28"/>
    <mergeCell ref="A31:E31"/>
    <mergeCell ref="A33:E33"/>
    <mergeCell ref="A35:E35"/>
    <mergeCell ref="A38:E38"/>
    <mergeCell ref="A41:E41"/>
    <mergeCell ref="A43:E43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honeticPr fontId="29" type="noConversion"/>
  <pageMargins left="0.51181102362204722" right="0.31496062992125984" top="1.3385826771653544" bottom="0.70866141732283472" header="0.59055118110236227" footer="0.31496062992125984"/>
  <pageSetup paperSize="9" scale="80" fitToHeight="0" orientation="landscape" horizontalDpi="4294967295" r:id="rId1"/>
  <headerFooter differentOddEven="1" differentFirst="1" alignWithMargins="0">
    <oddFooter>&amp;C&amp;P</oddFooter>
    <evenFooter>&amp;C&amp;P</evenFooter>
    <firstHeader>&amp;R&amp;10Tabela Nr 2a
do uchwały Nr ............
Rady Powiatu  Otwockiego
z dnia 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3:H33"/>
  <sheetViews>
    <sheetView showGridLines="0" topLeftCell="A13" workbookViewId="0">
      <selection activeCell="J19" sqref="J19"/>
    </sheetView>
  </sheetViews>
  <sheetFormatPr defaultColWidth="9.33203125" defaultRowHeight="12.75"/>
  <cols>
    <col min="1" max="1" width="5.83203125" style="2" customWidth="1"/>
    <col min="2" max="2" width="67.1640625" style="2" customWidth="1"/>
    <col min="3" max="3" width="15.33203125" style="2" customWidth="1"/>
    <col min="4" max="4" width="20.33203125" style="2" customWidth="1"/>
    <col min="5" max="5" width="9.33203125" style="2"/>
    <col min="6" max="6" width="11.83203125" style="2" bestFit="1" customWidth="1"/>
    <col min="7" max="7" width="9.33203125" style="2"/>
    <col min="8" max="8" width="13.83203125" style="2" bestFit="1" customWidth="1"/>
    <col min="9" max="16384" width="9.33203125" style="2"/>
  </cols>
  <sheetData>
    <row r="3" spans="1:4" s="1" customFormat="1" ht="15" customHeight="1">
      <c r="A3" s="537" t="s">
        <v>136</v>
      </c>
      <c r="B3" s="537"/>
      <c r="C3" s="537"/>
      <c r="D3" s="537"/>
    </row>
    <row r="4" spans="1:4">
      <c r="D4" s="3"/>
    </row>
    <row r="5" spans="1:4" ht="54" customHeight="1">
      <c r="A5" s="4" t="s">
        <v>1</v>
      </c>
      <c r="B5" s="4" t="s">
        <v>7</v>
      </c>
      <c r="C5" s="5" t="s">
        <v>8</v>
      </c>
      <c r="D5" s="5" t="s">
        <v>9</v>
      </c>
    </row>
    <row r="6" spans="1:4" s="30" customFormat="1" ht="16.5" customHeight="1">
      <c r="A6" s="31">
        <v>1</v>
      </c>
      <c r="B6" s="31">
        <v>2</v>
      </c>
      <c r="C6" s="31">
        <v>3</v>
      </c>
      <c r="D6" s="32">
        <v>4</v>
      </c>
    </row>
    <row r="7" spans="1:4" s="9" customFormat="1" ht="24.75" customHeight="1">
      <c r="A7" s="6" t="s">
        <v>2</v>
      </c>
      <c r="B7" s="7" t="s">
        <v>10</v>
      </c>
      <c r="C7" s="6"/>
      <c r="D7" s="8">
        <f>SUM(D8:D9)</f>
        <v>168671141</v>
      </c>
    </row>
    <row r="8" spans="1:4" s="13" customFormat="1" ht="24.75" customHeight="1">
      <c r="A8" s="10"/>
      <c r="B8" s="11" t="s">
        <v>11</v>
      </c>
      <c r="C8" s="10"/>
      <c r="D8" s="12">
        <v>153344222</v>
      </c>
    </row>
    <row r="9" spans="1:4" s="13" customFormat="1" ht="24.75" customHeight="1">
      <c r="A9" s="10"/>
      <c r="B9" s="11" t="s">
        <v>12</v>
      </c>
      <c r="C9" s="10"/>
      <c r="D9" s="14">
        <v>15326919</v>
      </c>
    </row>
    <row r="10" spans="1:4" s="9" customFormat="1" ht="24.75" customHeight="1">
      <c r="A10" s="6" t="s">
        <v>3</v>
      </c>
      <c r="B10" s="7" t="s">
        <v>13</v>
      </c>
      <c r="C10" s="6"/>
      <c r="D10" s="15">
        <f>SUM(D11,D12)</f>
        <v>206363739</v>
      </c>
    </row>
    <row r="11" spans="1:4" s="13" customFormat="1" ht="24.75" customHeight="1">
      <c r="A11" s="10"/>
      <c r="B11" s="11" t="s">
        <v>26</v>
      </c>
      <c r="C11" s="10"/>
      <c r="D11" s="16">
        <v>167510202</v>
      </c>
    </row>
    <row r="12" spans="1:4" s="13" customFormat="1" ht="24.75" customHeight="1">
      <c r="A12" s="10"/>
      <c r="B12" s="11" t="s">
        <v>14</v>
      </c>
      <c r="C12" s="10"/>
      <c r="D12" s="17">
        <v>38853537</v>
      </c>
    </row>
    <row r="13" spans="1:4" s="9" customFormat="1" ht="24.75" customHeight="1">
      <c r="A13" s="6" t="s">
        <v>4</v>
      </c>
      <c r="B13" s="7" t="s">
        <v>15</v>
      </c>
      <c r="C13" s="18"/>
      <c r="D13" s="8">
        <f>D7-D10</f>
        <v>-37692598</v>
      </c>
    </row>
    <row r="14" spans="1:4" ht="24.75" customHeight="1">
      <c r="A14" s="538" t="s">
        <v>16</v>
      </c>
      <c r="B14" s="539"/>
      <c r="C14" s="19"/>
      <c r="D14" s="20">
        <f>D15+D20+D21+D22</f>
        <v>44069267</v>
      </c>
    </row>
    <row r="15" spans="1:4" ht="81.75" customHeight="1">
      <c r="A15" s="35" t="s">
        <v>2</v>
      </c>
      <c r="B15" s="181" t="s">
        <v>42</v>
      </c>
      <c r="C15" s="6" t="s">
        <v>41</v>
      </c>
      <c r="D15" s="180">
        <f>SUM(D17:D19)</f>
        <v>23472379</v>
      </c>
    </row>
    <row r="16" spans="1:4" ht="18.75" customHeight="1">
      <c r="A16" s="173"/>
      <c r="B16" s="540" t="s">
        <v>36</v>
      </c>
      <c r="C16" s="540"/>
      <c r="D16" s="540"/>
    </row>
    <row r="17" spans="1:8" s="13" customFormat="1" ht="24.95" customHeight="1">
      <c r="A17" s="174"/>
      <c r="B17" s="178" t="s">
        <v>128</v>
      </c>
      <c r="C17" s="179"/>
      <c r="D17" s="325">
        <f>8800000+4490000+1180000-194776</f>
        <v>14275224</v>
      </c>
      <c r="H17" s="478"/>
    </row>
    <row r="18" spans="1:8" s="13" customFormat="1" ht="24.95" customHeight="1">
      <c r="A18" s="174"/>
      <c r="B18" s="175" t="s">
        <v>129</v>
      </c>
      <c r="C18" s="176"/>
      <c r="D18" s="177">
        <f>985940+43478+500</f>
        <v>1029918</v>
      </c>
      <c r="H18" s="478"/>
    </row>
    <row r="19" spans="1:8" s="13" customFormat="1" ht="24.95" customHeight="1">
      <c r="A19" s="174"/>
      <c r="B19" s="175" t="s">
        <v>130</v>
      </c>
      <c r="C19" s="176"/>
      <c r="D19" s="177">
        <v>8167237</v>
      </c>
    </row>
    <row r="20" spans="1:8" ht="60.75" customHeight="1">
      <c r="A20" s="35" t="s">
        <v>3</v>
      </c>
      <c r="B20" s="36" t="s">
        <v>43</v>
      </c>
      <c r="C20" s="6" t="s">
        <v>40</v>
      </c>
      <c r="D20" s="180">
        <f>211997+367704+14642</f>
        <v>594343</v>
      </c>
      <c r="F20" s="38"/>
    </row>
    <row r="21" spans="1:8" ht="31.5" customHeight="1">
      <c r="A21" s="35" t="s">
        <v>4</v>
      </c>
      <c r="B21" s="37" t="s">
        <v>45</v>
      </c>
      <c r="C21" s="182" t="s">
        <v>46</v>
      </c>
      <c r="D21" s="180">
        <v>10000000</v>
      </c>
    </row>
    <row r="22" spans="1:8" ht="31.5" customHeight="1">
      <c r="A22" s="35" t="s">
        <v>5</v>
      </c>
      <c r="B22" s="24" t="s">
        <v>23</v>
      </c>
      <c r="C22" s="6" t="s">
        <v>18</v>
      </c>
      <c r="D22" s="15">
        <f>9682461-8167237+44820+2693646+1655063+4093792</f>
        <v>10002545</v>
      </c>
    </row>
    <row r="23" spans="1:8" ht="32.25" customHeight="1">
      <c r="A23" s="35" t="s">
        <v>6</v>
      </c>
      <c r="B23" s="33" t="s">
        <v>27</v>
      </c>
      <c r="C23" s="6" t="s">
        <v>28</v>
      </c>
      <c r="D23" s="23">
        <v>0</v>
      </c>
    </row>
    <row r="24" spans="1:8" ht="24.75" customHeight="1">
      <c r="A24" s="35" t="s">
        <v>39</v>
      </c>
      <c r="B24" s="22" t="s">
        <v>21</v>
      </c>
      <c r="C24" s="6" t="s">
        <v>17</v>
      </c>
      <c r="D24" s="23">
        <v>0</v>
      </c>
    </row>
    <row r="25" spans="1:8" ht="27" customHeight="1">
      <c r="A25" s="35" t="s">
        <v>38</v>
      </c>
      <c r="B25" s="24" t="s">
        <v>22</v>
      </c>
      <c r="C25" s="6" t="s">
        <v>17</v>
      </c>
      <c r="D25" s="25">
        <v>0</v>
      </c>
    </row>
    <row r="26" spans="1:8" ht="24.75" customHeight="1">
      <c r="A26" s="538" t="s">
        <v>19</v>
      </c>
      <c r="B26" s="539"/>
      <c r="C26" s="26"/>
      <c r="D26" s="20">
        <f>SUM(D27:D29)</f>
        <v>6376669</v>
      </c>
    </row>
    <row r="27" spans="1:8" s="34" customFormat="1" ht="24.75" customHeight="1">
      <c r="A27" s="21" t="s">
        <v>2</v>
      </c>
      <c r="B27" s="24" t="s">
        <v>30</v>
      </c>
      <c r="C27" s="6" t="s">
        <v>29</v>
      </c>
      <c r="D27" s="23">
        <v>0</v>
      </c>
    </row>
    <row r="28" spans="1:8" ht="24.75" customHeight="1">
      <c r="A28" s="21" t="s">
        <v>3</v>
      </c>
      <c r="B28" s="24" t="s">
        <v>24</v>
      </c>
      <c r="C28" s="6" t="s">
        <v>20</v>
      </c>
      <c r="D28" s="23">
        <f>4835000+1541669</f>
        <v>6376669</v>
      </c>
    </row>
    <row r="29" spans="1:8" ht="24.75" customHeight="1">
      <c r="A29" s="21" t="s">
        <v>4</v>
      </c>
      <c r="B29" s="24" t="s">
        <v>25</v>
      </c>
      <c r="C29" s="6" t="s">
        <v>20</v>
      </c>
      <c r="D29" s="23">
        <v>0</v>
      </c>
    </row>
    <row r="30" spans="1:8" ht="21.75" customHeight="1">
      <c r="A30" s="27"/>
      <c r="B30" s="28"/>
      <c r="C30" s="27"/>
      <c r="D30" s="29"/>
    </row>
    <row r="31" spans="1:8" ht="24.75" customHeight="1"/>
    <row r="32" spans="1:8" ht="24.75" customHeight="1"/>
    <row r="33" ht="24.75" customHeight="1"/>
  </sheetData>
  <sheetProtection algorithmName="SHA-512" hashValue="a/eO00XkTpdkdoSmSJGRUiBgmEGn4kvy0Eruu/eWskawdYOVcqVmvmM5ELjVfyBIxrRGkwcLOI1KRIrPwiRAkQ==" saltValue="9J1B0vdaDC3TqNdVfX+H3g==" spinCount="100000" sheet="1" formatColumns="0" formatRows="0"/>
  <mergeCells count="4">
    <mergeCell ref="A3:D3"/>
    <mergeCell ref="A14:B14"/>
    <mergeCell ref="A26:B26"/>
    <mergeCell ref="B16:D16"/>
  </mergeCells>
  <printOptions horizontalCentered="1"/>
  <pageMargins left="0.47244094488188981" right="0.23622047244094491" top="1.6535433070866143" bottom="0.59055118110236227" header="0.86614173228346458" footer="0.51181102362204722"/>
  <pageSetup paperSize="9" scale="94" orientation="portrait" horizontalDpi="4294967295" verticalDpi="300" r:id="rId1"/>
  <headerFooter alignWithMargins="0">
    <oddHeader>&amp;R&amp;10Tabela Nr 3 
do uchwały Nr ...............
Rady Powiatu  Otwockiego
z dnia..........................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96DC-374D-4BF4-8C2B-7ABCAC175E51}">
  <sheetPr>
    <tabColor rgb="FFFFC000"/>
    <pageSetUpPr fitToPage="1"/>
  </sheetPr>
  <dimension ref="A1:L101"/>
  <sheetViews>
    <sheetView view="pageBreakPreview" zoomScaleNormal="100" zoomScaleSheetLayoutView="100" workbookViewId="0">
      <pane ySplit="5" topLeftCell="A42" activePane="bottomLeft" state="frozen"/>
      <selection activeCell="C11" sqref="C11:I13"/>
      <selection pane="bottomLeft" activeCell="A47" sqref="A47:A51"/>
    </sheetView>
  </sheetViews>
  <sheetFormatPr defaultRowHeight="12"/>
  <cols>
    <col min="1" max="1" width="4.1640625" style="365" customWidth="1"/>
    <col min="2" max="2" width="45.1640625" style="350" customWidth="1"/>
    <col min="3" max="3" width="15" style="351" customWidth="1"/>
    <col min="4" max="4" width="13.6640625" style="350" customWidth="1"/>
    <col min="5" max="5" width="13" style="350" customWidth="1"/>
    <col min="6" max="6" width="11.1640625" style="350" customWidth="1"/>
    <col min="7" max="7" width="12.5" style="350" customWidth="1"/>
    <col min="8" max="8" width="11.6640625" style="350" customWidth="1"/>
    <col min="9" max="9" width="13.6640625" style="350" customWidth="1"/>
    <col min="10" max="11" width="9.33203125" style="350"/>
    <col min="12" max="12" width="11.5" style="350" bestFit="1" customWidth="1"/>
    <col min="13" max="242" width="9.33203125" style="350"/>
    <col min="243" max="243" width="4.83203125" style="350" customWidth="1"/>
    <col min="244" max="244" width="27.33203125" style="350" customWidth="1"/>
    <col min="245" max="246" width="15.5" style="350" customWidth="1"/>
    <col min="247" max="247" width="13.6640625" style="350" customWidth="1"/>
    <col min="248" max="248" width="12.33203125" style="350" customWidth="1"/>
    <col min="249" max="249" width="13" style="350" bestFit="1" customWidth="1"/>
    <col min="250" max="250" width="11.33203125" style="350" customWidth="1"/>
    <col min="251" max="251" width="12.33203125" style="350" customWidth="1"/>
    <col min="252" max="252" width="10.33203125" style="350" customWidth="1"/>
    <col min="253" max="253" width="10.1640625" style="350" customWidth="1"/>
    <col min="254" max="254" width="13" style="350" customWidth="1"/>
    <col min="255" max="255" width="12.5" style="350" customWidth="1"/>
    <col min="256" max="256" width="11.6640625" style="350" customWidth="1"/>
    <col min="257" max="257" width="11.33203125" style="350" customWidth="1"/>
    <col min="258" max="258" width="10.33203125" style="350" customWidth="1"/>
    <col min="259" max="259" width="12" style="350" customWidth="1"/>
    <col min="260" max="498" width="9.33203125" style="350"/>
    <col min="499" max="499" width="4.83203125" style="350" customWidth="1"/>
    <col min="500" max="500" width="27.33203125" style="350" customWidth="1"/>
    <col min="501" max="502" width="15.5" style="350" customWidth="1"/>
    <col min="503" max="503" width="13.6640625" style="350" customWidth="1"/>
    <col min="504" max="504" width="12.33203125" style="350" customWidth="1"/>
    <col min="505" max="505" width="13" style="350" bestFit="1" customWidth="1"/>
    <col min="506" max="506" width="11.33203125" style="350" customWidth="1"/>
    <col min="507" max="507" width="12.33203125" style="350" customWidth="1"/>
    <col min="508" max="508" width="10.33203125" style="350" customWidth="1"/>
    <col min="509" max="509" width="10.1640625" style="350" customWidth="1"/>
    <col min="510" max="510" width="13" style="350" customWidth="1"/>
    <col min="511" max="511" width="12.5" style="350" customWidth="1"/>
    <col min="512" max="512" width="11.6640625" style="350" customWidth="1"/>
    <col min="513" max="513" width="11.33203125" style="350" customWidth="1"/>
    <col min="514" max="514" width="10.33203125" style="350" customWidth="1"/>
    <col min="515" max="515" width="12" style="350" customWidth="1"/>
    <col min="516" max="754" width="9.33203125" style="350"/>
    <col min="755" max="755" width="4.83203125" style="350" customWidth="1"/>
    <col min="756" max="756" width="27.33203125" style="350" customWidth="1"/>
    <col min="757" max="758" width="15.5" style="350" customWidth="1"/>
    <col min="759" max="759" width="13.6640625" style="350" customWidth="1"/>
    <col min="760" max="760" width="12.33203125" style="350" customWidth="1"/>
    <col min="761" max="761" width="13" style="350" bestFit="1" customWidth="1"/>
    <col min="762" max="762" width="11.33203125" style="350" customWidth="1"/>
    <col min="763" max="763" width="12.33203125" style="350" customWidth="1"/>
    <col min="764" max="764" width="10.33203125" style="350" customWidth="1"/>
    <col min="765" max="765" width="10.1640625" style="350" customWidth="1"/>
    <col min="766" max="766" width="13" style="350" customWidth="1"/>
    <col min="767" max="767" width="12.5" style="350" customWidth="1"/>
    <col min="768" max="768" width="11.6640625" style="350" customWidth="1"/>
    <col min="769" max="769" width="11.33203125" style="350" customWidth="1"/>
    <col min="770" max="770" width="10.33203125" style="350" customWidth="1"/>
    <col min="771" max="771" width="12" style="350" customWidth="1"/>
    <col min="772" max="1010" width="9.33203125" style="350"/>
    <col min="1011" max="1011" width="4.83203125" style="350" customWidth="1"/>
    <col min="1012" max="1012" width="27.33203125" style="350" customWidth="1"/>
    <col min="1013" max="1014" width="15.5" style="350" customWidth="1"/>
    <col min="1015" max="1015" width="13.6640625" style="350" customWidth="1"/>
    <col min="1016" max="1016" width="12.33203125" style="350" customWidth="1"/>
    <col min="1017" max="1017" width="13" style="350" bestFit="1" customWidth="1"/>
    <col min="1018" max="1018" width="11.33203125" style="350" customWidth="1"/>
    <col min="1019" max="1019" width="12.33203125" style="350" customWidth="1"/>
    <col min="1020" max="1020" width="10.33203125" style="350" customWidth="1"/>
    <col min="1021" max="1021" width="10.1640625" style="350" customWidth="1"/>
    <col min="1022" max="1022" width="13" style="350" customWidth="1"/>
    <col min="1023" max="1023" width="12.5" style="350" customWidth="1"/>
    <col min="1024" max="1024" width="11.6640625" style="350" customWidth="1"/>
    <col min="1025" max="1025" width="11.33203125" style="350" customWidth="1"/>
    <col min="1026" max="1026" width="10.33203125" style="350" customWidth="1"/>
    <col min="1027" max="1027" width="12" style="350" customWidth="1"/>
    <col min="1028" max="1266" width="9.33203125" style="350"/>
    <col min="1267" max="1267" width="4.83203125" style="350" customWidth="1"/>
    <col min="1268" max="1268" width="27.33203125" style="350" customWidth="1"/>
    <col min="1269" max="1270" width="15.5" style="350" customWidth="1"/>
    <col min="1271" max="1271" width="13.6640625" style="350" customWidth="1"/>
    <col min="1272" max="1272" width="12.33203125" style="350" customWidth="1"/>
    <col min="1273" max="1273" width="13" style="350" bestFit="1" customWidth="1"/>
    <col min="1274" max="1274" width="11.33203125" style="350" customWidth="1"/>
    <col min="1275" max="1275" width="12.33203125" style="350" customWidth="1"/>
    <col min="1276" max="1276" width="10.33203125" style="350" customWidth="1"/>
    <col min="1277" max="1277" width="10.1640625" style="350" customWidth="1"/>
    <col min="1278" max="1278" width="13" style="350" customWidth="1"/>
    <col min="1279" max="1279" width="12.5" style="350" customWidth="1"/>
    <col min="1280" max="1280" width="11.6640625" style="350" customWidth="1"/>
    <col min="1281" max="1281" width="11.33203125" style="350" customWidth="1"/>
    <col min="1282" max="1282" width="10.33203125" style="350" customWidth="1"/>
    <col min="1283" max="1283" width="12" style="350" customWidth="1"/>
    <col min="1284" max="1522" width="9.33203125" style="350"/>
    <col min="1523" max="1523" width="4.83203125" style="350" customWidth="1"/>
    <col min="1524" max="1524" width="27.33203125" style="350" customWidth="1"/>
    <col min="1525" max="1526" width="15.5" style="350" customWidth="1"/>
    <col min="1527" max="1527" width="13.6640625" style="350" customWidth="1"/>
    <col min="1528" max="1528" width="12.33203125" style="350" customWidth="1"/>
    <col min="1529" max="1529" width="13" style="350" bestFit="1" customWidth="1"/>
    <col min="1530" max="1530" width="11.33203125" style="350" customWidth="1"/>
    <col min="1531" max="1531" width="12.33203125" style="350" customWidth="1"/>
    <col min="1532" max="1532" width="10.33203125" style="350" customWidth="1"/>
    <col min="1533" max="1533" width="10.1640625" style="350" customWidth="1"/>
    <col min="1534" max="1534" width="13" style="350" customWidth="1"/>
    <col min="1535" max="1535" width="12.5" style="350" customWidth="1"/>
    <col min="1536" max="1536" width="11.6640625" style="350" customWidth="1"/>
    <col min="1537" max="1537" width="11.33203125" style="350" customWidth="1"/>
    <col min="1538" max="1538" width="10.33203125" style="350" customWidth="1"/>
    <col min="1539" max="1539" width="12" style="350" customWidth="1"/>
    <col min="1540" max="1778" width="9.33203125" style="350"/>
    <col min="1779" max="1779" width="4.83203125" style="350" customWidth="1"/>
    <col min="1780" max="1780" width="27.33203125" style="350" customWidth="1"/>
    <col min="1781" max="1782" width="15.5" style="350" customWidth="1"/>
    <col min="1783" max="1783" width="13.6640625" style="350" customWidth="1"/>
    <col min="1784" max="1784" width="12.33203125" style="350" customWidth="1"/>
    <col min="1785" max="1785" width="13" style="350" bestFit="1" customWidth="1"/>
    <col min="1786" max="1786" width="11.33203125" style="350" customWidth="1"/>
    <col min="1787" max="1787" width="12.33203125" style="350" customWidth="1"/>
    <col min="1788" max="1788" width="10.33203125" style="350" customWidth="1"/>
    <col min="1789" max="1789" width="10.1640625" style="350" customWidth="1"/>
    <col min="1790" max="1790" width="13" style="350" customWidth="1"/>
    <col min="1791" max="1791" width="12.5" style="350" customWidth="1"/>
    <col min="1792" max="1792" width="11.6640625" style="350" customWidth="1"/>
    <col min="1793" max="1793" width="11.33203125" style="350" customWidth="1"/>
    <col min="1794" max="1794" width="10.33203125" style="350" customWidth="1"/>
    <col min="1795" max="1795" width="12" style="350" customWidth="1"/>
    <col min="1796" max="2034" width="9.33203125" style="350"/>
    <col min="2035" max="2035" width="4.83203125" style="350" customWidth="1"/>
    <col min="2036" max="2036" width="27.33203125" style="350" customWidth="1"/>
    <col min="2037" max="2038" width="15.5" style="350" customWidth="1"/>
    <col min="2039" max="2039" width="13.6640625" style="350" customWidth="1"/>
    <col min="2040" max="2040" width="12.33203125" style="350" customWidth="1"/>
    <col min="2041" max="2041" width="13" style="350" bestFit="1" customWidth="1"/>
    <col min="2042" max="2042" width="11.33203125" style="350" customWidth="1"/>
    <col min="2043" max="2043" width="12.33203125" style="350" customWidth="1"/>
    <col min="2044" max="2044" width="10.33203125" style="350" customWidth="1"/>
    <col min="2045" max="2045" width="10.1640625" style="350" customWidth="1"/>
    <col min="2046" max="2046" width="13" style="350" customWidth="1"/>
    <col min="2047" max="2047" width="12.5" style="350" customWidth="1"/>
    <col min="2048" max="2048" width="11.6640625" style="350" customWidth="1"/>
    <col min="2049" max="2049" width="11.33203125" style="350" customWidth="1"/>
    <col min="2050" max="2050" width="10.33203125" style="350" customWidth="1"/>
    <col min="2051" max="2051" width="12" style="350" customWidth="1"/>
    <col min="2052" max="2290" width="9.33203125" style="350"/>
    <col min="2291" max="2291" width="4.83203125" style="350" customWidth="1"/>
    <col min="2292" max="2292" width="27.33203125" style="350" customWidth="1"/>
    <col min="2293" max="2294" width="15.5" style="350" customWidth="1"/>
    <col min="2295" max="2295" width="13.6640625" style="350" customWidth="1"/>
    <col min="2296" max="2296" width="12.33203125" style="350" customWidth="1"/>
    <col min="2297" max="2297" width="13" style="350" bestFit="1" customWidth="1"/>
    <col min="2298" max="2298" width="11.33203125" style="350" customWidth="1"/>
    <col min="2299" max="2299" width="12.33203125" style="350" customWidth="1"/>
    <col min="2300" max="2300" width="10.33203125" style="350" customWidth="1"/>
    <col min="2301" max="2301" width="10.1640625" style="350" customWidth="1"/>
    <col min="2302" max="2302" width="13" style="350" customWidth="1"/>
    <col min="2303" max="2303" width="12.5" style="350" customWidth="1"/>
    <col min="2304" max="2304" width="11.6640625" style="350" customWidth="1"/>
    <col min="2305" max="2305" width="11.33203125" style="350" customWidth="1"/>
    <col min="2306" max="2306" width="10.33203125" style="350" customWidth="1"/>
    <col min="2307" max="2307" width="12" style="350" customWidth="1"/>
    <col min="2308" max="2546" width="9.33203125" style="350"/>
    <col min="2547" max="2547" width="4.83203125" style="350" customWidth="1"/>
    <col min="2548" max="2548" width="27.33203125" style="350" customWidth="1"/>
    <col min="2549" max="2550" width="15.5" style="350" customWidth="1"/>
    <col min="2551" max="2551" width="13.6640625" style="350" customWidth="1"/>
    <col min="2552" max="2552" width="12.33203125" style="350" customWidth="1"/>
    <col min="2553" max="2553" width="13" style="350" bestFit="1" customWidth="1"/>
    <col min="2554" max="2554" width="11.33203125" style="350" customWidth="1"/>
    <col min="2555" max="2555" width="12.33203125" style="350" customWidth="1"/>
    <col min="2556" max="2556" width="10.33203125" style="350" customWidth="1"/>
    <col min="2557" max="2557" width="10.1640625" style="350" customWidth="1"/>
    <col min="2558" max="2558" width="13" style="350" customWidth="1"/>
    <col min="2559" max="2559" width="12.5" style="350" customWidth="1"/>
    <col min="2560" max="2560" width="11.6640625" style="350" customWidth="1"/>
    <col min="2561" max="2561" width="11.33203125" style="350" customWidth="1"/>
    <col min="2562" max="2562" width="10.33203125" style="350" customWidth="1"/>
    <col min="2563" max="2563" width="12" style="350" customWidth="1"/>
    <col min="2564" max="2802" width="9.33203125" style="350"/>
    <col min="2803" max="2803" width="4.83203125" style="350" customWidth="1"/>
    <col min="2804" max="2804" width="27.33203125" style="350" customWidth="1"/>
    <col min="2805" max="2806" width="15.5" style="350" customWidth="1"/>
    <col min="2807" max="2807" width="13.6640625" style="350" customWidth="1"/>
    <col min="2808" max="2808" width="12.33203125" style="350" customWidth="1"/>
    <col min="2809" max="2809" width="13" style="350" bestFit="1" customWidth="1"/>
    <col min="2810" max="2810" width="11.33203125" style="350" customWidth="1"/>
    <col min="2811" max="2811" width="12.33203125" style="350" customWidth="1"/>
    <col min="2812" max="2812" width="10.33203125" style="350" customWidth="1"/>
    <col min="2813" max="2813" width="10.1640625" style="350" customWidth="1"/>
    <col min="2814" max="2814" width="13" style="350" customWidth="1"/>
    <col min="2815" max="2815" width="12.5" style="350" customWidth="1"/>
    <col min="2816" max="2816" width="11.6640625" style="350" customWidth="1"/>
    <col min="2817" max="2817" width="11.33203125" style="350" customWidth="1"/>
    <col min="2818" max="2818" width="10.33203125" style="350" customWidth="1"/>
    <col min="2819" max="2819" width="12" style="350" customWidth="1"/>
    <col min="2820" max="3058" width="9.33203125" style="350"/>
    <col min="3059" max="3059" width="4.83203125" style="350" customWidth="1"/>
    <col min="3060" max="3060" width="27.33203125" style="350" customWidth="1"/>
    <col min="3061" max="3062" width="15.5" style="350" customWidth="1"/>
    <col min="3063" max="3063" width="13.6640625" style="350" customWidth="1"/>
    <col min="3064" max="3064" width="12.33203125" style="350" customWidth="1"/>
    <col min="3065" max="3065" width="13" style="350" bestFit="1" customWidth="1"/>
    <col min="3066" max="3066" width="11.33203125" style="350" customWidth="1"/>
    <col min="3067" max="3067" width="12.33203125" style="350" customWidth="1"/>
    <col min="3068" max="3068" width="10.33203125" style="350" customWidth="1"/>
    <col min="3069" max="3069" width="10.1640625" style="350" customWidth="1"/>
    <col min="3070" max="3070" width="13" style="350" customWidth="1"/>
    <col min="3071" max="3071" width="12.5" style="350" customWidth="1"/>
    <col min="3072" max="3072" width="11.6640625" style="350" customWidth="1"/>
    <col min="3073" max="3073" width="11.33203125" style="350" customWidth="1"/>
    <col min="3074" max="3074" width="10.33203125" style="350" customWidth="1"/>
    <col min="3075" max="3075" width="12" style="350" customWidth="1"/>
    <col min="3076" max="3314" width="9.33203125" style="350"/>
    <col min="3315" max="3315" width="4.83203125" style="350" customWidth="1"/>
    <col min="3316" max="3316" width="27.33203125" style="350" customWidth="1"/>
    <col min="3317" max="3318" width="15.5" style="350" customWidth="1"/>
    <col min="3319" max="3319" width="13.6640625" style="350" customWidth="1"/>
    <col min="3320" max="3320" width="12.33203125" style="350" customWidth="1"/>
    <col min="3321" max="3321" width="13" style="350" bestFit="1" customWidth="1"/>
    <col min="3322" max="3322" width="11.33203125" style="350" customWidth="1"/>
    <col min="3323" max="3323" width="12.33203125" style="350" customWidth="1"/>
    <col min="3324" max="3324" width="10.33203125" style="350" customWidth="1"/>
    <col min="3325" max="3325" width="10.1640625" style="350" customWidth="1"/>
    <col min="3326" max="3326" width="13" style="350" customWidth="1"/>
    <col min="3327" max="3327" width="12.5" style="350" customWidth="1"/>
    <col min="3328" max="3328" width="11.6640625" style="350" customWidth="1"/>
    <col min="3329" max="3329" width="11.33203125" style="350" customWidth="1"/>
    <col min="3330" max="3330" width="10.33203125" style="350" customWidth="1"/>
    <col min="3331" max="3331" width="12" style="350" customWidth="1"/>
    <col min="3332" max="3570" width="9.33203125" style="350"/>
    <col min="3571" max="3571" width="4.83203125" style="350" customWidth="1"/>
    <col min="3572" max="3572" width="27.33203125" style="350" customWidth="1"/>
    <col min="3573" max="3574" width="15.5" style="350" customWidth="1"/>
    <col min="3575" max="3575" width="13.6640625" style="350" customWidth="1"/>
    <col min="3576" max="3576" width="12.33203125" style="350" customWidth="1"/>
    <col min="3577" max="3577" width="13" style="350" bestFit="1" customWidth="1"/>
    <col min="3578" max="3578" width="11.33203125" style="350" customWidth="1"/>
    <col min="3579" max="3579" width="12.33203125" style="350" customWidth="1"/>
    <col min="3580" max="3580" width="10.33203125" style="350" customWidth="1"/>
    <col min="3581" max="3581" width="10.1640625" style="350" customWidth="1"/>
    <col min="3582" max="3582" width="13" style="350" customWidth="1"/>
    <col min="3583" max="3583" width="12.5" style="350" customWidth="1"/>
    <col min="3584" max="3584" width="11.6640625" style="350" customWidth="1"/>
    <col min="3585" max="3585" width="11.33203125" style="350" customWidth="1"/>
    <col min="3586" max="3586" width="10.33203125" style="350" customWidth="1"/>
    <col min="3587" max="3587" width="12" style="350" customWidth="1"/>
    <col min="3588" max="3826" width="9.33203125" style="350"/>
    <col min="3827" max="3827" width="4.83203125" style="350" customWidth="1"/>
    <col min="3828" max="3828" width="27.33203125" style="350" customWidth="1"/>
    <col min="3829" max="3830" width="15.5" style="350" customWidth="1"/>
    <col min="3831" max="3831" width="13.6640625" style="350" customWidth="1"/>
    <col min="3832" max="3832" width="12.33203125" style="350" customWidth="1"/>
    <col min="3833" max="3833" width="13" style="350" bestFit="1" customWidth="1"/>
    <col min="3834" max="3834" width="11.33203125" style="350" customWidth="1"/>
    <col min="3835" max="3835" width="12.33203125" style="350" customWidth="1"/>
    <col min="3836" max="3836" width="10.33203125" style="350" customWidth="1"/>
    <col min="3837" max="3837" width="10.1640625" style="350" customWidth="1"/>
    <col min="3838" max="3838" width="13" style="350" customWidth="1"/>
    <col min="3839" max="3839" width="12.5" style="350" customWidth="1"/>
    <col min="3840" max="3840" width="11.6640625" style="350" customWidth="1"/>
    <col min="3841" max="3841" width="11.33203125" style="350" customWidth="1"/>
    <col min="3842" max="3842" width="10.33203125" style="350" customWidth="1"/>
    <col min="3843" max="3843" width="12" style="350" customWidth="1"/>
    <col min="3844" max="4082" width="9.33203125" style="350"/>
    <col min="4083" max="4083" width="4.83203125" style="350" customWidth="1"/>
    <col min="4084" max="4084" width="27.33203125" style="350" customWidth="1"/>
    <col min="4085" max="4086" width="15.5" style="350" customWidth="1"/>
    <col min="4087" max="4087" width="13.6640625" style="350" customWidth="1"/>
    <col min="4088" max="4088" width="12.33203125" style="350" customWidth="1"/>
    <col min="4089" max="4089" width="13" style="350" bestFit="1" customWidth="1"/>
    <col min="4090" max="4090" width="11.33203125" style="350" customWidth="1"/>
    <col min="4091" max="4091" width="12.33203125" style="350" customWidth="1"/>
    <col min="4092" max="4092" width="10.33203125" style="350" customWidth="1"/>
    <col min="4093" max="4093" width="10.1640625" style="350" customWidth="1"/>
    <col min="4094" max="4094" width="13" style="350" customWidth="1"/>
    <col min="4095" max="4095" width="12.5" style="350" customWidth="1"/>
    <col min="4096" max="4096" width="11.6640625" style="350" customWidth="1"/>
    <col min="4097" max="4097" width="11.33203125" style="350" customWidth="1"/>
    <col min="4098" max="4098" width="10.33203125" style="350" customWidth="1"/>
    <col min="4099" max="4099" width="12" style="350" customWidth="1"/>
    <col min="4100" max="4338" width="9.33203125" style="350"/>
    <col min="4339" max="4339" width="4.83203125" style="350" customWidth="1"/>
    <col min="4340" max="4340" width="27.33203125" style="350" customWidth="1"/>
    <col min="4341" max="4342" width="15.5" style="350" customWidth="1"/>
    <col min="4343" max="4343" width="13.6640625" style="350" customWidth="1"/>
    <col min="4344" max="4344" width="12.33203125" style="350" customWidth="1"/>
    <col min="4345" max="4345" width="13" style="350" bestFit="1" customWidth="1"/>
    <col min="4346" max="4346" width="11.33203125" style="350" customWidth="1"/>
    <col min="4347" max="4347" width="12.33203125" style="350" customWidth="1"/>
    <col min="4348" max="4348" width="10.33203125" style="350" customWidth="1"/>
    <col min="4349" max="4349" width="10.1640625" style="350" customWidth="1"/>
    <col min="4350" max="4350" width="13" style="350" customWidth="1"/>
    <col min="4351" max="4351" width="12.5" style="350" customWidth="1"/>
    <col min="4352" max="4352" width="11.6640625" style="350" customWidth="1"/>
    <col min="4353" max="4353" width="11.33203125" style="350" customWidth="1"/>
    <col min="4354" max="4354" width="10.33203125" style="350" customWidth="1"/>
    <col min="4355" max="4355" width="12" style="350" customWidth="1"/>
    <col min="4356" max="4594" width="9.33203125" style="350"/>
    <col min="4595" max="4595" width="4.83203125" style="350" customWidth="1"/>
    <col min="4596" max="4596" width="27.33203125" style="350" customWidth="1"/>
    <col min="4597" max="4598" width="15.5" style="350" customWidth="1"/>
    <col min="4599" max="4599" width="13.6640625" style="350" customWidth="1"/>
    <col min="4600" max="4600" width="12.33203125" style="350" customWidth="1"/>
    <col min="4601" max="4601" width="13" style="350" bestFit="1" customWidth="1"/>
    <col min="4602" max="4602" width="11.33203125" style="350" customWidth="1"/>
    <col min="4603" max="4603" width="12.33203125" style="350" customWidth="1"/>
    <col min="4604" max="4604" width="10.33203125" style="350" customWidth="1"/>
    <col min="4605" max="4605" width="10.1640625" style="350" customWidth="1"/>
    <col min="4606" max="4606" width="13" style="350" customWidth="1"/>
    <col min="4607" max="4607" width="12.5" style="350" customWidth="1"/>
    <col min="4608" max="4608" width="11.6640625" style="350" customWidth="1"/>
    <col min="4609" max="4609" width="11.33203125" style="350" customWidth="1"/>
    <col min="4610" max="4610" width="10.33203125" style="350" customWidth="1"/>
    <col min="4611" max="4611" width="12" style="350" customWidth="1"/>
    <col min="4612" max="4850" width="9.33203125" style="350"/>
    <col min="4851" max="4851" width="4.83203125" style="350" customWidth="1"/>
    <col min="4852" max="4852" width="27.33203125" style="350" customWidth="1"/>
    <col min="4853" max="4854" width="15.5" style="350" customWidth="1"/>
    <col min="4855" max="4855" width="13.6640625" style="350" customWidth="1"/>
    <col min="4856" max="4856" width="12.33203125" style="350" customWidth="1"/>
    <col min="4857" max="4857" width="13" style="350" bestFit="1" customWidth="1"/>
    <col min="4858" max="4858" width="11.33203125" style="350" customWidth="1"/>
    <col min="4859" max="4859" width="12.33203125" style="350" customWidth="1"/>
    <col min="4860" max="4860" width="10.33203125" style="350" customWidth="1"/>
    <col min="4861" max="4861" width="10.1640625" style="350" customWidth="1"/>
    <col min="4862" max="4862" width="13" style="350" customWidth="1"/>
    <col min="4863" max="4863" width="12.5" style="350" customWidth="1"/>
    <col min="4864" max="4864" width="11.6640625" style="350" customWidth="1"/>
    <col min="4865" max="4865" width="11.33203125" style="350" customWidth="1"/>
    <col min="4866" max="4866" width="10.33203125" style="350" customWidth="1"/>
    <col min="4867" max="4867" width="12" style="350" customWidth="1"/>
    <col min="4868" max="5106" width="9.33203125" style="350"/>
    <col min="5107" max="5107" width="4.83203125" style="350" customWidth="1"/>
    <col min="5108" max="5108" width="27.33203125" style="350" customWidth="1"/>
    <col min="5109" max="5110" width="15.5" style="350" customWidth="1"/>
    <col min="5111" max="5111" width="13.6640625" style="350" customWidth="1"/>
    <col min="5112" max="5112" width="12.33203125" style="350" customWidth="1"/>
    <col min="5113" max="5113" width="13" style="350" bestFit="1" customWidth="1"/>
    <col min="5114" max="5114" width="11.33203125" style="350" customWidth="1"/>
    <col min="5115" max="5115" width="12.33203125" style="350" customWidth="1"/>
    <col min="5116" max="5116" width="10.33203125" style="350" customWidth="1"/>
    <col min="5117" max="5117" width="10.1640625" style="350" customWidth="1"/>
    <col min="5118" max="5118" width="13" style="350" customWidth="1"/>
    <col min="5119" max="5119" width="12.5" style="350" customWidth="1"/>
    <col min="5120" max="5120" width="11.6640625" style="350" customWidth="1"/>
    <col min="5121" max="5121" width="11.33203125" style="350" customWidth="1"/>
    <col min="5122" max="5122" width="10.33203125" style="350" customWidth="1"/>
    <col min="5123" max="5123" width="12" style="350" customWidth="1"/>
    <col min="5124" max="5362" width="9.33203125" style="350"/>
    <col min="5363" max="5363" width="4.83203125" style="350" customWidth="1"/>
    <col min="5364" max="5364" width="27.33203125" style="350" customWidth="1"/>
    <col min="5365" max="5366" width="15.5" style="350" customWidth="1"/>
    <col min="5367" max="5367" width="13.6640625" style="350" customWidth="1"/>
    <col min="5368" max="5368" width="12.33203125" style="350" customWidth="1"/>
    <col min="5369" max="5369" width="13" style="350" bestFit="1" customWidth="1"/>
    <col min="5370" max="5370" width="11.33203125" style="350" customWidth="1"/>
    <col min="5371" max="5371" width="12.33203125" style="350" customWidth="1"/>
    <col min="5372" max="5372" width="10.33203125" style="350" customWidth="1"/>
    <col min="5373" max="5373" width="10.1640625" style="350" customWidth="1"/>
    <col min="5374" max="5374" width="13" style="350" customWidth="1"/>
    <col min="5375" max="5375" width="12.5" style="350" customWidth="1"/>
    <col min="5376" max="5376" width="11.6640625" style="350" customWidth="1"/>
    <col min="5377" max="5377" width="11.33203125" style="350" customWidth="1"/>
    <col min="5378" max="5378" width="10.33203125" style="350" customWidth="1"/>
    <col min="5379" max="5379" width="12" style="350" customWidth="1"/>
    <col min="5380" max="5618" width="9.33203125" style="350"/>
    <col min="5619" max="5619" width="4.83203125" style="350" customWidth="1"/>
    <col min="5620" max="5620" width="27.33203125" style="350" customWidth="1"/>
    <col min="5621" max="5622" width="15.5" style="350" customWidth="1"/>
    <col min="5623" max="5623" width="13.6640625" style="350" customWidth="1"/>
    <col min="5624" max="5624" width="12.33203125" style="350" customWidth="1"/>
    <col min="5625" max="5625" width="13" style="350" bestFit="1" customWidth="1"/>
    <col min="5626" max="5626" width="11.33203125" style="350" customWidth="1"/>
    <col min="5627" max="5627" width="12.33203125" style="350" customWidth="1"/>
    <col min="5628" max="5628" width="10.33203125" style="350" customWidth="1"/>
    <col min="5629" max="5629" width="10.1640625" style="350" customWidth="1"/>
    <col min="5630" max="5630" width="13" style="350" customWidth="1"/>
    <col min="5631" max="5631" width="12.5" style="350" customWidth="1"/>
    <col min="5632" max="5632" width="11.6640625" style="350" customWidth="1"/>
    <col min="5633" max="5633" width="11.33203125" style="350" customWidth="1"/>
    <col min="5634" max="5634" width="10.33203125" style="350" customWidth="1"/>
    <col min="5635" max="5635" width="12" style="350" customWidth="1"/>
    <col min="5636" max="5874" width="9.33203125" style="350"/>
    <col min="5875" max="5875" width="4.83203125" style="350" customWidth="1"/>
    <col min="5876" max="5876" width="27.33203125" style="350" customWidth="1"/>
    <col min="5877" max="5878" width="15.5" style="350" customWidth="1"/>
    <col min="5879" max="5879" width="13.6640625" style="350" customWidth="1"/>
    <col min="5880" max="5880" width="12.33203125" style="350" customWidth="1"/>
    <col min="5881" max="5881" width="13" style="350" bestFit="1" customWidth="1"/>
    <col min="5882" max="5882" width="11.33203125" style="350" customWidth="1"/>
    <col min="5883" max="5883" width="12.33203125" style="350" customWidth="1"/>
    <col min="5884" max="5884" width="10.33203125" style="350" customWidth="1"/>
    <col min="5885" max="5885" width="10.1640625" style="350" customWidth="1"/>
    <col min="5886" max="5886" width="13" style="350" customWidth="1"/>
    <col min="5887" max="5887" width="12.5" style="350" customWidth="1"/>
    <col min="5888" max="5888" width="11.6640625" style="350" customWidth="1"/>
    <col min="5889" max="5889" width="11.33203125" style="350" customWidth="1"/>
    <col min="5890" max="5890" width="10.33203125" style="350" customWidth="1"/>
    <col min="5891" max="5891" width="12" style="350" customWidth="1"/>
    <col min="5892" max="6130" width="9.33203125" style="350"/>
    <col min="6131" max="6131" width="4.83203125" style="350" customWidth="1"/>
    <col min="6132" max="6132" width="27.33203125" style="350" customWidth="1"/>
    <col min="6133" max="6134" width="15.5" style="350" customWidth="1"/>
    <col min="6135" max="6135" width="13.6640625" style="350" customWidth="1"/>
    <col min="6136" max="6136" width="12.33203125" style="350" customWidth="1"/>
    <col min="6137" max="6137" width="13" style="350" bestFit="1" customWidth="1"/>
    <col min="6138" max="6138" width="11.33203125" style="350" customWidth="1"/>
    <col min="6139" max="6139" width="12.33203125" style="350" customWidth="1"/>
    <col min="6140" max="6140" width="10.33203125" style="350" customWidth="1"/>
    <col min="6141" max="6141" width="10.1640625" style="350" customWidth="1"/>
    <col min="6142" max="6142" width="13" style="350" customWidth="1"/>
    <col min="6143" max="6143" width="12.5" style="350" customWidth="1"/>
    <col min="6144" max="6144" width="11.6640625" style="350" customWidth="1"/>
    <col min="6145" max="6145" width="11.33203125" style="350" customWidth="1"/>
    <col min="6146" max="6146" width="10.33203125" style="350" customWidth="1"/>
    <col min="6147" max="6147" width="12" style="350" customWidth="1"/>
    <col min="6148" max="6386" width="9.33203125" style="350"/>
    <col min="6387" max="6387" width="4.83203125" style="350" customWidth="1"/>
    <col min="6388" max="6388" width="27.33203125" style="350" customWidth="1"/>
    <col min="6389" max="6390" width="15.5" style="350" customWidth="1"/>
    <col min="6391" max="6391" width="13.6640625" style="350" customWidth="1"/>
    <col min="6392" max="6392" width="12.33203125" style="350" customWidth="1"/>
    <col min="6393" max="6393" width="13" style="350" bestFit="1" customWidth="1"/>
    <col min="6394" max="6394" width="11.33203125" style="350" customWidth="1"/>
    <col min="6395" max="6395" width="12.33203125" style="350" customWidth="1"/>
    <col min="6396" max="6396" width="10.33203125" style="350" customWidth="1"/>
    <col min="6397" max="6397" width="10.1640625" style="350" customWidth="1"/>
    <col min="6398" max="6398" width="13" style="350" customWidth="1"/>
    <col min="6399" max="6399" width="12.5" style="350" customWidth="1"/>
    <col min="6400" max="6400" width="11.6640625" style="350" customWidth="1"/>
    <col min="6401" max="6401" width="11.33203125" style="350" customWidth="1"/>
    <col min="6402" max="6402" width="10.33203125" style="350" customWidth="1"/>
    <col min="6403" max="6403" width="12" style="350" customWidth="1"/>
    <col min="6404" max="6642" width="9.33203125" style="350"/>
    <col min="6643" max="6643" width="4.83203125" style="350" customWidth="1"/>
    <col min="6644" max="6644" width="27.33203125" style="350" customWidth="1"/>
    <col min="6645" max="6646" width="15.5" style="350" customWidth="1"/>
    <col min="6647" max="6647" width="13.6640625" style="350" customWidth="1"/>
    <col min="6648" max="6648" width="12.33203125" style="350" customWidth="1"/>
    <col min="6649" max="6649" width="13" style="350" bestFit="1" customWidth="1"/>
    <col min="6650" max="6650" width="11.33203125" style="350" customWidth="1"/>
    <col min="6651" max="6651" width="12.33203125" style="350" customWidth="1"/>
    <col min="6652" max="6652" width="10.33203125" style="350" customWidth="1"/>
    <col min="6653" max="6653" width="10.1640625" style="350" customWidth="1"/>
    <col min="6654" max="6654" width="13" style="350" customWidth="1"/>
    <col min="6655" max="6655" width="12.5" style="350" customWidth="1"/>
    <col min="6656" max="6656" width="11.6640625" style="350" customWidth="1"/>
    <col min="6657" max="6657" width="11.33203125" style="350" customWidth="1"/>
    <col min="6658" max="6658" width="10.33203125" style="350" customWidth="1"/>
    <col min="6659" max="6659" width="12" style="350" customWidth="1"/>
    <col min="6660" max="6898" width="9.33203125" style="350"/>
    <col min="6899" max="6899" width="4.83203125" style="350" customWidth="1"/>
    <col min="6900" max="6900" width="27.33203125" style="350" customWidth="1"/>
    <col min="6901" max="6902" width="15.5" style="350" customWidth="1"/>
    <col min="6903" max="6903" width="13.6640625" style="350" customWidth="1"/>
    <col min="6904" max="6904" width="12.33203125" style="350" customWidth="1"/>
    <col min="6905" max="6905" width="13" style="350" bestFit="1" customWidth="1"/>
    <col min="6906" max="6906" width="11.33203125" style="350" customWidth="1"/>
    <col min="6907" max="6907" width="12.33203125" style="350" customWidth="1"/>
    <col min="6908" max="6908" width="10.33203125" style="350" customWidth="1"/>
    <col min="6909" max="6909" width="10.1640625" style="350" customWidth="1"/>
    <col min="6910" max="6910" width="13" style="350" customWidth="1"/>
    <col min="6911" max="6911" width="12.5" style="350" customWidth="1"/>
    <col min="6912" max="6912" width="11.6640625" style="350" customWidth="1"/>
    <col min="6913" max="6913" width="11.33203125" style="350" customWidth="1"/>
    <col min="6914" max="6914" width="10.33203125" style="350" customWidth="1"/>
    <col min="6915" max="6915" width="12" style="350" customWidth="1"/>
    <col min="6916" max="7154" width="9.33203125" style="350"/>
    <col min="7155" max="7155" width="4.83203125" style="350" customWidth="1"/>
    <col min="7156" max="7156" width="27.33203125" style="350" customWidth="1"/>
    <col min="7157" max="7158" width="15.5" style="350" customWidth="1"/>
    <col min="7159" max="7159" width="13.6640625" style="350" customWidth="1"/>
    <col min="7160" max="7160" width="12.33203125" style="350" customWidth="1"/>
    <col min="7161" max="7161" width="13" style="350" bestFit="1" customWidth="1"/>
    <col min="7162" max="7162" width="11.33203125" style="350" customWidth="1"/>
    <col min="7163" max="7163" width="12.33203125" style="350" customWidth="1"/>
    <col min="7164" max="7164" width="10.33203125" style="350" customWidth="1"/>
    <col min="7165" max="7165" width="10.1640625" style="350" customWidth="1"/>
    <col min="7166" max="7166" width="13" style="350" customWidth="1"/>
    <col min="7167" max="7167" width="12.5" style="350" customWidth="1"/>
    <col min="7168" max="7168" width="11.6640625" style="350" customWidth="1"/>
    <col min="7169" max="7169" width="11.33203125" style="350" customWidth="1"/>
    <col min="7170" max="7170" width="10.33203125" style="350" customWidth="1"/>
    <col min="7171" max="7171" width="12" style="350" customWidth="1"/>
    <col min="7172" max="7410" width="9.33203125" style="350"/>
    <col min="7411" max="7411" width="4.83203125" style="350" customWidth="1"/>
    <col min="7412" max="7412" width="27.33203125" style="350" customWidth="1"/>
    <col min="7413" max="7414" width="15.5" style="350" customWidth="1"/>
    <col min="7415" max="7415" width="13.6640625" style="350" customWidth="1"/>
    <col min="7416" max="7416" width="12.33203125" style="350" customWidth="1"/>
    <col min="7417" max="7417" width="13" style="350" bestFit="1" customWidth="1"/>
    <col min="7418" max="7418" width="11.33203125" style="350" customWidth="1"/>
    <col min="7419" max="7419" width="12.33203125" style="350" customWidth="1"/>
    <col min="7420" max="7420" width="10.33203125" style="350" customWidth="1"/>
    <col min="7421" max="7421" width="10.1640625" style="350" customWidth="1"/>
    <col min="7422" max="7422" width="13" style="350" customWidth="1"/>
    <col min="7423" max="7423" width="12.5" style="350" customWidth="1"/>
    <col min="7424" max="7424" width="11.6640625" style="350" customWidth="1"/>
    <col min="7425" max="7425" width="11.33203125" style="350" customWidth="1"/>
    <col min="7426" max="7426" width="10.33203125" style="350" customWidth="1"/>
    <col min="7427" max="7427" width="12" style="350" customWidth="1"/>
    <col min="7428" max="7666" width="9.33203125" style="350"/>
    <col min="7667" max="7667" width="4.83203125" style="350" customWidth="1"/>
    <col min="7668" max="7668" width="27.33203125" style="350" customWidth="1"/>
    <col min="7669" max="7670" width="15.5" style="350" customWidth="1"/>
    <col min="7671" max="7671" width="13.6640625" style="350" customWidth="1"/>
    <col min="7672" max="7672" width="12.33203125" style="350" customWidth="1"/>
    <col min="7673" max="7673" width="13" style="350" bestFit="1" customWidth="1"/>
    <col min="7674" max="7674" width="11.33203125" style="350" customWidth="1"/>
    <col min="7675" max="7675" width="12.33203125" style="350" customWidth="1"/>
    <col min="7676" max="7676" width="10.33203125" style="350" customWidth="1"/>
    <col min="7677" max="7677" width="10.1640625" style="350" customWidth="1"/>
    <col min="7678" max="7678" width="13" style="350" customWidth="1"/>
    <col min="7679" max="7679" width="12.5" style="350" customWidth="1"/>
    <col min="7680" max="7680" width="11.6640625" style="350" customWidth="1"/>
    <col min="7681" max="7681" width="11.33203125" style="350" customWidth="1"/>
    <col min="7682" max="7682" width="10.33203125" style="350" customWidth="1"/>
    <col min="7683" max="7683" width="12" style="350" customWidth="1"/>
    <col min="7684" max="7922" width="9.33203125" style="350"/>
    <col min="7923" max="7923" width="4.83203125" style="350" customWidth="1"/>
    <col min="7924" max="7924" width="27.33203125" style="350" customWidth="1"/>
    <col min="7925" max="7926" width="15.5" style="350" customWidth="1"/>
    <col min="7927" max="7927" width="13.6640625" style="350" customWidth="1"/>
    <col min="7928" max="7928" width="12.33203125" style="350" customWidth="1"/>
    <col min="7929" max="7929" width="13" style="350" bestFit="1" customWidth="1"/>
    <col min="7930" max="7930" width="11.33203125" style="350" customWidth="1"/>
    <col min="7931" max="7931" width="12.33203125" style="350" customWidth="1"/>
    <col min="7932" max="7932" width="10.33203125" style="350" customWidth="1"/>
    <col min="7933" max="7933" width="10.1640625" style="350" customWidth="1"/>
    <col min="7934" max="7934" width="13" style="350" customWidth="1"/>
    <col min="7935" max="7935" width="12.5" style="350" customWidth="1"/>
    <col min="7936" max="7936" width="11.6640625" style="350" customWidth="1"/>
    <col min="7937" max="7937" width="11.33203125" style="350" customWidth="1"/>
    <col min="7938" max="7938" width="10.33203125" style="350" customWidth="1"/>
    <col min="7939" max="7939" width="12" style="350" customWidth="1"/>
    <col min="7940" max="8178" width="9.33203125" style="350"/>
    <col min="8179" max="8179" width="4.83203125" style="350" customWidth="1"/>
    <col min="8180" max="8180" width="27.33203125" style="350" customWidth="1"/>
    <col min="8181" max="8182" width="15.5" style="350" customWidth="1"/>
    <col min="8183" max="8183" width="13.6640625" style="350" customWidth="1"/>
    <col min="8184" max="8184" width="12.33203125" style="350" customWidth="1"/>
    <col min="8185" max="8185" width="13" style="350" bestFit="1" customWidth="1"/>
    <col min="8186" max="8186" width="11.33203125" style="350" customWidth="1"/>
    <col min="8187" max="8187" width="12.33203125" style="350" customWidth="1"/>
    <col min="8188" max="8188" width="10.33203125" style="350" customWidth="1"/>
    <col min="8189" max="8189" width="10.1640625" style="350" customWidth="1"/>
    <col min="8190" max="8190" width="13" style="350" customWidth="1"/>
    <col min="8191" max="8191" width="12.5" style="350" customWidth="1"/>
    <col min="8192" max="8192" width="11.6640625" style="350" customWidth="1"/>
    <col min="8193" max="8193" width="11.33203125" style="350" customWidth="1"/>
    <col min="8194" max="8194" width="10.33203125" style="350" customWidth="1"/>
    <col min="8195" max="8195" width="12" style="350" customWidth="1"/>
    <col min="8196" max="8434" width="9.33203125" style="350"/>
    <col min="8435" max="8435" width="4.83203125" style="350" customWidth="1"/>
    <col min="8436" max="8436" width="27.33203125" style="350" customWidth="1"/>
    <col min="8437" max="8438" width="15.5" style="350" customWidth="1"/>
    <col min="8439" max="8439" width="13.6640625" style="350" customWidth="1"/>
    <col min="8440" max="8440" width="12.33203125" style="350" customWidth="1"/>
    <col min="8441" max="8441" width="13" style="350" bestFit="1" customWidth="1"/>
    <col min="8442" max="8442" width="11.33203125" style="350" customWidth="1"/>
    <col min="8443" max="8443" width="12.33203125" style="350" customWidth="1"/>
    <col min="8444" max="8444" width="10.33203125" style="350" customWidth="1"/>
    <col min="8445" max="8445" width="10.1640625" style="350" customWidth="1"/>
    <col min="8446" max="8446" width="13" style="350" customWidth="1"/>
    <col min="8447" max="8447" width="12.5" style="350" customWidth="1"/>
    <col min="8448" max="8448" width="11.6640625" style="350" customWidth="1"/>
    <col min="8449" max="8449" width="11.33203125" style="350" customWidth="1"/>
    <col min="8450" max="8450" width="10.33203125" style="350" customWidth="1"/>
    <col min="8451" max="8451" width="12" style="350" customWidth="1"/>
    <col min="8452" max="8690" width="9.33203125" style="350"/>
    <col min="8691" max="8691" width="4.83203125" style="350" customWidth="1"/>
    <col min="8692" max="8692" width="27.33203125" style="350" customWidth="1"/>
    <col min="8693" max="8694" width="15.5" style="350" customWidth="1"/>
    <col min="8695" max="8695" width="13.6640625" style="350" customWidth="1"/>
    <col min="8696" max="8696" width="12.33203125" style="350" customWidth="1"/>
    <col min="8697" max="8697" width="13" style="350" bestFit="1" customWidth="1"/>
    <col min="8698" max="8698" width="11.33203125" style="350" customWidth="1"/>
    <col min="8699" max="8699" width="12.33203125" style="350" customWidth="1"/>
    <col min="8700" max="8700" width="10.33203125" style="350" customWidth="1"/>
    <col min="8701" max="8701" width="10.1640625" style="350" customWidth="1"/>
    <col min="8702" max="8702" width="13" style="350" customWidth="1"/>
    <col min="8703" max="8703" width="12.5" style="350" customWidth="1"/>
    <col min="8704" max="8704" width="11.6640625" style="350" customWidth="1"/>
    <col min="8705" max="8705" width="11.33203125" style="350" customWidth="1"/>
    <col min="8706" max="8706" width="10.33203125" style="350" customWidth="1"/>
    <col min="8707" max="8707" width="12" style="350" customWidth="1"/>
    <col min="8708" max="8946" width="9.33203125" style="350"/>
    <col min="8947" max="8947" width="4.83203125" style="350" customWidth="1"/>
    <col min="8948" max="8948" width="27.33203125" style="350" customWidth="1"/>
    <col min="8949" max="8950" width="15.5" style="350" customWidth="1"/>
    <col min="8951" max="8951" width="13.6640625" style="350" customWidth="1"/>
    <col min="8952" max="8952" width="12.33203125" style="350" customWidth="1"/>
    <col min="8953" max="8953" width="13" style="350" bestFit="1" customWidth="1"/>
    <col min="8954" max="8954" width="11.33203125" style="350" customWidth="1"/>
    <col min="8955" max="8955" width="12.33203125" style="350" customWidth="1"/>
    <col min="8956" max="8956" width="10.33203125" style="350" customWidth="1"/>
    <col min="8957" max="8957" width="10.1640625" style="350" customWidth="1"/>
    <col min="8958" max="8958" width="13" style="350" customWidth="1"/>
    <col min="8959" max="8959" width="12.5" style="350" customWidth="1"/>
    <col min="8960" max="8960" width="11.6640625" style="350" customWidth="1"/>
    <col min="8961" max="8961" width="11.33203125" style="350" customWidth="1"/>
    <col min="8962" max="8962" width="10.33203125" style="350" customWidth="1"/>
    <col min="8963" max="8963" width="12" style="350" customWidth="1"/>
    <col min="8964" max="9202" width="9.33203125" style="350"/>
    <col min="9203" max="9203" width="4.83203125" style="350" customWidth="1"/>
    <col min="9204" max="9204" width="27.33203125" style="350" customWidth="1"/>
    <col min="9205" max="9206" width="15.5" style="350" customWidth="1"/>
    <col min="9207" max="9207" width="13.6640625" style="350" customWidth="1"/>
    <col min="9208" max="9208" width="12.33203125" style="350" customWidth="1"/>
    <col min="9209" max="9209" width="13" style="350" bestFit="1" customWidth="1"/>
    <col min="9210" max="9210" width="11.33203125" style="350" customWidth="1"/>
    <col min="9211" max="9211" width="12.33203125" style="350" customWidth="1"/>
    <col min="9212" max="9212" width="10.33203125" style="350" customWidth="1"/>
    <col min="9213" max="9213" width="10.1640625" style="350" customWidth="1"/>
    <col min="9214" max="9214" width="13" style="350" customWidth="1"/>
    <col min="9215" max="9215" width="12.5" style="350" customWidth="1"/>
    <col min="9216" max="9216" width="11.6640625" style="350" customWidth="1"/>
    <col min="9217" max="9217" width="11.33203125" style="350" customWidth="1"/>
    <col min="9218" max="9218" width="10.33203125" style="350" customWidth="1"/>
    <col min="9219" max="9219" width="12" style="350" customWidth="1"/>
    <col min="9220" max="9458" width="9.33203125" style="350"/>
    <col min="9459" max="9459" width="4.83203125" style="350" customWidth="1"/>
    <col min="9460" max="9460" width="27.33203125" style="350" customWidth="1"/>
    <col min="9461" max="9462" width="15.5" style="350" customWidth="1"/>
    <col min="9463" max="9463" width="13.6640625" style="350" customWidth="1"/>
    <col min="9464" max="9464" width="12.33203125" style="350" customWidth="1"/>
    <col min="9465" max="9465" width="13" style="350" bestFit="1" customWidth="1"/>
    <col min="9466" max="9466" width="11.33203125" style="350" customWidth="1"/>
    <col min="9467" max="9467" width="12.33203125" style="350" customWidth="1"/>
    <col min="9468" max="9468" width="10.33203125" style="350" customWidth="1"/>
    <col min="9469" max="9469" width="10.1640625" style="350" customWidth="1"/>
    <col min="9470" max="9470" width="13" style="350" customWidth="1"/>
    <col min="9471" max="9471" width="12.5" style="350" customWidth="1"/>
    <col min="9472" max="9472" width="11.6640625" style="350" customWidth="1"/>
    <col min="9473" max="9473" width="11.33203125" style="350" customWidth="1"/>
    <col min="9474" max="9474" width="10.33203125" style="350" customWidth="1"/>
    <col min="9475" max="9475" width="12" style="350" customWidth="1"/>
    <col min="9476" max="9714" width="9.33203125" style="350"/>
    <col min="9715" max="9715" width="4.83203125" style="350" customWidth="1"/>
    <col min="9716" max="9716" width="27.33203125" style="350" customWidth="1"/>
    <col min="9717" max="9718" width="15.5" style="350" customWidth="1"/>
    <col min="9719" max="9719" width="13.6640625" style="350" customWidth="1"/>
    <col min="9720" max="9720" width="12.33203125" style="350" customWidth="1"/>
    <col min="9721" max="9721" width="13" style="350" bestFit="1" customWidth="1"/>
    <col min="9722" max="9722" width="11.33203125" style="350" customWidth="1"/>
    <col min="9723" max="9723" width="12.33203125" style="350" customWidth="1"/>
    <col min="9724" max="9724" width="10.33203125" style="350" customWidth="1"/>
    <col min="9725" max="9725" width="10.1640625" style="350" customWidth="1"/>
    <col min="9726" max="9726" width="13" style="350" customWidth="1"/>
    <col min="9727" max="9727" width="12.5" style="350" customWidth="1"/>
    <col min="9728" max="9728" width="11.6640625" style="350" customWidth="1"/>
    <col min="9729" max="9729" width="11.33203125" style="350" customWidth="1"/>
    <col min="9730" max="9730" width="10.33203125" style="350" customWidth="1"/>
    <col min="9731" max="9731" width="12" style="350" customWidth="1"/>
    <col min="9732" max="9970" width="9.33203125" style="350"/>
    <col min="9971" max="9971" width="4.83203125" style="350" customWidth="1"/>
    <col min="9972" max="9972" width="27.33203125" style="350" customWidth="1"/>
    <col min="9973" max="9974" width="15.5" style="350" customWidth="1"/>
    <col min="9975" max="9975" width="13.6640625" style="350" customWidth="1"/>
    <col min="9976" max="9976" width="12.33203125" style="350" customWidth="1"/>
    <col min="9977" max="9977" width="13" style="350" bestFit="1" customWidth="1"/>
    <col min="9978" max="9978" width="11.33203125" style="350" customWidth="1"/>
    <col min="9979" max="9979" width="12.33203125" style="350" customWidth="1"/>
    <col min="9980" max="9980" width="10.33203125" style="350" customWidth="1"/>
    <col min="9981" max="9981" width="10.1640625" style="350" customWidth="1"/>
    <col min="9982" max="9982" width="13" style="350" customWidth="1"/>
    <col min="9983" max="9983" width="12.5" style="350" customWidth="1"/>
    <col min="9984" max="9984" width="11.6640625" style="350" customWidth="1"/>
    <col min="9985" max="9985" width="11.33203125" style="350" customWidth="1"/>
    <col min="9986" max="9986" width="10.33203125" style="350" customWidth="1"/>
    <col min="9987" max="9987" width="12" style="350" customWidth="1"/>
    <col min="9988" max="10226" width="9.33203125" style="350"/>
    <col min="10227" max="10227" width="4.83203125" style="350" customWidth="1"/>
    <col min="10228" max="10228" width="27.33203125" style="350" customWidth="1"/>
    <col min="10229" max="10230" width="15.5" style="350" customWidth="1"/>
    <col min="10231" max="10231" width="13.6640625" style="350" customWidth="1"/>
    <col min="10232" max="10232" width="12.33203125" style="350" customWidth="1"/>
    <col min="10233" max="10233" width="13" style="350" bestFit="1" customWidth="1"/>
    <col min="10234" max="10234" width="11.33203125" style="350" customWidth="1"/>
    <col min="10235" max="10235" width="12.33203125" style="350" customWidth="1"/>
    <col min="10236" max="10236" width="10.33203125" style="350" customWidth="1"/>
    <col min="10237" max="10237" width="10.1640625" style="350" customWidth="1"/>
    <col min="10238" max="10238" width="13" style="350" customWidth="1"/>
    <col min="10239" max="10239" width="12.5" style="350" customWidth="1"/>
    <col min="10240" max="10240" width="11.6640625" style="350" customWidth="1"/>
    <col min="10241" max="10241" width="11.33203125" style="350" customWidth="1"/>
    <col min="10242" max="10242" width="10.33203125" style="350" customWidth="1"/>
    <col min="10243" max="10243" width="12" style="350" customWidth="1"/>
    <col min="10244" max="10482" width="9.33203125" style="350"/>
    <col min="10483" max="10483" width="4.83203125" style="350" customWidth="1"/>
    <col min="10484" max="10484" width="27.33203125" style="350" customWidth="1"/>
    <col min="10485" max="10486" width="15.5" style="350" customWidth="1"/>
    <col min="10487" max="10487" width="13.6640625" style="350" customWidth="1"/>
    <col min="10488" max="10488" width="12.33203125" style="350" customWidth="1"/>
    <col min="10489" max="10489" width="13" style="350" bestFit="1" customWidth="1"/>
    <col min="10490" max="10490" width="11.33203125" style="350" customWidth="1"/>
    <col min="10491" max="10491" width="12.33203125" style="350" customWidth="1"/>
    <col min="10492" max="10492" width="10.33203125" style="350" customWidth="1"/>
    <col min="10493" max="10493" width="10.1640625" style="350" customWidth="1"/>
    <col min="10494" max="10494" width="13" style="350" customWidth="1"/>
    <col min="10495" max="10495" width="12.5" style="350" customWidth="1"/>
    <col min="10496" max="10496" width="11.6640625" style="350" customWidth="1"/>
    <col min="10497" max="10497" width="11.33203125" style="350" customWidth="1"/>
    <col min="10498" max="10498" width="10.33203125" style="350" customWidth="1"/>
    <col min="10499" max="10499" width="12" style="350" customWidth="1"/>
    <col min="10500" max="10738" width="9.33203125" style="350"/>
    <col min="10739" max="10739" width="4.83203125" style="350" customWidth="1"/>
    <col min="10740" max="10740" width="27.33203125" style="350" customWidth="1"/>
    <col min="10741" max="10742" width="15.5" style="350" customWidth="1"/>
    <col min="10743" max="10743" width="13.6640625" style="350" customWidth="1"/>
    <col min="10744" max="10744" width="12.33203125" style="350" customWidth="1"/>
    <col min="10745" max="10745" width="13" style="350" bestFit="1" customWidth="1"/>
    <col min="10746" max="10746" width="11.33203125" style="350" customWidth="1"/>
    <col min="10747" max="10747" width="12.33203125" style="350" customWidth="1"/>
    <col min="10748" max="10748" width="10.33203125" style="350" customWidth="1"/>
    <col min="10749" max="10749" width="10.1640625" style="350" customWidth="1"/>
    <col min="10750" max="10750" width="13" style="350" customWidth="1"/>
    <col min="10751" max="10751" width="12.5" style="350" customWidth="1"/>
    <col min="10752" max="10752" width="11.6640625" style="350" customWidth="1"/>
    <col min="10753" max="10753" width="11.33203125" style="350" customWidth="1"/>
    <col min="10754" max="10754" width="10.33203125" style="350" customWidth="1"/>
    <col min="10755" max="10755" width="12" style="350" customWidth="1"/>
    <col min="10756" max="10994" width="9.33203125" style="350"/>
    <col min="10995" max="10995" width="4.83203125" style="350" customWidth="1"/>
    <col min="10996" max="10996" width="27.33203125" style="350" customWidth="1"/>
    <col min="10997" max="10998" width="15.5" style="350" customWidth="1"/>
    <col min="10999" max="10999" width="13.6640625" style="350" customWidth="1"/>
    <col min="11000" max="11000" width="12.33203125" style="350" customWidth="1"/>
    <col min="11001" max="11001" width="13" style="350" bestFit="1" customWidth="1"/>
    <col min="11002" max="11002" width="11.33203125" style="350" customWidth="1"/>
    <col min="11003" max="11003" width="12.33203125" style="350" customWidth="1"/>
    <col min="11004" max="11004" width="10.33203125" style="350" customWidth="1"/>
    <col min="11005" max="11005" width="10.1640625" style="350" customWidth="1"/>
    <col min="11006" max="11006" width="13" style="350" customWidth="1"/>
    <col min="11007" max="11007" width="12.5" style="350" customWidth="1"/>
    <col min="11008" max="11008" width="11.6640625" style="350" customWidth="1"/>
    <col min="11009" max="11009" width="11.33203125" style="350" customWidth="1"/>
    <col min="11010" max="11010" width="10.33203125" style="350" customWidth="1"/>
    <col min="11011" max="11011" width="12" style="350" customWidth="1"/>
    <col min="11012" max="11250" width="9.33203125" style="350"/>
    <col min="11251" max="11251" width="4.83203125" style="350" customWidth="1"/>
    <col min="11252" max="11252" width="27.33203125" style="350" customWidth="1"/>
    <col min="11253" max="11254" width="15.5" style="350" customWidth="1"/>
    <col min="11255" max="11255" width="13.6640625" style="350" customWidth="1"/>
    <col min="11256" max="11256" width="12.33203125" style="350" customWidth="1"/>
    <col min="11257" max="11257" width="13" style="350" bestFit="1" customWidth="1"/>
    <col min="11258" max="11258" width="11.33203125" style="350" customWidth="1"/>
    <col min="11259" max="11259" width="12.33203125" style="350" customWidth="1"/>
    <col min="11260" max="11260" width="10.33203125" style="350" customWidth="1"/>
    <col min="11261" max="11261" width="10.1640625" style="350" customWidth="1"/>
    <col min="11262" max="11262" width="13" style="350" customWidth="1"/>
    <col min="11263" max="11263" width="12.5" style="350" customWidth="1"/>
    <col min="11264" max="11264" width="11.6640625" style="350" customWidth="1"/>
    <col min="11265" max="11265" width="11.33203125" style="350" customWidth="1"/>
    <col min="11266" max="11266" width="10.33203125" style="350" customWidth="1"/>
    <col min="11267" max="11267" width="12" style="350" customWidth="1"/>
    <col min="11268" max="11506" width="9.33203125" style="350"/>
    <col min="11507" max="11507" width="4.83203125" style="350" customWidth="1"/>
    <col min="11508" max="11508" width="27.33203125" style="350" customWidth="1"/>
    <col min="11509" max="11510" width="15.5" style="350" customWidth="1"/>
    <col min="11511" max="11511" width="13.6640625" style="350" customWidth="1"/>
    <col min="11512" max="11512" width="12.33203125" style="350" customWidth="1"/>
    <col min="11513" max="11513" width="13" style="350" bestFit="1" customWidth="1"/>
    <col min="11514" max="11514" width="11.33203125" style="350" customWidth="1"/>
    <col min="11515" max="11515" width="12.33203125" style="350" customWidth="1"/>
    <col min="11516" max="11516" width="10.33203125" style="350" customWidth="1"/>
    <col min="11517" max="11517" width="10.1640625" style="350" customWidth="1"/>
    <col min="11518" max="11518" width="13" style="350" customWidth="1"/>
    <col min="11519" max="11519" width="12.5" style="350" customWidth="1"/>
    <col min="11520" max="11520" width="11.6640625" style="350" customWidth="1"/>
    <col min="11521" max="11521" width="11.33203125" style="350" customWidth="1"/>
    <col min="11522" max="11522" width="10.33203125" style="350" customWidth="1"/>
    <col min="11523" max="11523" width="12" style="350" customWidth="1"/>
    <col min="11524" max="11762" width="9.33203125" style="350"/>
    <col min="11763" max="11763" width="4.83203125" style="350" customWidth="1"/>
    <col min="11764" max="11764" width="27.33203125" style="350" customWidth="1"/>
    <col min="11765" max="11766" width="15.5" style="350" customWidth="1"/>
    <col min="11767" max="11767" width="13.6640625" style="350" customWidth="1"/>
    <col min="11768" max="11768" width="12.33203125" style="350" customWidth="1"/>
    <col min="11769" max="11769" width="13" style="350" bestFit="1" customWidth="1"/>
    <col min="11770" max="11770" width="11.33203125" style="350" customWidth="1"/>
    <col min="11771" max="11771" width="12.33203125" style="350" customWidth="1"/>
    <col min="11772" max="11772" width="10.33203125" style="350" customWidth="1"/>
    <col min="11773" max="11773" width="10.1640625" style="350" customWidth="1"/>
    <col min="11774" max="11774" width="13" style="350" customWidth="1"/>
    <col min="11775" max="11775" width="12.5" style="350" customWidth="1"/>
    <col min="11776" max="11776" width="11.6640625" style="350" customWidth="1"/>
    <col min="11777" max="11777" width="11.33203125" style="350" customWidth="1"/>
    <col min="11778" max="11778" width="10.33203125" style="350" customWidth="1"/>
    <col min="11779" max="11779" width="12" style="350" customWidth="1"/>
    <col min="11780" max="12018" width="9.33203125" style="350"/>
    <col min="12019" max="12019" width="4.83203125" style="350" customWidth="1"/>
    <col min="12020" max="12020" width="27.33203125" style="350" customWidth="1"/>
    <col min="12021" max="12022" width="15.5" style="350" customWidth="1"/>
    <col min="12023" max="12023" width="13.6640625" style="350" customWidth="1"/>
    <col min="12024" max="12024" width="12.33203125" style="350" customWidth="1"/>
    <col min="12025" max="12025" width="13" style="350" bestFit="1" customWidth="1"/>
    <col min="12026" max="12026" width="11.33203125" style="350" customWidth="1"/>
    <col min="12027" max="12027" width="12.33203125" style="350" customWidth="1"/>
    <col min="12028" max="12028" width="10.33203125" style="350" customWidth="1"/>
    <col min="12029" max="12029" width="10.1640625" style="350" customWidth="1"/>
    <col min="12030" max="12030" width="13" style="350" customWidth="1"/>
    <col min="12031" max="12031" width="12.5" style="350" customWidth="1"/>
    <col min="12032" max="12032" width="11.6640625" style="350" customWidth="1"/>
    <col min="12033" max="12033" width="11.33203125" style="350" customWidth="1"/>
    <col min="12034" max="12034" width="10.33203125" style="350" customWidth="1"/>
    <col min="12035" max="12035" width="12" style="350" customWidth="1"/>
    <col min="12036" max="12274" width="9.33203125" style="350"/>
    <col min="12275" max="12275" width="4.83203125" style="350" customWidth="1"/>
    <col min="12276" max="12276" width="27.33203125" style="350" customWidth="1"/>
    <col min="12277" max="12278" width="15.5" style="350" customWidth="1"/>
    <col min="12279" max="12279" width="13.6640625" style="350" customWidth="1"/>
    <col min="12280" max="12280" width="12.33203125" style="350" customWidth="1"/>
    <col min="12281" max="12281" width="13" style="350" bestFit="1" customWidth="1"/>
    <col min="12282" max="12282" width="11.33203125" style="350" customWidth="1"/>
    <col min="12283" max="12283" width="12.33203125" style="350" customWidth="1"/>
    <col min="12284" max="12284" width="10.33203125" style="350" customWidth="1"/>
    <col min="12285" max="12285" width="10.1640625" style="350" customWidth="1"/>
    <col min="12286" max="12286" width="13" style="350" customWidth="1"/>
    <col min="12287" max="12287" width="12.5" style="350" customWidth="1"/>
    <col min="12288" max="12288" width="11.6640625" style="350" customWidth="1"/>
    <col min="12289" max="12289" width="11.33203125" style="350" customWidth="1"/>
    <col min="12290" max="12290" width="10.33203125" style="350" customWidth="1"/>
    <col min="12291" max="12291" width="12" style="350" customWidth="1"/>
    <col min="12292" max="12530" width="9.33203125" style="350"/>
    <col min="12531" max="12531" width="4.83203125" style="350" customWidth="1"/>
    <col min="12532" max="12532" width="27.33203125" style="350" customWidth="1"/>
    <col min="12533" max="12534" width="15.5" style="350" customWidth="1"/>
    <col min="12535" max="12535" width="13.6640625" style="350" customWidth="1"/>
    <col min="12536" max="12536" width="12.33203125" style="350" customWidth="1"/>
    <col min="12537" max="12537" width="13" style="350" bestFit="1" customWidth="1"/>
    <col min="12538" max="12538" width="11.33203125" style="350" customWidth="1"/>
    <col min="12539" max="12539" width="12.33203125" style="350" customWidth="1"/>
    <col min="12540" max="12540" width="10.33203125" style="350" customWidth="1"/>
    <col min="12541" max="12541" width="10.1640625" style="350" customWidth="1"/>
    <col min="12542" max="12542" width="13" style="350" customWidth="1"/>
    <col min="12543" max="12543" width="12.5" style="350" customWidth="1"/>
    <col min="12544" max="12544" width="11.6640625" style="350" customWidth="1"/>
    <col min="12545" max="12545" width="11.33203125" style="350" customWidth="1"/>
    <col min="12546" max="12546" width="10.33203125" style="350" customWidth="1"/>
    <col min="12547" max="12547" width="12" style="350" customWidth="1"/>
    <col min="12548" max="12786" width="9.33203125" style="350"/>
    <col min="12787" max="12787" width="4.83203125" style="350" customWidth="1"/>
    <col min="12788" max="12788" width="27.33203125" style="350" customWidth="1"/>
    <col min="12789" max="12790" width="15.5" style="350" customWidth="1"/>
    <col min="12791" max="12791" width="13.6640625" style="350" customWidth="1"/>
    <col min="12792" max="12792" width="12.33203125" style="350" customWidth="1"/>
    <col min="12793" max="12793" width="13" style="350" bestFit="1" customWidth="1"/>
    <col min="12794" max="12794" width="11.33203125" style="350" customWidth="1"/>
    <col min="12795" max="12795" width="12.33203125" style="350" customWidth="1"/>
    <col min="12796" max="12796" width="10.33203125" style="350" customWidth="1"/>
    <col min="12797" max="12797" width="10.1640625" style="350" customWidth="1"/>
    <col min="12798" max="12798" width="13" style="350" customWidth="1"/>
    <col min="12799" max="12799" width="12.5" style="350" customWidth="1"/>
    <col min="12800" max="12800" width="11.6640625" style="350" customWidth="1"/>
    <col min="12801" max="12801" width="11.33203125" style="350" customWidth="1"/>
    <col min="12802" max="12802" width="10.33203125" style="350" customWidth="1"/>
    <col min="12803" max="12803" width="12" style="350" customWidth="1"/>
    <col min="12804" max="13042" width="9.33203125" style="350"/>
    <col min="13043" max="13043" width="4.83203125" style="350" customWidth="1"/>
    <col min="13044" max="13044" width="27.33203125" style="350" customWidth="1"/>
    <col min="13045" max="13046" width="15.5" style="350" customWidth="1"/>
    <col min="13047" max="13047" width="13.6640625" style="350" customWidth="1"/>
    <col min="13048" max="13048" width="12.33203125" style="350" customWidth="1"/>
    <col min="13049" max="13049" width="13" style="350" bestFit="1" customWidth="1"/>
    <col min="13050" max="13050" width="11.33203125" style="350" customWidth="1"/>
    <col min="13051" max="13051" width="12.33203125" style="350" customWidth="1"/>
    <col min="13052" max="13052" width="10.33203125" style="350" customWidth="1"/>
    <col min="13053" max="13053" width="10.1640625" style="350" customWidth="1"/>
    <col min="13054" max="13054" width="13" style="350" customWidth="1"/>
    <col min="13055" max="13055" width="12.5" style="350" customWidth="1"/>
    <col min="13056" max="13056" width="11.6640625" style="350" customWidth="1"/>
    <col min="13057" max="13057" width="11.33203125" style="350" customWidth="1"/>
    <col min="13058" max="13058" width="10.33203125" style="350" customWidth="1"/>
    <col min="13059" max="13059" width="12" style="350" customWidth="1"/>
    <col min="13060" max="13298" width="9.33203125" style="350"/>
    <col min="13299" max="13299" width="4.83203125" style="350" customWidth="1"/>
    <col min="13300" max="13300" width="27.33203125" style="350" customWidth="1"/>
    <col min="13301" max="13302" width="15.5" style="350" customWidth="1"/>
    <col min="13303" max="13303" width="13.6640625" style="350" customWidth="1"/>
    <col min="13304" max="13304" width="12.33203125" style="350" customWidth="1"/>
    <col min="13305" max="13305" width="13" style="350" bestFit="1" customWidth="1"/>
    <col min="13306" max="13306" width="11.33203125" style="350" customWidth="1"/>
    <col min="13307" max="13307" width="12.33203125" style="350" customWidth="1"/>
    <col min="13308" max="13308" width="10.33203125" style="350" customWidth="1"/>
    <col min="13309" max="13309" width="10.1640625" style="350" customWidth="1"/>
    <col min="13310" max="13310" width="13" style="350" customWidth="1"/>
    <col min="13311" max="13311" width="12.5" style="350" customWidth="1"/>
    <col min="13312" max="13312" width="11.6640625" style="350" customWidth="1"/>
    <col min="13313" max="13313" width="11.33203125" style="350" customWidth="1"/>
    <col min="13314" max="13314" width="10.33203125" style="350" customWidth="1"/>
    <col min="13315" max="13315" width="12" style="350" customWidth="1"/>
    <col min="13316" max="13554" width="9.33203125" style="350"/>
    <col min="13555" max="13555" width="4.83203125" style="350" customWidth="1"/>
    <col min="13556" max="13556" width="27.33203125" style="350" customWidth="1"/>
    <col min="13557" max="13558" width="15.5" style="350" customWidth="1"/>
    <col min="13559" max="13559" width="13.6640625" style="350" customWidth="1"/>
    <col min="13560" max="13560" width="12.33203125" style="350" customWidth="1"/>
    <col min="13561" max="13561" width="13" style="350" bestFit="1" customWidth="1"/>
    <col min="13562" max="13562" width="11.33203125" style="350" customWidth="1"/>
    <col min="13563" max="13563" width="12.33203125" style="350" customWidth="1"/>
    <col min="13564" max="13564" width="10.33203125" style="350" customWidth="1"/>
    <col min="13565" max="13565" width="10.1640625" style="350" customWidth="1"/>
    <col min="13566" max="13566" width="13" style="350" customWidth="1"/>
    <col min="13567" max="13567" width="12.5" style="350" customWidth="1"/>
    <col min="13568" max="13568" width="11.6640625" style="350" customWidth="1"/>
    <col min="13569" max="13569" width="11.33203125" style="350" customWidth="1"/>
    <col min="13570" max="13570" width="10.33203125" style="350" customWidth="1"/>
    <col min="13571" max="13571" width="12" style="350" customWidth="1"/>
    <col min="13572" max="13810" width="9.33203125" style="350"/>
    <col min="13811" max="13811" width="4.83203125" style="350" customWidth="1"/>
    <col min="13812" max="13812" width="27.33203125" style="350" customWidth="1"/>
    <col min="13813" max="13814" width="15.5" style="350" customWidth="1"/>
    <col min="13815" max="13815" width="13.6640625" style="350" customWidth="1"/>
    <col min="13816" max="13816" width="12.33203125" style="350" customWidth="1"/>
    <col min="13817" max="13817" width="13" style="350" bestFit="1" customWidth="1"/>
    <col min="13818" max="13818" width="11.33203125" style="350" customWidth="1"/>
    <col min="13819" max="13819" width="12.33203125" style="350" customWidth="1"/>
    <col min="13820" max="13820" width="10.33203125" style="350" customWidth="1"/>
    <col min="13821" max="13821" width="10.1640625" style="350" customWidth="1"/>
    <col min="13822" max="13822" width="13" style="350" customWidth="1"/>
    <col min="13823" max="13823" width="12.5" style="350" customWidth="1"/>
    <col min="13824" max="13824" width="11.6640625" style="350" customWidth="1"/>
    <col min="13825" max="13825" width="11.33203125" style="350" customWidth="1"/>
    <col min="13826" max="13826" width="10.33203125" style="350" customWidth="1"/>
    <col min="13827" max="13827" width="12" style="350" customWidth="1"/>
    <col min="13828" max="14066" width="9.33203125" style="350"/>
    <col min="14067" max="14067" width="4.83203125" style="350" customWidth="1"/>
    <col min="14068" max="14068" width="27.33203125" style="350" customWidth="1"/>
    <col min="14069" max="14070" width="15.5" style="350" customWidth="1"/>
    <col min="14071" max="14071" width="13.6640625" style="350" customWidth="1"/>
    <col min="14072" max="14072" width="12.33203125" style="350" customWidth="1"/>
    <col min="14073" max="14073" width="13" style="350" bestFit="1" customWidth="1"/>
    <col min="14074" max="14074" width="11.33203125" style="350" customWidth="1"/>
    <col min="14075" max="14075" width="12.33203125" style="350" customWidth="1"/>
    <col min="14076" max="14076" width="10.33203125" style="350" customWidth="1"/>
    <col min="14077" max="14077" width="10.1640625" style="350" customWidth="1"/>
    <col min="14078" max="14078" width="13" style="350" customWidth="1"/>
    <col min="14079" max="14079" width="12.5" style="350" customWidth="1"/>
    <col min="14080" max="14080" width="11.6640625" style="350" customWidth="1"/>
    <col min="14081" max="14081" width="11.33203125" style="350" customWidth="1"/>
    <col min="14082" max="14082" width="10.33203125" style="350" customWidth="1"/>
    <col min="14083" max="14083" width="12" style="350" customWidth="1"/>
    <col min="14084" max="14322" width="9.33203125" style="350"/>
    <col min="14323" max="14323" width="4.83203125" style="350" customWidth="1"/>
    <col min="14324" max="14324" width="27.33203125" style="350" customWidth="1"/>
    <col min="14325" max="14326" width="15.5" style="350" customWidth="1"/>
    <col min="14327" max="14327" width="13.6640625" style="350" customWidth="1"/>
    <col min="14328" max="14328" width="12.33203125" style="350" customWidth="1"/>
    <col min="14329" max="14329" width="13" style="350" bestFit="1" customWidth="1"/>
    <col min="14330" max="14330" width="11.33203125" style="350" customWidth="1"/>
    <col min="14331" max="14331" width="12.33203125" style="350" customWidth="1"/>
    <col min="14332" max="14332" width="10.33203125" style="350" customWidth="1"/>
    <col min="14333" max="14333" width="10.1640625" style="350" customWidth="1"/>
    <col min="14334" max="14334" width="13" style="350" customWidth="1"/>
    <col min="14335" max="14335" width="12.5" style="350" customWidth="1"/>
    <col min="14336" max="14336" width="11.6640625" style="350" customWidth="1"/>
    <col min="14337" max="14337" width="11.33203125" style="350" customWidth="1"/>
    <col min="14338" max="14338" width="10.33203125" style="350" customWidth="1"/>
    <col min="14339" max="14339" width="12" style="350" customWidth="1"/>
    <col min="14340" max="14578" width="9.33203125" style="350"/>
    <col min="14579" max="14579" width="4.83203125" style="350" customWidth="1"/>
    <col min="14580" max="14580" width="27.33203125" style="350" customWidth="1"/>
    <col min="14581" max="14582" width="15.5" style="350" customWidth="1"/>
    <col min="14583" max="14583" width="13.6640625" style="350" customWidth="1"/>
    <col min="14584" max="14584" width="12.33203125" style="350" customWidth="1"/>
    <col min="14585" max="14585" width="13" style="350" bestFit="1" customWidth="1"/>
    <col min="14586" max="14586" width="11.33203125" style="350" customWidth="1"/>
    <col min="14587" max="14587" width="12.33203125" style="350" customWidth="1"/>
    <col min="14588" max="14588" width="10.33203125" style="350" customWidth="1"/>
    <col min="14589" max="14589" width="10.1640625" style="350" customWidth="1"/>
    <col min="14590" max="14590" width="13" style="350" customWidth="1"/>
    <col min="14591" max="14591" width="12.5" style="350" customWidth="1"/>
    <col min="14592" max="14592" width="11.6640625" style="350" customWidth="1"/>
    <col min="14593" max="14593" width="11.33203125" style="350" customWidth="1"/>
    <col min="14594" max="14594" width="10.33203125" style="350" customWidth="1"/>
    <col min="14595" max="14595" width="12" style="350" customWidth="1"/>
    <col min="14596" max="14834" width="9.33203125" style="350"/>
    <col min="14835" max="14835" width="4.83203125" style="350" customWidth="1"/>
    <col min="14836" max="14836" width="27.33203125" style="350" customWidth="1"/>
    <col min="14837" max="14838" width="15.5" style="350" customWidth="1"/>
    <col min="14839" max="14839" width="13.6640625" style="350" customWidth="1"/>
    <col min="14840" max="14840" width="12.33203125" style="350" customWidth="1"/>
    <col min="14841" max="14841" width="13" style="350" bestFit="1" customWidth="1"/>
    <col min="14842" max="14842" width="11.33203125" style="350" customWidth="1"/>
    <col min="14843" max="14843" width="12.33203125" style="350" customWidth="1"/>
    <col min="14844" max="14844" width="10.33203125" style="350" customWidth="1"/>
    <col min="14845" max="14845" width="10.1640625" style="350" customWidth="1"/>
    <col min="14846" max="14846" width="13" style="350" customWidth="1"/>
    <col min="14847" max="14847" width="12.5" style="350" customWidth="1"/>
    <col min="14848" max="14848" width="11.6640625" style="350" customWidth="1"/>
    <col min="14849" max="14849" width="11.33203125" style="350" customWidth="1"/>
    <col min="14850" max="14850" width="10.33203125" style="350" customWidth="1"/>
    <col min="14851" max="14851" width="12" style="350" customWidth="1"/>
    <col min="14852" max="15090" width="9.33203125" style="350"/>
    <col min="15091" max="15091" width="4.83203125" style="350" customWidth="1"/>
    <col min="15092" max="15092" width="27.33203125" style="350" customWidth="1"/>
    <col min="15093" max="15094" width="15.5" style="350" customWidth="1"/>
    <col min="15095" max="15095" width="13.6640625" style="350" customWidth="1"/>
    <col min="15096" max="15096" width="12.33203125" style="350" customWidth="1"/>
    <col min="15097" max="15097" width="13" style="350" bestFit="1" customWidth="1"/>
    <col min="15098" max="15098" width="11.33203125" style="350" customWidth="1"/>
    <col min="15099" max="15099" width="12.33203125" style="350" customWidth="1"/>
    <col min="15100" max="15100" width="10.33203125" style="350" customWidth="1"/>
    <col min="15101" max="15101" width="10.1640625" style="350" customWidth="1"/>
    <col min="15102" max="15102" width="13" style="350" customWidth="1"/>
    <col min="15103" max="15103" width="12.5" style="350" customWidth="1"/>
    <col min="15104" max="15104" width="11.6640625" style="350" customWidth="1"/>
    <col min="15105" max="15105" width="11.33203125" style="350" customWidth="1"/>
    <col min="15106" max="15106" width="10.33203125" style="350" customWidth="1"/>
    <col min="15107" max="15107" width="12" style="350" customWidth="1"/>
    <col min="15108" max="15346" width="9.33203125" style="350"/>
    <col min="15347" max="15347" width="4.83203125" style="350" customWidth="1"/>
    <col min="15348" max="15348" width="27.33203125" style="350" customWidth="1"/>
    <col min="15349" max="15350" width="15.5" style="350" customWidth="1"/>
    <col min="15351" max="15351" width="13.6640625" style="350" customWidth="1"/>
    <col min="15352" max="15352" width="12.33203125" style="350" customWidth="1"/>
    <col min="15353" max="15353" width="13" style="350" bestFit="1" customWidth="1"/>
    <col min="15354" max="15354" width="11.33203125" style="350" customWidth="1"/>
    <col min="15355" max="15355" width="12.33203125" style="350" customWidth="1"/>
    <col min="15356" max="15356" width="10.33203125" style="350" customWidth="1"/>
    <col min="15357" max="15357" width="10.1640625" style="350" customWidth="1"/>
    <col min="15358" max="15358" width="13" style="350" customWidth="1"/>
    <col min="15359" max="15359" width="12.5" style="350" customWidth="1"/>
    <col min="15360" max="15360" width="11.6640625" style="350" customWidth="1"/>
    <col min="15361" max="15361" width="11.33203125" style="350" customWidth="1"/>
    <col min="15362" max="15362" width="10.33203125" style="350" customWidth="1"/>
    <col min="15363" max="15363" width="12" style="350" customWidth="1"/>
    <col min="15364" max="15602" width="9.33203125" style="350"/>
    <col min="15603" max="15603" width="4.83203125" style="350" customWidth="1"/>
    <col min="15604" max="15604" width="27.33203125" style="350" customWidth="1"/>
    <col min="15605" max="15606" width="15.5" style="350" customWidth="1"/>
    <col min="15607" max="15607" width="13.6640625" style="350" customWidth="1"/>
    <col min="15608" max="15608" width="12.33203125" style="350" customWidth="1"/>
    <col min="15609" max="15609" width="13" style="350" bestFit="1" customWidth="1"/>
    <col min="15610" max="15610" width="11.33203125" style="350" customWidth="1"/>
    <col min="15611" max="15611" width="12.33203125" style="350" customWidth="1"/>
    <col min="15612" max="15612" width="10.33203125" style="350" customWidth="1"/>
    <col min="15613" max="15613" width="10.1640625" style="350" customWidth="1"/>
    <col min="15614" max="15614" width="13" style="350" customWidth="1"/>
    <col min="15615" max="15615" width="12.5" style="350" customWidth="1"/>
    <col min="15616" max="15616" width="11.6640625" style="350" customWidth="1"/>
    <col min="15617" max="15617" width="11.33203125" style="350" customWidth="1"/>
    <col min="15618" max="15618" width="10.33203125" style="350" customWidth="1"/>
    <col min="15619" max="15619" width="12" style="350" customWidth="1"/>
    <col min="15620" max="15858" width="9.33203125" style="350"/>
    <col min="15859" max="15859" width="4.83203125" style="350" customWidth="1"/>
    <col min="15860" max="15860" width="27.33203125" style="350" customWidth="1"/>
    <col min="15861" max="15862" width="15.5" style="350" customWidth="1"/>
    <col min="15863" max="15863" width="13.6640625" style="350" customWidth="1"/>
    <col min="15864" max="15864" width="12.33203125" style="350" customWidth="1"/>
    <col min="15865" max="15865" width="13" style="350" bestFit="1" customWidth="1"/>
    <col min="15866" max="15866" width="11.33203125" style="350" customWidth="1"/>
    <col min="15867" max="15867" width="12.33203125" style="350" customWidth="1"/>
    <col min="15868" max="15868" width="10.33203125" style="350" customWidth="1"/>
    <col min="15869" max="15869" width="10.1640625" style="350" customWidth="1"/>
    <col min="15870" max="15870" width="13" style="350" customWidth="1"/>
    <col min="15871" max="15871" width="12.5" style="350" customWidth="1"/>
    <col min="15872" max="15872" width="11.6640625" style="350" customWidth="1"/>
    <col min="15873" max="15873" width="11.33203125" style="350" customWidth="1"/>
    <col min="15874" max="15874" width="10.33203125" style="350" customWidth="1"/>
    <col min="15875" max="15875" width="12" style="350" customWidth="1"/>
    <col min="15876" max="16114" width="9.33203125" style="350"/>
    <col min="16115" max="16115" width="4.83203125" style="350" customWidth="1"/>
    <col min="16116" max="16116" width="27.33203125" style="350" customWidth="1"/>
    <col min="16117" max="16118" width="15.5" style="350" customWidth="1"/>
    <col min="16119" max="16119" width="13.6640625" style="350" customWidth="1"/>
    <col min="16120" max="16120" width="12.33203125" style="350" customWidth="1"/>
    <col min="16121" max="16121" width="13" style="350" bestFit="1" customWidth="1"/>
    <col min="16122" max="16122" width="11.33203125" style="350" customWidth="1"/>
    <col min="16123" max="16123" width="12.33203125" style="350" customWidth="1"/>
    <col min="16124" max="16124" width="10.33203125" style="350" customWidth="1"/>
    <col min="16125" max="16125" width="10.1640625" style="350" customWidth="1"/>
    <col min="16126" max="16126" width="13" style="350" customWidth="1"/>
    <col min="16127" max="16127" width="12.5" style="350" customWidth="1"/>
    <col min="16128" max="16128" width="11.6640625" style="350" customWidth="1"/>
    <col min="16129" max="16129" width="11.33203125" style="350" customWidth="1"/>
    <col min="16130" max="16130" width="10.33203125" style="350" customWidth="1"/>
    <col min="16131" max="16131" width="12" style="350" customWidth="1"/>
    <col min="16132" max="16383" width="9.33203125" style="350"/>
    <col min="16384" max="16384" width="9.1640625" style="350" customWidth="1"/>
  </cols>
  <sheetData>
    <row r="1" spans="1:10" ht="11.25" customHeight="1"/>
    <row r="2" spans="1:10" ht="35.25" customHeight="1">
      <c r="A2" s="567" t="s">
        <v>273</v>
      </c>
      <c r="B2" s="567"/>
      <c r="C2" s="567"/>
      <c r="D2" s="567"/>
      <c r="E2" s="567"/>
      <c r="F2" s="567"/>
      <c r="G2" s="567"/>
      <c r="H2" s="567"/>
      <c r="I2" s="567"/>
      <c r="J2" s="352"/>
    </row>
    <row r="3" spans="1:10" ht="9.75" customHeight="1">
      <c r="A3" s="353"/>
      <c r="B3" s="353"/>
      <c r="C3" s="353"/>
      <c r="D3" s="353"/>
      <c r="E3" s="353"/>
      <c r="F3" s="353"/>
      <c r="G3" s="353"/>
      <c r="H3" s="353"/>
    </row>
    <row r="4" spans="1:10" s="354" customFormat="1" ht="19.5" customHeight="1">
      <c r="A4" s="568" t="s">
        <v>1</v>
      </c>
      <c r="B4" s="570" t="s">
        <v>274</v>
      </c>
      <c r="C4" s="570" t="s">
        <v>8</v>
      </c>
      <c r="D4" s="570" t="s">
        <v>275</v>
      </c>
      <c r="E4" s="545" t="s">
        <v>276</v>
      </c>
      <c r="F4" s="545"/>
      <c r="G4" s="545"/>
      <c r="H4" s="570" t="s">
        <v>277</v>
      </c>
      <c r="I4" s="570" t="s">
        <v>278</v>
      </c>
    </row>
    <row r="5" spans="1:10" ht="51" customHeight="1">
      <c r="A5" s="569"/>
      <c r="B5" s="570"/>
      <c r="C5" s="570"/>
      <c r="D5" s="570"/>
      <c r="E5" s="355" t="s">
        <v>279</v>
      </c>
      <c r="F5" s="355" t="s">
        <v>280</v>
      </c>
      <c r="G5" s="355" t="s">
        <v>281</v>
      </c>
      <c r="H5" s="570"/>
      <c r="I5" s="570"/>
    </row>
    <row r="6" spans="1:10" s="30" customFormat="1" ht="14.25" customHeight="1">
      <c r="A6" s="493">
        <v>1</v>
      </c>
      <c r="B6" s="356">
        <v>2</v>
      </c>
      <c r="C6" s="356">
        <v>3</v>
      </c>
      <c r="D6" s="356">
        <v>4</v>
      </c>
      <c r="E6" s="356">
        <v>5</v>
      </c>
      <c r="F6" s="356">
        <v>6</v>
      </c>
      <c r="G6" s="356">
        <v>7</v>
      </c>
      <c r="H6" s="356">
        <v>8</v>
      </c>
      <c r="I6" s="356">
        <v>9</v>
      </c>
    </row>
    <row r="7" spans="1:10" s="354" customFormat="1" ht="36" customHeight="1">
      <c r="A7" s="546" t="s">
        <v>2</v>
      </c>
      <c r="B7" s="357" t="s">
        <v>282</v>
      </c>
      <c r="C7" s="562" t="s">
        <v>283</v>
      </c>
      <c r="D7" s="562"/>
      <c r="E7" s="562"/>
      <c r="F7" s="562"/>
      <c r="G7" s="562"/>
      <c r="H7" s="562"/>
      <c r="I7" s="562"/>
    </row>
    <row r="8" spans="1:10" s="354" customFormat="1" ht="54" customHeight="1">
      <c r="A8" s="547"/>
      <c r="B8" s="358" t="s">
        <v>44</v>
      </c>
      <c r="C8" s="562"/>
      <c r="D8" s="562"/>
      <c r="E8" s="562"/>
      <c r="F8" s="562"/>
      <c r="G8" s="562"/>
      <c r="H8" s="562"/>
      <c r="I8" s="562"/>
    </row>
    <row r="9" spans="1:10" s="354" customFormat="1" ht="18.95" customHeight="1">
      <c r="A9" s="547"/>
      <c r="B9" s="359" t="s">
        <v>284</v>
      </c>
      <c r="C9" s="565">
        <v>71095</v>
      </c>
      <c r="D9" s="360">
        <f>SUM(E9:I9)</f>
        <v>0</v>
      </c>
      <c r="E9" s="361">
        <v>0</v>
      </c>
      <c r="F9" s="361">
        <v>0</v>
      </c>
      <c r="G9" s="361">
        <v>0</v>
      </c>
      <c r="H9" s="361">
        <v>0</v>
      </c>
      <c r="I9" s="361">
        <v>0</v>
      </c>
    </row>
    <row r="10" spans="1:10" s="365" customFormat="1" ht="18.95" customHeight="1">
      <c r="A10" s="547"/>
      <c r="B10" s="362" t="s">
        <v>285</v>
      </c>
      <c r="C10" s="566"/>
      <c r="D10" s="363">
        <f>SUM(E10:I10)</f>
        <v>53618</v>
      </c>
      <c r="E10" s="364">
        <v>53618</v>
      </c>
      <c r="F10" s="364">
        <v>0</v>
      </c>
      <c r="G10" s="364">
        <v>0</v>
      </c>
      <c r="H10" s="364">
        <v>0</v>
      </c>
      <c r="I10" s="364">
        <v>0</v>
      </c>
    </row>
    <row r="11" spans="1:10" ht="22.5" customHeight="1">
      <c r="A11" s="546" t="s">
        <v>3</v>
      </c>
      <c r="B11" s="357" t="s">
        <v>286</v>
      </c>
      <c r="C11" s="562" t="s">
        <v>287</v>
      </c>
      <c r="D11" s="562"/>
      <c r="E11" s="562"/>
      <c r="F11" s="562"/>
      <c r="G11" s="562"/>
      <c r="H11" s="562"/>
      <c r="I11" s="562"/>
    </row>
    <row r="12" spans="1:10" ht="18" customHeight="1">
      <c r="A12" s="547"/>
      <c r="B12" s="357" t="s">
        <v>288</v>
      </c>
      <c r="C12" s="562"/>
      <c r="D12" s="562"/>
      <c r="E12" s="562"/>
      <c r="F12" s="562"/>
      <c r="G12" s="562"/>
      <c r="H12" s="562"/>
      <c r="I12" s="562"/>
    </row>
    <row r="13" spans="1:10" ht="25.5" customHeight="1">
      <c r="A13" s="547"/>
      <c r="B13" s="380" t="s">
        <v>289</v>
      </c>
      <c r="C13" s="562"/>
      <c r="D13" s="562"/>
      <c r="E13" s="562"/>
      <c r="F13" s="562"/>
      <c r="G13" s="562"/>
      <c r="H13" s="562"/>
      <c r="I13" s="562"/>
    </row>
    <row r="14" spans="1:10" ht="25.5" customHeight="1">
      <c r="A14" s="547"/>
      <c r="B14" s="359" t="s">
        <v>284</v>
      </c>
      <c r="C14" s="565">
        <v>80115</v>
      </c>
      <c r="D14" s="360">
        <f>SUM(E14:I14)</f>
        <v>503118.28</v>
      </c>
      <c r="E14" s="381">
        <v>0</v>
      </c>
      <c r="F14" s="382">
        <v>0</v>
      </c>
      <c r="G14" s="382">
        <v>0</v>
      </c>
      <c r="H14" s="382">
        <v>0</v>
      </c>
      <c r="I14" s="465">
        <v>503118.28</v>
      </c>
    </row>
    <row r="15" spans="1:10" s="365" customFormat="1" ht="18.95" customHeight="1">
      <c r="A15" s="548"/>
      <c r="B15" s="362" t="s">
        <v>285</v>
      </c>
      <c r="C15" s="566"/>
      <c r="D15" s="363">
        <f>SUM(E15:I15)</f>
        <v>137997</v>
      </c>
      <c r="E15" s="364">
        <v>0</v>
      </c>
      <c r="F15" s="364">
        <v>0</v>
      </c>
      <c r="G15" s="364">
        <v>0</v>
      </c>
      <c r="H15" s="364">
        <v>0</v>
      </c>
      <c r="I15" s="364">
        <f>133226+4771</f>
        <v>137997</v>
      </c>
    </row>
    <row r="16" spans="1:10" ht="18.95" customHeight="1">
      <c r="A16" s="546" t="s">
        <v>4</v>
      </c>
      <c r="B16" s="357" t="s">
        <v>286</v>
      </c>
      <c r="C16" s="562" t="s">
        <v>287</v>
      </c>
      <c r="D16" s="562"/>
      <c r="E16" s="562"/>
      <c r="F16" s="562"/>
      <c r="G16" s="562"/>
      <c r="H16" s="562"/>
      <c r="I16" s="562"/>
    </row>
    <row r="17" spans="1:9" ht="39.75" customHeight="1">
      <c r="A17" s="547"/>
      <c r="B17" s="384" t="s">
        <v>290</v>
      </c>
      <c r="C17" s="562"/>
      <c r="D17" s="562"/>
      <c r="E17" s="562"/>
      <c r="F17" s="562"/>
      <c r="G17" s="562"/>
      <c r="H17" s="562"/>
      <c r="I17" s="562"/>
    </row>
    <row r="18" spans="1:9" ht="43.15" customHeight="1">
      <c r="A18" s="547"/>
      <c r="B18" s="372" t="s">
        <v>291</v>
      </c>
      <c r="C18" s="562"/>
      <c r="D18" s="562"/>
      <c r="E18" s="562"/>
      <c r="F18" s="562"/>
      <c r="G18" s="562"/>
      <c r="H18" s="562"/>
      <c r="I18" s="562"/>
    </row>
    <row r="19" spans="1:9" ht="18.75" customHeight="1">
      <c r="A19" s="547"/>
      <c r="B19" s="359" t="s">
        <v>284</v>
      </c>
      <c r="C19" s="565">
        <v>80195</v>
      </c>
      <c r="D19" s="373">
        <f>SUM(E19:I19)</f>
        <v>126331.2</v>
      </c>
      <c r="E19" s="374">
        <v>0</v>
      </c>
      <c r="F19" s="374">
        <v>0</v>
      </c>
      <c r="G19" s="374">
        <v>0</v>
      </c>
      <c r="H19" s="374">
        <v>8816</v>
      </c>
      <c r="I19" s="374">
        <v>117515.2</v>
      </c>
    </row>
    <row r="20" spans="1:9" s="365" customFormat="1" ht="18.75" customHeight="1">
      <c r="A20" s="548"/>
      <c r="B20" s="362" t="s">
        <v>285</v>
      </c>
      <c r="C20" s="566"/>
      <c r="D20" s="375">
        <f>SUM(E20:I20)</f>
        <v>181166</v>
      </c>
      <c r="E20" s="383">
        <v>0</v>
      </c>
      <c r="F20" s="383">
        <v>0</v>
      </c>
      <c r="G20" s="383">
        <v>0</v>
      </c>
      <c r="H20" s="383">
        <f>6511+16214</f>
        <v>22725</v>
      </c>
      <c r="I20" s="383">
        <f>58441+100000</f>
        <v>158441</v>
      </c>
    </row>
    <row r="21" spans="1:9" ht="18.75" customHeight="1">
      <c r="A21" s="546" t="s">
        <v>5</v>
      </c>
      <c r="B21" s="357" t="s">
        <v>286</v>
      </c>
      <c r="C21" s="562" t="s">
        <v>292</v>
      </c>
      <c r="D21" s="562"/>
      <c r="E21" s="562"/>
      <c r="F21" s="562"/>
      <c r="G21" s="562"/>
      <c r="H21" s="562"/>
      <c r="I21" s="562"/>
    </row>
    <row r="22" spans="1:9" ht="38.25" customHeight="1">
      <c r="A22" s="547"/>
      <c r="B22" s="357" t="s">
        <v>290</v>
      </c>
      <c r="C22" s="562"/>
      <c r="D22" s="562"/>
      <c r="E22" s="562"/>
      <c r="F22" s="562"/>
      <c r="G22" s="562"/>
      <c r="H22" s="562"/>
      <c r="I22" s="562"/>
    </row>
    <row r="23" spans="1:9" ht="36.75" customHeight="1">
      <c r="A23" s="547"/>
      <c r="B23" s="372" t="s">
        <v>293</v>
      </c>
      <c r="C23" s="562"/>
      <c r="D23" s="562"/>
      <c r="E23" s="562"/>
      <c r="F23" s="562"/>
      <c r="G23" s="562"/>
      <c r="H23" s="562"/>
      <c r="I23" s="562"/>
    </row>
    <row r="24" spans="1:9" ht="18.75" customHeight="1">
      <c r="A24" s="547"/>
      <c r="B24" s="359" t="s">
        <v>284</v>
      </c>
      <c r="C24" s="565">
        <v>80195</v>
      </c>
      <c r="D24" s="373">
        <f>SUM(E24:I24)</f>
        <v>81881.22</v>
      </c>
      <c r="E24" s="374">
        <v>0</v>
      </c>
      <c r="F24" s="374">
        <v>0</v>
      </c>
      <c r="G24" s="374">
        <v>0</v>
      </c>
      <c r="H24" s="374">
        <v>7675</v>
      </c>
      <c r="I24" s="374">
        <v>74206.22</v>
      </c>
    </row>
    <row r="25" spans="1:9" s="365" customFormat="1" ht="18.75" customHeight="1">
      <c r="A25" s="548"/>
      <c r="B25" s="362" t="s">
        <v>285</v>
      </c>
      <c r="C25" s="566"/>
      <c r="D25" s="375">
        <f>SUM(E25:I25)</f>
        <v>174224</v>
      </c>
      <c r="E25" s="383">
        <v>0</v>
      </c>
      <c r="F25" s="383">
        <v>0</v>
      </c>
      <c r="G25" s="383">
        <v>0</v>
      </c>
      <c r="H25" s="383">
        <f>6385+8313</f>
        <v>14698</v>
      </c>
      <c r="I25" s="383">
        <f>53328+106198</f>
        <v>159526</v>
      </c>
    </row>
    <row r="26" spans="1:9" ht="18.75" customHeight="1">
      <c r="A26" s="546" t="s">
        <v>6</v>
      </c>
      <c r="B26" s="357" t="s">
        <v>286</v>
      </c>
      <c r="C26" s="562" t="s">
        <v>287</v>
      </c>
      <c r="D26" s="562"/>
      <c r="E26" s="562"/>
      <c r="F26" s="562"/>
      <c r="G26" s="562"/>
      <c r="H26" s="562"/>
      <c r="I26" s="562"/>
    </row>
    <row r="27" spans="1:9" ht="37.5" customHeight="1">
      <c r="A27" s="547"/>
      <c r="B27" s="357" t="s">
        <v>294</v>
      </c>
      <c r="C27" s="562"/>
      <c r="D27" s="562"/>
      <c r="E27" s="562"/>
      <c r="F27" s="562"/>
      <c r="G27" s="562"/>
      <c r="H27" s="562"/>
      <c r="I27" s="562"/>
    </row>
    <row r="28" spans="1:9" ht="18.75" customHeight="1">
      <c r="A28" s="547"/>
      <c r="B28" s="372" t="s">
        <v>295</v>
      </c>
      <c r="C28" s="562"/>
      <c r="D28" s="562"/>
      <c r="E28" s="562"/>
      <c r="F28" s="562"/>
      <c r="G28" s="562"/>
      <c r="H28" s="562"/>
      <c r="I28" s="562"/>
    </row>
    <row r="29" spans="1:9" ht="18.75" customHeight="1">
      <c r="A29" s="547"/>
      <c r="B29" s="359" t="s">
        <v>284</v>
      </c>
      <c r="C29" s="565">
        <v>80115</v>
      </c>
      <c r="D29" s="373">
        <f>SUM(E29:I29)</f>
        <v>156432.95000000001</v>
      </c>
      <c r="E29" s="385">
        <v>0</v>
      </c>
      <c r="F29" s="385">
        <v>0</v>
      </c>
      <c r="G29" s="385">
        <v>0</v>
      </c>
      <c r="H29" s="385">
        <v>8932.32</v>
      </c>
      <c r="I29" s="385">
        <v>147500.63</v>
      </c>
    </row>
    <row r="30" spans="1:9" s="365" customFormat="1" ht="18.75" customHeight="1">
      <c r="A30" s="548"/>
      <c r="B30" s="362" t="s">
        <v>285</v>
      </c>
      <c r="C30" s="566"/>
      <c r="D30" s="375">
        <f>SUM(E30:I30)</f>
        <v>99720</v>
      </c>
      <c r="E30" s="383">
        <v>0</v>
      </c>
      <c r="F30" s="383">
        <v>0</v>
      </c>
      <c r="G30" s="383">
        <v>0</v>
      </c>
      <c r="H30" s="383">
        <f>2926+2768</f>
        <v>5694</v>
      </c>
      <c r="I30" s="383">
        <f>48305+45721</f>
        <v>94026</v>
      </c>
    </row>
    <row r="31" spans="1:9" ht="18.75" customHeight="1">
      <c r="A31" s="546" t="s">
        <v>39</v>
      </c>
      <c r="B31" s="386" t="s">
        <v>296</v>
      </c>
      <c r="C31" s="549" t="s">
        <v>297</v>
      </c>
      <c r="D31" s="550"/>
      <c r="E31" s="550"/>
      <c r="F31" s="550"/>
      <c r="G31" s="550"/>
      <c r="H31" s="550"/>
      <c r="I31" s="551"/>
    </row>
    <row r="32" spans="1:9" ht="18.75" customHeight="1">
      <c r="A32" s="547"/>
      <c r="B32" s="357" t="s">
        <v>288</v>
      </c>
      <c r="C32" s="552"/>
      <c r="D32" s="553"/>
      <c r="E32" s="553"/>
      <c r="F32" s="553"/>
      <c r="G32" s="553"/>
      <c r="H32" s="553"/>
      <c r="I32" s="554"/>
    </row>
    <row r="33" spans="1:9" ht="33.75" customHeight="1">
      <c r="A33" s="547"/>
      <c r="B33" s="372" t="s">
        <v>298</v>
      </c>
      <c r="C33" s="555"/>
      <c r="D33" s="556"/>
      <c r="E33" s="556"/>
      <c r="F33" s="556"/>
      <c r="G33" s="556"/>
      <c r="H33" s="556"/>
      <c r="I33" s="557"/>
    </row>
    <row r="34" spans="1:9" ht="20.25" customHeight="1">
      <c r="A34" s="547"/>
      <c r="B34" s="359" t="s">
        <v>284</v>
      </c>
      <c r="C34" s="565">
        <v>80134</v>
      </c>
      <c r="D34" s="373">
        <f>SUM(E34:I34)</f>
        <v>32599.75</v>
      </c>
      <c r="E34" s="382">
        <v>0</v>
      </c>
      <c r="F34" s="382">
        <v>0</v>
      </c>
      <c r="G34" s="382">
        <v>0</v>
      </c>
      <c r="H34" s="382">
        <v>0</v>
      </c>
      <c r="I34" s="382">
        <v>32599.75</v>
      </c>
    </row>
    <row r="35" spans="1:9" s="365" customFormat="1" ht="18.75" customHeight="1">
      <c r="A35" s="548"/>
      <c r="B35" s="362" t="s">
        <v>285</v>
      </c>
      <c r="C35" s="566"/>
      <c r="D35" s="375">
        <f>SUM(E35:I35)</f>
        <v>99717</v>
      </c>
      <c r="E35" s="383">
        <v>0</v>
      </c>
      <c r="F35" s="383">
        <v>0</v>
      </c>
      <c r="G35" s="383">
        <v>0</v>
      </c>
      <c r="H35" s="383">
        <v>0</v>
      </c>
      <c r="I35" s="383">
        <f>27864+71853</f>
        <v>99717</v>
      </c>
    </row>
    <row r="36" spans="1:9" ht="18.75" customHeight="1">
      <c r="A36" s="546" t="s">
        <v>38</v>
      </c>
      <c r="B36" s="357" t="s">
        <v>286</v>
      </c>
      <c r="C36" s="549" t="s">
        <v>299</v>
      </c>
      <c r="D36" s="550"/>
      <c r="E36" s="550"/>
      <c r="F36" s="550"/>
      <c r="G36" s="550"/>
      <c r="H36" s="550"/>
      <c r="I36" s="551"/>
    </row>
    <row r="37" spans="1:9" ht="18.75" customHeight="1">
      <c r="A37" s="547"/>
      <c r="B37" s="558" t="s">
        <v>294</v>
      </c>
      <c r="C37" s="552"/>
      <c r="D37" s="553"/>
      <c r="E37" s="553"/>
      <c r="F37" s="553"/>
      <c r="G37" s="553"/>
      <c r="H37" s="553"/>
      <c r="I37" s="554"/>
    </row>
    <row r="38" spans="1:9" ht="18.75" customHeight="1">
      <c r="A38" s="547"/>
      <c r="B38" s="559"/>
      <c r="C38" s="552"/>
      <c r="D38" s="553"/>
      <c r="E38" s="553"/>
      <c r="F38" s="553"/>
      <c r="G38" s="553"/>
      <c r="H38" s="553"/>
      <c r="I38" s="554"/>
    </row>
    <row r="39" spans="1:9" ht="33.6" customHeight="1">
      <c r="A39" s="547"/>
      <c r="B39" s="372" t="s">
        <v>300</v>
      </c>
      <c r="C39" s="555"/>
      <c r="D39" s="556"/>
      <c r="E39" s="556"/>
      <c r="F39" s="556"/>
      <c r="G39" s="556"/>
      <c r="H39" s="556"/>
      <c r="I39" s="557"/>
    </row>
    <row r="40" spans="1:9" ht="18.75" customHeight="1">
      <c r="A40" s="547"/>
      <c r="B40" s="359" t="s">
        <v>284</v>
      </c>
      <c r="C40" s="560">
        <v>80102</v>
      </c>
      <c r="D40" s="373">
        <f>SUM(E40:I40)</f>
        <v>65512.5</v>
      </c>
      <c r="E40" s="373">
        <v>0</v>
      </c>
      <c r="F40" s="373">
        <v>0</v>
      </c>
      <c r="G40" s="373">
        <v>0</v>
      </c>
      <c r="H40" s="373">
        <v>3740.76</v>
      </c>
      <c r="I40" s="373">
        <v>61771.74</v>
      </c>
    </row>
    <row r="41" spans="1:9" s="365" customFormat="1" ht="18.75" customHeight="1">
      <c r="A41" s="548"/>
      <c r="B41" s="362" t="s">
        <v>285</v>
      </c>
      <c r="C41" s="561"/>
      <c r="D41" s="375">
        <f>SUM(E41:I41)</f>
        <v>31220</v>
      </c>
      <c r="E41" s="383">
        <v>0</v>
      </c>
      <c r="F41" s="383">
        <v>0</v>
      </c>
      <c r="G41" s="383">
        <v>0</v>
      </c>
      <c r="H41" s="383">
        <v>1783</v>
      </c>
      <c r="I41" s="383">
        <v>29437</v>
      </c>
    </row>
    <row r="42" spans="1:9" s="367" customFormat="1" ht="18.75" customHeight="1">
      <c r="A42" s="546" t="s">
        <v>54</v>
      </c>
      <c r="B42" s="357" t="s">
        <v>286</v>
      </c>
      <c r="C42" s="562" t="s">
        <v>301</v>
      </c>
      <c r="D42" s="562"/>
      <c r="E42" s="562"/>
      <c r="F42" s="562"/>
      <c r="G42" s="562"/>
      <c r="H42" s="562"/>
      <c r="I42" s="562"/>
    </row>
    <row r="43" spans="1:9" s="367" customFormat="1" ht="42.75" customHeight="1">
      <c r="A43" s="547"/>
      <c r="B43" s="357" t="s">
        <v>290</v>
      </c>
      <c r="C43" s="562"/>
      <c r="D43" s="562"/>
      <c r="E43" s="562"/>
      <c r="F43" s="562"/>
      <c r="G43" s="562"/>
      <c r="H43" s="562"/>
      <c r="I43" s="562"/>
    </row>
    <row r="44" spans="1:9" s="367" customFormat="1" ht="23.25" customHeight="1">
      <c r="A44" s="547"/>
      <c r="B44" s="372" t="s">
        <v>302</v>
      </c>
      <c r="C44" s="562"/>
      <c r="D44" s="562"/>
      <c r="E44" s="562"/>
      <c r="F44" s="562"/>
      <c r="G44" s="562"/>
      <c r="H44" s="562"/>
      <c r="I44" s="562"/>
    </row>
    <row r="45" spans="1:9" ht="18.75" customHeight="1">
      <c r="A45" s="547"/>
      <c r="B45" s="359" t="s">
        <v>284</v>
      </c>
      <c r="C45" s="563">
        <v>85295</v>
      </c>
      <c r="D45" s="373">
        <f>SUM(E45:I45)</f>
        <v>17363.36</v>
      </c>
      <c r="E45" s="374">
        <v>9783.4500000000007</v>
      </c>
      <c r="F45" s="374">
        <v>0</v>
      </c>
      <c r="G45" s="374">
        <v>0</v>
      </c>
      <c r="H45" s="374">
        <v>0</v>
      </c>
      <c r="I45" s="374">
        <v>7579.91</v>
      </c>
    </row>
    <row r="46" spans="1:9" s="365" customFormat="1" ht="18.75" customHeight="1">
      <c r="A46" s="548"/>
      <c r="B46" s="362" t="s">
        <v>285</v>
      </c>
      <c r="C46" s="564"/>
      <c r="D46" s="375">
        <f>SUM(E46:I46)</f>
        <v>243333</v>
      </c>
      <c r="E46" s="364">
        <v>43272</v>
      </c>
      <c r="F46" s="364">
        <v>0</v>
      </c>
      <c r="G46" s="364">
        <v>0</v>
      </c>
      <c r="H46" s="364">
        <v>0</v>
      </c>
      <c r="I46" s="364">
        <v>200061</v>
      </c>
    </row>
    <row r="47" spans="1:9" s="367" customFormat="1" ht="18.95" customHeight="1">
      <c r="A47" s="541" t="s">
        <v>37</v>
      </c>
      <c r="B47" s="366" t="s">
        <v>286</v>
      </c>
      <c r="C47" s="544" t="s">
        <v>301</v>
      </c>
      <c r="D47" s="544"/>
      <c r="E47" s="544"/>
      <c r="F47" s="544"/>
      <c r="G47" s="544"/>
      <c r="H47" s="544"/>
      <c r="I47" s="544"/>
    </row>
    <row r="48" spans="1:9" s="367" customFormat="1" ht="40.5" customHeight="1">
      <c r="A48" s="542"/>
      <c r="B48" s="366" t="s">
        <v>290</v>
      </c>
      <c r="C48" s="544"/>
      <c r="D48" s="544"/>
      <c r="E48" s="544"/>
      <c r="F48" s="544"/>
      <c r="G48" s="544"/>
      <c r="H48" s="544"/>
      <c r="I48" s="544"/>
    </row>
    <row r="49" spans="1:12" s="367" customFormat="1" ht="18.95" customHeight="1">
      <c r="A49" s="542"/>
      <c r="B49" s="371" t="s">
        <v>303</v>
      </c>
      <c r="C49" s="544"/>
      <c r="D49" s="544"/>
      <c r="E49" s="544"/>
      <c r="F49" s="544"/>
      <c r="G49" s="544"/>
      <c r="H49" s="544"/>
      <c r="I49" s="544"/>
    </row>
    <row r="50" spans="1:12" s="367" customFormat="1" ht="18.95" customHeight="1">
      <c r="A50" s="542"/>
      <c r="B50" s="368" t="s">
        <v>284</v>
      </c>
      <c r="C50" s="541">
        <v>85295</v>
      </c>
      <c r="D50" s="369">
        <f>SUM(E50:I50)</f>
        <v>160085.51999999999</v>
      </c>
      <c r="E50" s="369">
        <v>27534.66</v>
      </c>
      <c r="F50" s="369">
        <v>0</v>
      </c>
      <c r="G50" s="369">
        <v>0</v>
      </c>
      <c r="H50" s="369">
        <v>0</v>
      </c>
      <c r="I50" s="369">
        <v>132550.85999999999</v>
      </c>
    </row>
    <row r="51" spans="1:12" s="367" customFormat="1" ht="18.95" customHeight="1">
      <c r="A51" s="543"/>
      <c r="B51" s="368" t="s">
        <v>285</v>
      </c>
      <c r="C51" s="543"/>
      <c r="D51" s="369">
        <f>SUM(E51:I51)</f>
        <v>366616</v>
      </c>
      <c r="E51" s="370">
        <f>29991+2457</f>
        <v>32448</v>
      </c>
      <c r="F51" s="370">
        <v>0</v>
      </c>
      <c r="G51" s="370">
        <v>0</v>
      </c>
      <c r="H51" s="370">
        <v>0</v>
      </c>
      <c r="I51" s="370">
        <f>295226+38942</f>
        <v>334168</v>
      </c>
    </row>
    <row r="52" spans="1:12" s="377" customFormat="1" ht="23.25" customHeight="1">
      <c r="A52" s="545" t="s">
        <v>304</v>
      </c>
      <c r="B52" s="545"/>
      <c r="C52" s="545"/>
      <c r="D52" s="376">
        <f>D10+D15+D20+D25+D30+D35+D41+D46+D51</f>
        <v>1387611</v>
      </c>
      <c r="E52" s="376">
        <f>E10+E15+E20+E25+E30+E35+E41+E46+E51</f>
        <v>129338</v>
      </c>
      <c r="F52" s="376">
        <f t="shared" ref="F52:I52" si="0">F10+F15+F20+F25+F30+F35+F41+F46+F51</f>
        <v>0</v>
      </c>
      <c r="G52" s="376">
        <f t="shared" si="0"/>
        <v>0</v>
      </c>
      <c r="H52" s="376">
        <f t="shared" si="0"/>
        <v>44900</v>
      </c>
      <c r="I52" s="376">
        <f t="shared" si="0"/>
        <v>1213373</v>
      </c>
      <c r="L52" s="378"/>
    </row>
    <row r="53" spans="1:12" ht="15.75" customHeight="1"/>
    <row r="54" spans="1:12" ht="15.75" customHeight="1"/>
    <row r="55" spans="1:12" ht="15.75" customHeight="1">
      <c r="E55" s="379"/>
      <c r="G55" s="379"/>
    </row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heetProtection algorithmName="SHA-512" hashValue="R33zK/ibmfo0pcjttYNkAGGdem71NGepWRCt7WYIrZT2NXtPV4Vmr3QQvLZzQtA3GJ2xlTpVwm8PSBnM3Y/R7g==" saltValue="GrFB1KSR9rA3Ct/9LtaxTw==" spinCount="100000" sheet="1" formatColumns="0" formatRows="0"/>
  <mergeCells count="37">
    <mergeCell ref="A2:I2"/>
    <mergeCell ref="A4:A5"/>
    <mergeCell ref="B4:B5"/>
    <mergeCell ref="C4:C5"/>
    <mergeCell ref="D4:D5"/>
    <mergeCell ref="E4:G4"/>
    <mergeCell ref="H4:H5"/>
    <mergeCell ref="I4:I5"/>
    <mergeCell ref="A7:A10"/>
    <mergeCell ref="C7:I8"/>
    <mergeCell ref="C9:C10"/>
    <mergeCell ref="A11:A15"/>
    <mergeCell ref="C11:I13"/>
    <mergeCell ref="C14:C15"/>
    <mergeCell ref="A16:A20"/>
    <mergeCell ref="C16:I18"/>
    <mergeCell ref="C19:C20"/>
    <mergeCell ref="A21:A25"/>
    <mergeCell ref="C21:I23"/>
    <mergeCell ref="C24:C25"/>
    <mergeCell ref="A26:A30"/>
    <mergeCell ref="C26:I28"/>
    <mergeCell ref="C29:C30"/>
    <mergeCell ref="A31:A35"/>
    <mergeCell ref="C31:I33"/>
    <mergeCell ref="C34:C35"/>
    <mergeCell ref="A47:A51"/>
    <mergeCell ref="C47:I49"/>
    <mergeCell ref="C50:C51"/>
    <mergeCell ref="A52:C52"/>
    <mergeCell ref="A36:A41"/>
    <mergeCell ref="C36:I39"/>
    <mergeCell ref="B37:B38"/>
    <mergeCell ref="C40:C41"/>
    <mergeCell ref="A42:A46"/>
    <mergeCell ref="C42:I44"/>
    <mergeCell ref="C45:C46"/>
  </mergeCells>
  <pageMargins left="0.74803149606299213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....................
Rady Powiatu  Otwockiego
z dnia ...........................</firstHeader>
    <firstFooter>&amp;C&amp;P</firstFooter>
  </headerFooter>
  <rowBreaks count="1" manualBreakCount="1">
    <brk id="3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8897-D41C-4077-A31F-F8711479CED4}">
  <sheetPr>
    <tabColor rgb="FFFFC000"/>
  </sheetPr>
  <dimension ref="A1:F171"/>
  <sheetViews>
    <sheetView zoomScaleNormal="100" workbookViewId="0">
      <pane ySplit="4" topLeftCell="A35" activePane="bottomLeft" state="frozen"/>
      <selection activeCell="M10" sqref="M10"/>
      <selection pane="bottomLeft" activeCell="D181" sqref="D179:D181"/>
    </sheetView>
  </sheetViews>
  <sheetFormatPr defaultColWidth="9.33203125" defaultRowHeight="12"/>
  <cols>
    <col min="1" max="1" width="6.33203125" style="234" customWidth="1"/>
    <col min="2" max="2" width="9.5" style="234" customWidth="1"/>
    <col min="3" max="3" width="10.1640625" style="235" customWidth="1"/>
    <col min="4" max="4" width="63.6640625" style="236" customWidth="1"/>
    <col min="5" max="6" width="17.83203125" style="237" customWidth="1"/>
    <col min="7" max="16384" width="9.33203125" style="238"/>
  </cols>
  <sheetData>
    <row r="1" spans="1:6" ht="12.75" customHeight="1"/>
    <row r="2" spans="1:6" ht="30.75" customHeight="1">
      <c r="A2" s="571" t="s">
        <v>256</v>
      </c>
      <c r="B2" s="571"/>
      <c r="C2" s="571"/>
      <c r="D2" s="571"/>
      <c r="E2" s="571"/>
      <c r="F2" s="571"/>
    </row>
    <row r="3" spans="1:6" ht="9.75" customHeight="1"/>
    <row r="4" spans="1:6" s="235" customFormat="1" ht="21" customHeight="1">
      <c r="A4" s="239" t="s">
        <v>0</v>
      </c>
      <c r="B4" s="239" t="s">
        <v>140</v>
      </c>
      <c r="C4" s="240" t="s">
        <v>141</v>
      </c>
      <c r="D4" s="241" t="s">
        <v>142</v>
      </c>
      <c r="E4" s="242" t="s">
        <v>143</v>
      </c>
      <c r="F4" s="242" t="s">
        <v>144</v>
      </c>
    </row>
    <row r="5" spans="1:6" s="466" customFormat="1" ht="15.95" customHeight="1">
      <c r="A5" s="470" t="s">
        <v>145</v>
      </c>
      <c r="B5" s="470" t="s">
        <v>324</v>
      </c>
      <c r="C5" s="470" t="s">
        <v>324</v>
      </c>
      <c r="D5" s="471" t="s">
        <v>146</v>
      </c>
      <c r="E5" s="472">
        <v>12000</v>
      </c>
      <c r="F5" s="472">
        <v>12000</v>
      </c>
    </row>
    <row r="6" spans="1:6" s="466" customFormat="1" ht="15.95" customHeight="1">
      <c r="A6" s="473" t="s">
        <v>324</v>
      </c>
      <c r="B6" s="473" t="s">
        <v>147</v>
      </c>
      <c r="C6" s="473" t="s">
        <v>324</v>
      </c>
      <c r="D6" s="474" t="s">
        <v>148</v>
      </c>
      <c r="E6" s="475">
        <v>12000</v>
      </c>
      <c r="F6" s="475">
        <v>12000</v>
      </c>
    </row>
    <row r="7" spans="1:6" s="466" customFormat="1" ht="50.1" customHeight="1">
      <c r="A7" s="467" t="s">
        <v>324</v>
      </c>
      <c r="B7" s="467" t="s">
        <v>324</v>
      </c>
      <c r="C7" s="467" t="s">
        <v>325</v>
      </c>
      <c r="D7" s="468" t="s">
        <v>326</v>
      </c>
      <c r="E7" s="469">
        <v>12000</v>
      </c>
      <c r="F7" s="469">
        <v>0</v>
      </c>
    </row>
    <row r="8" spans="1:6" s="466" customFormat="1" ht="15" customHeight="1">
      <c r="A8" s="467" t="s">
        <v>324</v>
      </c>
      <c r="B8" s="467" t="s">
        <v>324</v>
      </c>
      <c r="C8" s="467" t="s">
        <v>327</v>
      </c>
      <c r="D8" s="468" t="s">
        <v>149</v>
      </c>
      <c r="E8" s="469">
        <v>0</v>
      </c>
      <c r="F8" s="469">
        <v>12000</v>
      </c>
    </row>
    <row r="9" spans="1:6" s="466" customFormat="1" ht="15.95" customHeight="1">
      <c r="A9" s="470" t="s">
        <v>328</v>
      </c>
      <c r="B9" s="470" t="s">
        <v>324</v>
      </c>
      <c r="C9" s="470" t="s">
        <v>324</v>
      </c>
      <c r="D9" s="471" t="s">
        <v>150</v>
      </c>
      <c r="E9" s="472">
        <v>291000</v>
      </c>
      <c r="F9" s="472">
        <v>291000</v>
      </c>
    </row>
    <row r="10" spans="1:6" s="466" customFormat="1" ht="15.95" customHeight="1">
      <c r="A10" s="473" t="s">
        <v>324</v>
      </c>
      <c r="B10" s="473" t="s">
        <v>329</v>
      </c>
      <c r="C10" s="473" t="s">
        <v>324</v>
      </c>
      <c r="D10" s="474" t="s">
        <v>151</v>
      </c>
      <c r="E10" s="475">
        <v>291000</v>
      </c>
      <c r="F10" s="475">
        <v>291000</v>
      </c>
    </row>
    <row r="11" spans="1:6" s="466" customFormat="1" ht="50.1" customHeight="1">
      <c r="A11" s="467" t="s">
        <v>324</v>
      </c>
      <c r="B11" s="467" t="s">
        <v>324</v>
      </c>
      <c r="C11" s="467" t="s">
        <v>325</v>
      </c>
      <c r="D11" s="468" t="s">
        <v>326</v>
      </c>
      <c r="E11" s="469">
        <v>291000</v>
      </c>
      <c r="F11" s="469">
        <v>0</v>
      </c>
    </row>
    <row r="12" spans="1:6" s="466" customFormat="1" ht="15" customHeight="1">
      <c r="A12" s="467" t="s">
        <v>324</v>
      </c>
      <c r="B12" s="467" t="s">
        <v>324</v>
      </c>
      <c r="C12" s="467" t="s">
        <v>330</v>
      </c>
      <c r="D12" s="468" t="s">
        <v>152</v>
      </c>
      <c r="E12" s="469">
        <v>0</v>
      </c>
      <c r="F12" s="469">
        <v>52248</v>
      </c>
    </row>
    <row r="13" spans="1:6" s="466" customFormat="1" ht="15" customHeight="1">
      <c r="A13" s="467" t="s">
        <v>324</v>
      </c>
      <c r="B13" s="467" t="s">
        <v>324</v>
      </c>
      <c r="C13" s="467" t="s">
        <v>331</v>
      </c>
      <c r="D13" s="468" t="s">
        <v>153</v>
      </c>
      <c r="E13" s="469">
        <v>0</v>
      </c>
      <c r="F13" s="469">
        <v>8982</v>
      </c>
    </row>
    <row r="14" spans="1:6" s="466" customFormat="1" ht="15" customHeight="1">
      <c r="A14" s="467" t="s">
        <v>324</v>
      </c>
      <c r="B14" s="467" t="s">
        <v>324</v>
      </c>
      <c r="C14" s="467" t="s">
        <v>332</v>
      </c>
      <c r="D14" s="468" t="s">
        <v>154</v>
      </c>
      <c r="E14" s="469">
        <v>0</v>
      </c>
      <c r="F14" s="469">
        <v>1280</v>
      </c>
    </row>
    <row r="15" spans="1:6" s="466" customFormat="1" ht="15" customHeight="1">
      <c r="A15" s="467" t="s">
        <v>324</v>
      </c>
      <c r="B15" s="467" t="s">
        <v>324</v>
      </c>
      <c r="C15" s="467" t="s">
        <v>333</v>
      </c>
      <c r="D15" s="468" t="s">
        <v>155</v>
      </c>
      <c r="E15" s="469">
        <v>0</v>
      </c>
      <c r="F15" s="469">
        <v>2000</v>
      </c>
    </row>
    <row r="16" spans="1:6" s="466" customFormat="1" ht="15" customHeight="1">
      <c r="A16" s="467" t="s">
        <v>324</v>
      </c>
      <c r="B16" s="467" t="s">
        <v>324</v>
      </c>
      <c r="C16" s="467" t="s">
        <v>334</v>
      </c>
      <c r="D16" s="468" t="s">
        <v>156</v>
      </c>
      <c r="E16" s="469">
        <v>0</v>
      </c>
      <c r="F16" s="469">
        <v>435</v>
      </c>
    </row>
    <row r="17" spans="1:6" s="466" customFormat="1" ht="15" customHeight="1">
      <c r="A17" s="467" t="s">
        <v>324</v>
      </c>
      <c r="B17" s="467" t="s">
        <v>324</v>
      </c>
      <c r="C17" s="467" t="s">
        <v>335</v>
      </c>
      <c r="D17" s="468" t="s">
        <v>157</v>
      </c>
      <c r="E17" s="469">
        <v>0</v>
      </c>
      <c r="F17" s="469">
        <v>10000</v>
      </c>
    </row>
    <row r="18" spans="1:6" s="466" customFormat="1" ht="15" customHeight="1">
      <c r="A18" s="467" t="s">
        <v>324</v>
      </c>
      <c r="B18" s="467" t="s">
        <v>324</v>
      </c>
      <c r="C18" s="467" t="s">
        <v>336</v>
      </c>
      <c r="D18" s="468" t="s">
        <v>158</v>
      </c>
      <c r="E18" s="469">
        <v>0</v>
      </c>
      <c r="F18" s="469">
        <v>26000</v>
      </c>
    </row>
    <row r="19" spans="1:6" s="466" customFormat="1" ht="15" customHeight="1">
      <c r="A19" s="467" t="s">
        <v>324</v>
      </c>
      <c r="B19" s="467" t="s">
        <v>324</v>
      </c>
      <c r="C19" s="467" t="s">
        <v>327</v>
      </c>
      <c r="D19" s="468" t="s">
        <v>149</v>
      </c>
      <c r="E19" s="469">
        <v>0</v>
      </c>
      <c r="F19" s="469">
        <v>60000</v>
      </c>
    </row>
    <row r="20" spans="1:6" s="466" customFormat="1" ht="15" customHeight="1">
      <c r="A20" s="467" t="s">
        <v>324</v>
      </c>
      <c r="B20" s="467" t="s">
        <v>324</v>
      </c>
      <c r="C20" s="467" t="s">
        <v>337</v>
      </c>
      <c r="D20" s="468" t="s">
        <v>159</v>
      </c>
      <c r="E20" s="469">
        <v>0</v>
      </c>
      <c r="F20" s="469">
        <v>40000</v>
      </c>
    </row>
    <row r="21" spans="1:6" s="466" customFormat="1" ht="15" customHeight="1">
      <c r="A21" s="467" t="s">
        <v>324</v>
      </c>
      <c r="B21" s="467" t="s">
        <v>324</v>
      </c>
      <c r="C21" s="467" t="s">
        <v>338</v>
      </c>
      <c r="D21" s="468" t="s">
        <v>160</v>
      </c>
      <c r="E21" s="469">
        <v>0</v>
      </c>
      <c r="F21" s="469">
        <v>4100</v>
      </c>
    </row>
    <row r="22" spans="1:6" s="466" customFormat="1" ht="15" customHeight="1">
      <c r="A22" s="467" t="s">
        <v>324</v>
      </c>
      <c r="B22" s="467" t="s">
        <v>324</v>
      </c>
      <c r="C22" s="467" t="s">
        <v>339</v>
      </c>
      <c r="D22" s="468" t="s">
        <v>161</v>
      </c>
      <c r="E22" s="469">
        <v>0</v>
      </c>
      <c r="F22" s="469">
        <v>49000</v>
      </c>
    </row>
    <row r="23" spans="1:6" s="466" customFormat="1" ht="15" customHeight="1">
      <c r="A23" s="467" t="s">
        <v>324</v>
      </c>
      <c r="B23" s="467" t="s">
        <v>324</v>
      </c>
      <c r="C23" s="467" t="s">
        <v>340</v>
      </c>
      <c r="D23" s="468" t="s">
        <v>162</v>
      </c>
      <c r="E23" s="469">
        <v>0</v>
      </c>
      <c r="F23" s="469">
        <v>10000</v>
      </c>
    </row>
    <row r="24" spans="1:6" s="466" customFormat="1" ht="15" customHeight="1">
      <c r="A24" s="467" t="s">
        <v>324</v>
      </c>
      <c r="B24" s="467" t="s">
        <v>324</v>
      </c>
      <c r="C24" s="467" t="s">
        <v>341</v>
      </c>
      <c r="D24" s="468" t="s">
        <v>163</v>
      </c>
      <c r="E24" s="469">
        <v>0</v>
      </c>
      <c r="F24" s="469">
        <v>3955</v>
      </c>
    </row>
    <row r="25" spans="1:6" s="466" customFormat="1" ht="15" customHeight="1">
      <c r="A25" s="467" t="s">
        <v>324</v>
      </c>
      <c r="B25" s="467" t="s">
        <v>324</v>
      </c>
      <c r="C25" s="467" t="s">
        <v>342</v>
      </c>
      <c r="D25" s="468" t="s">
        <v>164</v>
      </c>
      <c r="E25" s="469">
        <v>0</v>
      </c>
      <c r="F25" s="469">
        <v>6000</v>
      </c>
    </row>
    <row r="26" spans="1:6" s="466" customFormat="1" ht="15" customHeight="1">
      <c r="A26" s="467" t="s">
        <v>324</v>
      </c>
      <c r="B26" s="467" t="s">
        <v>324</v>
      </c>
      <c r="C26" s="467" t="s">
        <v>343</v>
      </c>
      <c r="D26" s="468" t="s">
        <v>165</v>
      </c>
      <c r="E26" s="469">
        <v>0</v>
      </c>
      <c r="F26" s="469">
        <v>17000</v>
      </c>
    </row>
    <row r="27" spans="1:6" s="466" customFormat="1" ht="15.95" customHeight="1">
      <c r="A27" s="470" t="s">
        <v>344</v>
      </c>
      <c r="B27" s="470" t="s">
        <v>324</v>
      </c>
      <c r="C27" s="470" t="s">
        <v>324</v>
      </c>
      <c r="D27" s="471" t="s">
        <v>166</v>
      </c>
      <c r="E27" s="472">
        <v>1437748</v>
      </c>
      <c r="F27" s="472">
        <v>1437748</v>
      </c>
    </row>
    <row r="28" spans="1:6" s="466" customFormat="1" ht="15.95" customHeight="1">
      <c r="A28" s="473" t="s">
        <v>324</v>
      </c>
      <c r="B28" s="473" t="s">
        <v>167</v>
      </c>
      <c r="C28" s="473" t="s">
        <v>324</v>
      </c>
      <c r="D28" s="474" t="s">
        <v>168</v>
      </c>
      <c r="E28" s="475">
        <v>331000</v>
      </c>
      <c r="F28" s="475">
        <v>331000</v>
      </c>
    </row>
    <row r="29" spans="1:6" s="466" customFormat="1" ht="50.1" customHeight="1">
      <c r="A29" s="467" t="s">
        <v>324</v>
      </c>
      <c r="B29" s="467" t="s">
        <v>324</v>
      </c>
      <c r="C29" s="467" t="s">
        <v>325</v>
      </c>
      <c r="D29" s="468" t="s">
        <v>326</v>
      </c>
      <c r="E29" s="469">
        <v>331000</v>
      </c>
      <c r="F29" s="469">
        <v>0</v>
      </c>
    </row>
    <row r="30" spans="1:6" s="466" customFormat="1" ht="15" customHeight="1">
      <c r="A30" s="467" t="s">
        <v>324</v>
      </c>
      <c r="B30" s="467" t="s">
        <v>324</v>
      </c>
      <c r="C30" s="467" t="s">
        <v>330</v>
      </c>
      <c r="D30" s="468" t="s">
        <v>152</v>
      </c>
      <c r="E30" s="469">
        <v>0</v>
      </c>
      <c r="F30" s="469">
        <v>205007</v>
      </c>
    </row>
    <row r="31" spans="1:6" s="466" customFormat="1" ht="15" customHeight="1">
      <c r="A31" s="467" t="s">
        <v>324</v>
      </c>
      <c r="B31" s="467" t="s">
        <v>324</v>
      </c>
      <c r="C31" s="467" t="s">
        <v>331</v>
      </c>
      <c r="D31" s="468" t="s">
        <v>153</v>
      </c>
      <c r="E31" s="469">
        <v>0</v>
      </c>
      <c r="F31" s="469">
        <v>35241</v>
      </c>
    </row>
    <row r="32" spans="1:6" s="466" customFormat="1" ht="15" customHeight="1">
      <c r="A32" s="467" t="s">
        <v>324</v>
      </c>
      <c r="B32" s="467" t="s">
        <v>324</v>
      </c>
      <c r="C32" s="467" t="s">
        <v>332</v>
      </c>
      <c r="D32" s="468" t="s">
        <v>154</v>
      </c>
      <c r="E32" s="469">
        <v>0</v>
      </c>
      <c r="F32" s="469">
        <v>5023</v>
      </c>
    </row>
    <row r="33" spans="1:6" s="466" customFormat="1" ht="15" customHeight="1">
      <c r="A33" s="467" t="s">
        <v>324</v>
      </c>
      <c r="B33" s="467" t="s">
        <v>324</v>
      </c>
      <c r="C33" s="467" t="s">
        <v>327</v>
      </c>
      <c r="D33" s="468" t="s">
        <v>149</v>
      </c>
      <c r="E33" s="469">
        <v>0</v>
      </c>
      <c r="F33" s="469">
        <v>85729</v>
      </c>
    </row>
    <row r="34" spans="1:6" s="466" customFormat="1" ht="15.95" customHeight="1">
      <c r="A34" s="473" t="s">
        <v>324</v>
      </c>
      <c r="B34" s="473" t="s">
        <v>345</v>
      </c>
      <c r="C34" s="473" t="s">
        <v>324</v>
      </c>
      <c r="D34" s="474" t="s">
        <v>169</v>
      </c>
      <c r="E34" s="475">
        <v>1106748</v>
      </c>
      <c r="F34" s="475">
        <v>1106748</v>
      </c>
    </row>
    <row r="35" spans="1:6" s="466" customFormat="1" ht="50.1" customHeight="1">
      <c r="A35" s="467" t="s">
        <v>324</v>
      </c>
      <c r="B35" s="467" t="s">
        <v>324</v>
      </c>
      <c r="C35" s="467" t="s">
        <v>325</v>
      </c>
      <c r="D35" s="468" t="s">
        <v>326</v>
      </c>
      <c r="E35" s="469">
        <v>1106748</v>
      </c>
      <c r="F35" s="469">
        <v>0</v>
      </c>
    </row>
    <row r="36" spans="1:6" s="466" customFormat="1" ht="15" customHeight="1">
      <c r="A36" s="467" t="s">
        <v>324</v>
      </c>
      <c r="B36" s="467" t="s">
        <v>324</v>
      </c>
      <c r="C36" s="467" t="s">
        <v>346</v>
      </c>
      <c r="D36" s="468" t="s">
        <v>170</v>
      </c>
      <c r="E36" s="469">
        <v>0</v>
      </c>
      <c r="F36" s="469">
        <v>220</v>
      </c>
    </row>
    <row r="37" spans="1:6" s="466" customFormat="1" ht="15" customHeight="1">
      <c r="A37" s="467" t="s">
        <v>324</v>
      </c>
      <c r="B37" s="467" t="s">
        <v>324</v>
      </c>
      <c r="C37" s="467" t="s">
        <v>330</v>
      </c>
      <c r="D37" s="468" t="s">
        <v>152</v>
      </c>
      <c r="E37" s="469">
        <v>0</v>
      </c>
      <c r="F37" s="469">
        <v>202585</v>
      </c>
    </row>
    <row r="38" spans="1:6" s="466" customFormat="1" ht="15" customHeight="1">
      <c r="A38" s="467" t="s">
        <v>324</v>
      </c>
      <c r="B38" s="467" t="s">
        <v>324</v>
      </c>
      <c r="C38" s="467" t="s">
        <v>347</v>
      </c>
      <c r="D38" s="468" t="s">
        <v>171</v>
      </c>
      <c r="E38" s="469">
        <v>0</v>
      </c>
      <c r="F38" s="469">
        <v>540029</v>
      </c>
    </row>
    <row r="39" spans="1:6" s="466" customFormat="1" ht="15" customHeight="1">
      <c r="A39" s="467" t="s">
        <v>324</v>
      </c>
      <c r="B39" s="467" t="s">
        <v>324</v>
      </c>
      <c r="C39" s="467" t="s">
        <v>348</v>
      </c>
      <c r="D39" s="468" t="s">
        <v>172</v>
      </c>
      <c r="E39" s="469">
        <v>0</v>
      </c>
      <c r="F39" s="469">
        <v>51983</v>
      </c>
    </row>
    <row r="40" spans="1:6" s="466" customFormat="1" ht="15" customHeight="1">
      <c r="A40" s="467" t="s">
        <v>324</v>
      </c>
      <c r="B40" s="467" t="s">
        <v>324</v>
      </c>
      <c r="C40" s="467" t="s">
        <v>331</v>
      </c>
      <c r="D40" s="468" t="s">
        <v>153</v>
      </c>
      <c r="E40" s="469">
        <v>0</v>
      </c>
      <c r="F40" s="469">
        <v>134132</v>
      </c>
    </row>
    <row r="41" spans="1:6" s="466" customFormat="1" ht="15" customHeight="1">
      <c r="A41" s="467" t="s">
        <v>324</v>
      </c>
      <c r="B41" s="467" t="s">
        <v>324</v>
      </c>
      <c r="C41" s="467" t="s">
        <v>332</v>
      </c>
      <c r="D41" s="468" t="s">
        <v>154</v>
      </c>
      <c r="E41" s="469">
        <v>0</v>
      </c>
      <c r="F41" s="469">
        <v>18464</v>
      </c>
    </row>
    <row r="42" spans="1:6" s="466" customFormat="1" ht="15" customHeight="1">
      <c r="A42" s="467" t="s">
        <v>324</v>
      </c>
      <c r="B42" s="467" t="s">
        <v>324</v>
      </c>
      <c r="C42" s="467" t="s">
        <v>333</v>
      </c>
      <c r="D42" s="468" t="s">
        <v>155</v>
      </c>
      <c r="E42" s="469">
        <v>0</v>
      </c>
      <c r="F42" s="469">
        <v>1225</v>
      </c>
    </row>
    <row r="43" spans="1:6" s="466" customFormat="1" ht="15" customHeight="1">
      <c r="A43" s="467" t="s">
        <v>324</v>
      </c>
      <c r="B43" s="467" t="s">
        <v>324</v>
      </c>
      <c r="C43" s="467" t="s">
        <v>334</v>
      </c>
      <c r="D43" s="468" t="s">
        <v>156</v>
      </c>
      <c r="E43" s="469">
        <v>0</v>
      </c>
      <c r="F43" s="469">
        <v>13316</v>
      </c>
    </row>
    <row r="44" spans="1:6" s="466" customFormat="1" ht="15" customHeight="1">
      <c r="A44" s="467" t="s">
        <v>324</v>
      </c>
      <c r="B44" s="467" t="s">
        <v>324</v>
      </c>
      <c r="C44" s="467" t="s">
        <v>335</v>
      </c>
      <c r="D44" s="468" t="s">
        <v>157</v>
      </c>
      <c r="E44" s="469">
        <v>0</v>
      </c>
      <c r="F44" s="469">
        <v>18030</v>
      </c>
    </row>
    <row r="45" spans="1:6" s="466" customFormat="1" ht="15" customHeight="1">
      <c r="A45" s="467" t="s">
        <v>324</v>
      </c>
      <c r="B45" s="467" t="s">
        <v>324</v>
      </c>
      <c r="C45" s="467" t="s">
        <v>336</v>
      </c>
      <c r="D45" s="468" t="s">
        <v>158</v>
      </c>
      <c r="E45" s="469">
        <v>0</v>
      </c>
      <c r="F45" s="469">
        <v>5050</v>
      </c>
    </row>
    <row r="46" spans="1:6" s="466" customFormat="1" ht="15" customHeight="1">
      <c r="A46" s="467" t="s">
        <v>324</v>
      </c>
      <c r="B46" s="467" t="s">
        <v>324</v>
      </c>
      <c r="C46" s="467" t="s">
        <v>349</v>
      </c>
      <c r="D46" s="468" t="s">
        <v>173</v>
      </c>
      <c r="E46" s="469">
        <v>0</v>
      </c>
      <c r="F46" s="469">
        <v>964</v>
      </c>
    </row>
    <row r="47" spans="1:6" s="466" customFormat="1" ht="15" customHeight="1">
      <c r="A47" s="467" t="s">
        <v>324</v>
      </c>
      <c r="B47" s="467" t="s">
        <v>324</v>
      </c>
      <c r="C47" s="467" t="s">
        <v>327</v>
      </c>
      <c r="D47" s="468" t="s">
        <v>149</v>
      </c>
      <c r="E47" s="469">
        <v>0</v>
      </c>
      <c r="F47" s="469">
        <v>86496</v>
      </c>
    </row>
    <row r="48" spans="1:6" s="466" customFormat="1" ht="15" customHeight="1">
      <c r="A48" s="467" t="s">
        <v>324</v>
      </c>
      <c r="B48" s="467" t="s">
        <v>324</v>
      </c>
      <c r="C48" s="467" t="s">
        <v>350</v>
      </c>
      <c r="D48" s="468" t="s">
        <v>351</v>
      </c>
      <c r="E48" s="469">
        <v>0</v>
      </c>
      <c r="F48" s="469">
        <v>4251</v>
      </c>
    </row>
    <row r="49" spans="1:6" s="466" customFormat="1" ht="15" customHeight="1">
      <c r="A49" s="467" t="s">
        <v>324</v>
      </c>
      <c r="B49" s="467" t="s">
        <v>324</v>
      </c>
      <c r="C49" s="467" t="s">
        <v>352</v>
      </c>
      <c r="D49" s="468" t="s">
        <v>174</v>
      </c>
      <c r="E49" s="469">
        <v>0</v>
      </c>
      <c r="F49" s="469">
        <v>512</v>
      </c>
    </row>
    <row r="50" spans="1:6" s="466" customFormat="1" ht="15" customHeight="1">
      <c r="A50" s="467" t="s">
        <v>324</v>
      </c>
      <c r="B50" s="467" t="s">
        <v>324</v>
      </c>
      <c r="C50" s="467" t="s">
        <v>338</v>
      </c>
      <c r="D50" s="468" t="s">
        <v>160</v>
      </c>
      <c r="E50" s="469">
        <v>0</v>
      </c>
      <c r="F50" s="469">
        <v>4796</v>
      </c>
    </row>
    <row r="51" spans="1:6" s="466" customFormat="1" ht="15" customHeight="1">
      <c r="A51" s="467" t="s">
        <v>324</v>
      </c>
      <c r="B51" s="467" t="s">
        <v>324</v>
      </c>
      <c r="C51" s="467" t="s">
        <v>353</v>
      </c>
      <c r="D51" s="468" t="s">
        <v>175</v>
      </c>
      <c r="E51" s="469">
        <v>0</v>
      </c>
      <c r="F51" s="469">
        <v>17441</v>
      </c>
    </row>
    <row r="52" spans="1:6" s="466" customFormat="1" ht="15" customHeight="1">
      <c r="A52" s="467" t="s">
        <v>324</v>
      </c>
      <c r="B52" s="467" t="s">
        <v>324</v>
      </c>
      <c r="C52" s="467" t="s">
        <v>339</v>
      </c>
      <c r="D52" s="468" t="s">
        <v>161</v>
      </c>
      <c r="E52" s="469">
        <v>0</v>
      </c>
      <c r="F52" s="469">
        <v>1300</v>
      </c>
    </row>
    <row r="53" spans="1:6" s="466" customFormat="1" ht="15" customHeight="1">
      <c r="A53" s="467" t="s">
        <v>324</v>
      </c>
      <c r="B53" s="467" t="s">
        <v>324</v>
      </c>
      <c r="C53" s="467" t="s">
        <v>354</v>
      </c>
      <c r="D53" s="468" t="s">
        <v>176</v>
      </c>
      <c r="E53" s="469">
        <v>0</v>
      </c>
      <c r="F53" s="469">
        <v>1171</v>
      </c>
    </row>
    <row r="54" spans="1:6" s="466" customFormat="1" ht="15" customHeight="1">
      <c r="A54" s="467" t="s">
        <v>324</v>
      </c>
      <c r="B54" s="467" t="s">
        <v>324</v>
      </c>
      <c r="C54" s="467" t="s">
        <v>343</v>
      </c>
      <c r="D54" s="468" t="s">
        <v>165</v>
      </c>
      <c r="E54" s="469">
        <v>0</v>
      </c>
      <c r="F54" s="469">
        <v>1085</v>
      </c>
    </row>
    <row r="55" spans="1:6" s="466" customFormat="1" ht="24">
      <c r="A55" s="467" t="s">
        <v>324</v>
      </c>
      <c r="B55" s="467" t="s">
        <v>324</v>
      </c>
      <c r="C55" s="467" t="s">
        <v>355</v>
      </c>
      <c r="D55" s="468" t="s">
        <v>177</v>
      </c>
      <c r="E55" s="469">
        <v>0</v>
      </c>
      <c r="F55" s="469">
        <v>1171</v>
      </c>
    </row>
    <row r="56" spans="1:6" s="466" customFormat="1" ht="17.25" customHeight="1">
      <c r="A56" s="467" t="s">
        <v>324</v>
      </c>
      <c r="B56" s="467" t="s">
        <v>324</v>
      </c>
      <c r="C56" s="467" t="s">
        <v>356</v>
      </c>
      <c r="D56" s="468" t="s">
        <v>178</v>
      </c>
      <c r="E56" s="469">
        <v>0</v>
      </c>
      <c r="F56" s="469">
        <v>2527</v>
      </c>
    </row>
    <row r="57" spans="1:6" s="466" customFormat="1" ht="15.95" customHeight="1">
      <c r="A57" s="470" t="s">
        <v>357</v>
      </c>
      <c r="B57" s="470" t="s">
        <v>324</v>
      </c>
      <c r="C57" s="470" t="s">
        <v>324</v>
      </c>
      <c r="D57" s="471" t="s">
        <v>179</v>
      </c>
      <c r="E57" s="472">
        <v>57451</v>
      </c>
      <c r="F57" s="472">
        <v>57451</v>
      </c>
    </row>
    <row r="58" spans="1:6" s="466" customFormat="1" ht="15.95" customHeight="1">
      <c r="A58" s="473" t="s">
        <v>324</v>
      </c>
      <c r="B58" s="473" t="s">
        <v>358</v>
      </c>
      <c r="C58" s="473" t="s">
        <v>324</v>
      </c>
      <c r="D58" s="474" t="s">
        <v>180</v>
      </c>
      <c r="E58" s="475">
        <v>34791</v>
      </c>
      <c r="F58" s="475">
        <v>34791</v>
      </c>
    </row>
    <row r="59" spans="1:6" s="466" customFormat="1" ht="50.1" customHeight="1">
      <c r="A59" s="467" t="s">
        <v>324</v>
      </c>
      <c r="B59" s="467" t="s">
        <v>324</v>
      </c>
      <c r="C59" s="467" t="s">
        <v>325</v>
      </c>
      <c r="D59" s="468" t="s">
        <v>326</v>
      </c>
      <c r="E59" s="469">
        <v>34791</v>
      </c>
      <c r="F59" s="469">
        <v>0</v>
      </c>
    </row>
    <row r="60" spans="1:6" s="466" customFormat="1" ht="15" customHeight="1">
      <c r="A60" s="467" t="s">
        <v>324</v>
      </c>
      <c r="B60" s="467" t="s">
        <v>324</v>
      </c>
      <c r="C60" s="467" t="s">
        <v>330</v>
      </c>
      <c r="D60" s="468" t="s">
        <v>152</v>
      </c>
      <c r="E60" s="469">
        <v>0</v>
      </c>
      <c r="F60" s="469">
        <v>29080</v>
      </c>
    </row>
    <row r="61" spans="1:6" s="466" customFormat="1" ht="15" customHeight="1">
      <c r="A61" s="467" t="s">
        <v>324</v>
      </c>
      <c r="B61" s="467" t="s">
        <v>324</v>
      </c>
      <c r="C61" s="467" t="s">
        <v>331</v>
      </c>
      <c r="D61" s="468" t="s">
        <v>153</v>
      </c>
      <c r="E61" s="469">
        <v>0</v>
      </c>
      <c r="F61" s="469">
        <v>4999</v>
      </c>
    </row>
    <row r="62" spans="1:6" s="466" customFormat="1" ht="15" customHeight="1">
      <c r="A62" s="467" t="s">
        <v>324</v>
      </c>
      <c r="B62" s="467" t="s">
        <v>324</v>
      </c>
      <c r="C62" s="467" t="s">
        <v>332</v>
      </c>
      <c r="D62" s="468" t="s">
        <v>154</v>
      </c>
      <c r="E62" s="469">
        <v>0</v>
      </c>
      <c r="F62" s="469">
        <v>712</v>
      </c>
    </row>
    <row r="63" spans="1:6" s="466" customFormat="1" ht="15.95" customHeight="1">
      <c r="A63" s="473" t="s">
        <v>324</v>
      </c>
      <c r="B63" s="473" t="s">
        <v>359</v>
      </c>
      <c r="C63" s="473" t="s">
        <v>324</v>
      </c>
      <c r="D63" s="474" t="s">
        <v>181</v>
      </c>
      <c r="E63" s="475">
        <v>22660</v>
      </c>
      <c r="F63" s="475">
        <v>22660</v>
      </c>
    </row>
    <row r="64" spans="1:6" s="466" customFormat="1" ht="50.1" customHeight="1">
      <c r="A64" s="467" t="s">
        <v>324</v>
      </c>
      <c r="B64" s="467" t="s">
        <v>324</v>
      </c>
      <c r="C64" s="467" t="s">
        <v>325</v>
      </c>
      <c r="D64" s="468" t="s">
        <v>326</v>
      </c>
      <c r="E64" s="469">
        <v>22660</v>
      </c>
      <c r="F64" s="469">
        <v>0</v>
      </c>
    </row>
    <row r="65" spans="1:6" s="466" customFormat="1" ht="15" customHeight="1">
      <c r="A65" s="467" t="s">
        <v>324</v>
      </c>
      <c r="B65" s="467" t="s">
        <v>324</v>
      </c>
      <c r="C65" s="467" t="s">
        <v>331</v>
      </c>
      <c r="D65" s="468" t="s">
        <v>153</v>
      </c>
      <c r="E65" s="469">
        <v>0</v>
      </c>
      <c r="F65" s="469">
        <v>2581</v>
      </c>
    </row>
    <row r="66" spans="1:6" s="466" customFormat="1" ht="15" customHeight="1">
      <c r="A66" s="467" t="s">
        <v>324</v>
      </c>
      <c r="B66" s="467" t="s">
        <v>324</v>
      </c>
      <c r="C66" s="467" t="s">
        <v>332</v>
      </c>
      <c r="D66" s="468" t="s">
        <v>154</v>
      </c>
      <c r="E66" s="469">
        <v>0</v>
      </c>
      <c r="F66" s="469">
        <v>368</v>
      </c>
    </row>
    <row r="67" spans="1:6" s="466" customFormat="1" ht="15" customHeight="1">
      <c r="A67" s="467" t="s">
        <v>324</v>
      </c>
      <c r="B67" s="467" t="s">
        <v>324</v>
      </c>
      <c r="C67" s="467" t="s">
        <v>333</v>
      </c>
      <c r="D67" s="468" t="s">
        <v>155</v>
      </c>
      <c r="E67" s="469">
        <v>0</v>
      </c>
      <c r="F67" s="469">
        <v>18011</v>
      </c>
    </row>
    <row r="68" spans="1:6" s="466" customFormat="1" ht="15" customHeight="1">
      <c r="A68" s="467" t="s">
        <v>324</v>
      </c>
      <c r="B68" s="467" t="s">
        <v>324</v>
      </c>
      <c r="C68" s="467" t="s">
        <v>334</v>
      </c>
      <c r="D68" s="468" t="s">
        <v>156</v>
      </c>
      <c r="E68" s="469">
        <v>0</v>
      </c>
      <c r="F68" s="469">
        <v>1700</v>
      </c>
    </row>
    <row r="69" spans="1:6" s="466" customFormat="1" ht="15.95" customHeight="1">
      <c r="A69" s="470" t="s">
        <v>360</v>
      </c>
      <c r="B69" s="470" t="s">
        <v>324</v>
      </c>
      <c r="C69" s="470" t="s">
        <v>324</v>
      </c>
      <c r="D69" s="471" t="s">
        <v>182</v>
      </c>
      <c r="E69" s="472">
        <v>8751997</v>
      </c>
      <c r="F69" s="472">
        <v>8751997</v>
      </c>
    </row>
    <row r="70" spans="1:6" s="466" customFormat="1" ht="15.95" customHeight="1">
      <c r="A70" s="473" t="s">
        <v>324</v>
      </c>
      <c r="B70" s="473" t="s">
        <v>361</v>
      </c>
      <c r="C70" s="473" t="s">
        <v>324</v>
      </c>
      <c r="D70" s="474" t="s">
        <v>183</v>
      </c>
      <c r="E70" s="475">
        <v>8751997</v>
      </c>
      <c r="F70" s="475">
        <v>8751997</v>
      </c>
    </row>
    <row r="71" spans="1:6" s="466" customFormat="1" ht="50.1" customHeight="1">
      <c r="A71" s="467" t="s">
        <v>324</v>
      </c>
      <c r="B71" s="467" t="s">
        <v>324</v>
      </c>
      <c r="C71" s="467" t="s">
        <v>325</v>
      </c>
      <c r="D71" s="468" t="s">
        <v>326</v>
      </c>
      <c r="E71" s="469">
        <v>8751997</v>
      </c>
      <c r="F71" s="469">
        <v>0</v>
      </c>
    </row>
    <row r="72" spans="1:6" s="466" customFormat="1" ht="30" customHeight="1">
      <c r="A72" s="467" t="s">
        <v>324</v>
      </c>
      <c r="B72" s="467" t="s">
        <v>324</v>
      </c>
      <c r="C72" s="467" t="s">
        <v>362</v>
      </c>
      <c r="D72" s="468" t="s">
        <v>184</v>
      </c>
      <c r="E72" s="469">
        <v>0</v>
      </c>
      <c r="F72" s="469">
        <v>292625</v>
      </c>
    </row>
    <row r="73" spans="1:6" s="466" customFormat="1" ht="15" customHeight="1">
      <c r="A73" s="467" t="s">
        <v>324</v>
      </c>
      <c r="B73" s="467" t="s">
        <v>324</v>
      </c>
      <c r="C73" s="467" t="s">
        <v>330</v>
      </c>
      <c r="D73" s="468" t="s">
        <v>152</v>
      </c>
      <c r="E73" s="469">
        <v>0</v>
      </c>
      <c r="F73" s="469">
        <v>70614</v>
      </c>
    </row>
    <row r="74" spans="1:6" s="466" customFormat="1" ht="15" customHeight="1">
      <c r="A74" s="467" t="s">
        <v>324</v>
      </c>
      <c r="B74" s="467" t="s">
        <v>324</v>
      </c>
      <c r="C74" s="467" t="s">
        <v>347</v>
      </c>
      <c r="D74" s="468" t="s">
        <v>171</v>
      </c>
      <c r="E74" s="469">
        <v>0</v>
      </c>
      <c r="F74" s="469">
        <v>156960</v>
      </c>
    </row>
    <row r="75" spans="1:6" s="466" customFormat="1" ht="15" customHeight="1">
      <c r="A75" s="467" t="s">
        <v>324</v>
      </c>
      <c r="B75" s="467" t="s">
        <v>324</v>
      </c>
      <c r="C75" s="467" t="s">
        <v>348</v>
      </c>
      <c r="D75" s="468" t="s">
        <v>172</v>
      </c>
      <c r="E75" s="469">
        <v>0</v>
      </c>
      <c r="F75" s="469">
        <v>13597</v>
      </c>
    </row>
    <row r="76" spans="1:6" s="466" customFormat="1" ht="15" customHeight="1">
      <c r="A76" s="467" t="s">
        <v>324</v>
      </c>
      <c r="B76" s="467" t="s">
        <v>324</v>
      </c>
      <c r="C76" s="467" t="s">
        <v>363</v>
      </c>
      <c r="D76" s="468" t="s">
        <v>185</v>
      </c>
      <c r="E76" s="469">
        <v>0</v>
      </c>
      <c r="F76" s="469">
        <v>6326078</v>
      </c>
    </row>
    <row r="77" spans="1:6" s="466" customFormat="1" ht="36" customHeight="1">
      <c r="A77" s="467" t="s">
        <v>324</v>
      </c>
      <c r="B77" s="467" t="s">
        <v>324</v>
      </c>
      <c r="C77" s="467" t="s">
        <v>364</v>
      </c>
      <c r="D77" s="468" t="s">
        <v>186</v>
      </c>
      <c r="E77" s="469">
        <v>0</v>
      </c>
      <c r="F77" s="469">
        <v>153420</v>
      </c>
    </row>
    <row r="78" spans="1:6" s="466" customFormat="1" ht="37.5" customHeight="1">
      <c r="A78" s="467" t="s">
        <v>324</v>
      </c>
      <c r="B78" s="467" t="s">
        <v>324</v>
      </c>
      <c r="C78" s="467" t="s">
        <v>365</v>
      </c>
      <c r="D78" s="468" t="s">
        <v>187</v>
      </c>
      <c r="E78" s="469">
        <v>0</v>
      </c>
      <c r="F78" s="469">
        <v>493331</v>
      </c>
    </row>
    <row r="79" spans="1:6" s="466" customFormat="1" ht="33.75" customHeight="1">
      <c r="A79" s="467" t="s">
        <v>324</v>
      </c>
      <c r="B79" s="467" t="s">
        <v>324</v>
      </c>
      <c r="C79" s="467" t="s">
        <v>366</v>
      </c>
      <c r="D79" s="468" t="s">
        <v>188</v>
      </c>
      <c r="E79" s="469">
        <v>0</v>
      </c>
      <c r="F79" s="469">
        <v>20592</v>
      </c>
    </row>
    <row r="80" spans="1:6" s="466" customFormat="1" ht="15" customHeight="1">
      <c r="A80" s="467" t="s">
        <v>324</v>
      </c>
      <c r="B80" s="467" t="s">
        <v>324</v>
      </c>
      <c r="C80" s="467" t="s">
        <v>331</v>
      </c>
      <c r="D80" s="468" t="s">
        <v>153</v>
      </c>
      <c r="E80" s="469">
        <v>0</v>
      </c>
      <c r="F80" s="469">
        <v>42444</v>
      </c>
    </row>
    <row r="81" spans="1:6" s="466" customFormat="1" ht="15" customHeight="1">
      <c r="A81" s="467" t="s">
        <v>324</v>
      </c>
      <c r="B81" s="467" t="s">
        <v>324</v>
      </c>
      <c r="C81" s="467" t="s">
        <v>332</v>
      </c>
      <c r="D81" s="468" t="s">
        <v>154</v>
      </c>
      <c r="E81" s="469">
        <v>0</v>
      </c>
      <c r="F81" s="469">
        <v>5758</v>
      </c>
    </row>
    <row r="82" spans="1:6" s="466" customFormat="1" ht="15" customHeight="1">
      <c r="A82" s="467" t="s">
        <v>324</v>
      </c>
      <c r="B82" s="467" t="s">
        <v>324</v>
      </c>
      <c r="C82" s="467" t="s">
        <v>333</v>
      </c>
      <c r="D82" s="468" t="s">
        <v>155</v>
      </c>
      <c r="E82" s="469">
        <v>0</v>
      </c>
      <c r="F82" s="469">
        <v>1458</v>
      </c>
    </row>
    <row r="83" spans="1:6" s="466" customFormat="1" ht="33.75" customHeight="1">
      <c r="A83" s="467" t="s">
        <v>324</v>
      </c>
      <c r="B83" s="467" t="s">
        <v>324</v>
      </c>
      <c r="C83" s="467" t="s">
        <v>367</v>
      </c>
      <c r="D83" s="468" t="s">
        <v>368</v>
      </c>
      <c r="E83" s="469">
        <v>0</v>
      </c>
      <c r="F83" s="469">
        <v>743438</v>
      </c>
    </row>
    <row r="84" spans="1:6" s="466" customFormat="1" ht="15" customHeight="1">
      <c r="A84" s="467" t="s">
        <v>324</v>
      </c>
      <c r="B84" s="467" t="s">
        <v>324</v>
      </c>
      <c r="C84" s="467" t="s">
        <v>334</v>
      </c>
      <c r="D84" s="468" t="s">
        <v>156</v>
      </c>
      <c r="E84" s="469">
        <v>0</v>
      </c>
      <c r="F84" s="469">
        <v>129777</v>
      </c>
    </row>
    <row r="85" spans="1:6" s="466" customFormat="1" ht="15" customHeight="1">
      <c r="A85" s="467" t="s">
        <v>324</v>
      </c>
      <c r="B85" s="467" t="s">
        <v>324</v>
      </c>
      <c r="C85" s="467" t="s">
        <v>369</v>
      </c>
      <c r="D85" s="468" t="s">
        <v>189</v>
      </c>
      <c r="E85" s="469">
        <v>0</v>
      </c>
      <c r="F85" s="469">
        <v>8250</v>
      </c>
    </row>
    <row r="86" spans="1:6" s="466" customFormat="1" ht="15" customHeight="1">
      <c r="A86" s="467" t="s">
        <v>324</v>
      </c>
      <c r="B86" s="467" t="s">
        <v>324</v>
      </c>
      <c r="C86" s="467" t="s">
        <v>370</v>
      </c>
      <c r="D86" s="468" t="s">
        <v>190</v>
      </c>
      <c r="E86" s="469">
        <v>0</v>
      </c>
      <c r="F86" s="469">
        <v>6701</v>
      </c>
    </row>
    <row r="87" spans="1:6" s="466" customFormat="1" ht="15" customHeight="1">
      <c r="A87" s="467" t="s">
        <v>324</v>
      </c>
      <c r="B87" s="467" t="s">
        <v>324</v>
      </c>
      <c r="C87" s="467" t="s">
        <v>371</v>
      </c>
      <c r="D87" s="468" t="s">
        <v>191</v>
      </c>
      <c r="E87" s="469">
        <v>0</v>
      </c>
      <c r="F87" s="469">
        <v>4759</v>
      </c>
    </row>
    <row r="88" spans="1:6" s="466" customFormat="1" ht="15" customHeight="1">
      <c r="A88" s="467" t="s">
        <v>324</v>
      </c>
      <c r="B88" s="467" t="s">
        <v>324</v>
      </c>
      <c r="C88" s="467" t="s">
        <v>335</v>
      </c>
      <c r="D88" s="468" t="s">
        <v>157</v>
      </c>
      <c r="E88" s="469">
        <v>0</v>
      </c>
      <c r="F88" s="469">
        <v>106302</v>
      </c>
    </row>
    <row r="89" spans="1:6" s="466" customFormat="1" ht="15" customHeight="1">
      <c r="A89" s="467" t="s">
        <v>324</v>
      </c>
      <c r="B89" s="467" t="s">
        <v>324</v>
      </c>
      <c r="C89" s="467" t="s">
        <v>336</v>
      </c>
      <c r="D89" s="468" t="s">
        <v>158</v>
      </c>
      <c r="E89" s="469">
        <v>0</v>
      </c>
      <c r="F89" s="469">
        <v>78685</v>
      </c>
    </row>
    <row r="90" spans="1:6" s="466" customFormat="1" ht="15" customHeight="1">
      <c r="A90" s="467" t="s">
        <v>324</v>
      </c>
      <c r="B90" s="467" t="s">
        <v>324</v>
      </c>
      <c r="C90" s="467" t="s">
        <v>349</v>
      </c>
      <c r="D90" s="468" t="s">
        <v>173</v>
      </c>
      <c r="E90" s="469">
        <v>0</v>
      </c>
      <c r="F90" s="469">
        <v>13000</v>
      </c>
    </row>
    <row r="91" spans="1:6" s="466" customFormat="1" ht="15" customHeight="1">
      <c r="A91" s="467" t="s">
        <v>324</v>
      </c>
      <c r="B91" s="467" t="s">
        <v>324</v>
      </c>
      <c r="C91" s="467" t="s">
        <v>327</v>
      </c>
      <c r="D91" s="468" t="s">
        <v>149</v>
      </c>
      <c r="E91" s="469">
        <v>0</v>
      </c>
      <c r="F91" s="469">
        <v>43914</v>
      </c>
    </row>
    <row r="92" spans="1:6" s="466" customFormat="1" ht="15" customHeight="1">
      <c r="A92" s="467" t="s">
        <v>324</v>
      </c>
      <c r="B92" s="467" t="s">
        <v>324</v>
      </c>
      <c r="C92" s="467" t="s">
        <v>350</v>
      </c>
      <c r="D92" s="468" t="s">
        <v>351</v>
      </c>
      <c r="E92" s="469">
        <v>0</v>
      </c>
      <c r="F92" s="469">
        <v>5580</v>
      </c>
    </row>
    <row r="93" spans="1:6" s="466" customFormat="1" ht="15" customHeight="1">
      <c r="A93" s="467" t="s">
        <v>324</v>
      </c>
      <c r="B93" s="467" t="s">
        <v>324</v>
      </c>
      <c r="C93" s="467" t="s">
        <v>352</v>
      </c>
      <c r="D93" s="468" t="s">
        <v>174</v>
      </c>
      <c r="E93" s="469">
        <v>0</v>
      </c>
      <c r="F93" s="469">
        <v>8211</v>
      </c>
    </row>
    <row r="94" spans="1:6" s="466" customFormat="1" ht="15" customHeight="1">
      <c r="A94" s="467" t="s">
        <v>324</v>
      </c>
      <c r="B94" s="467" t="s">
        <v>324</v>
      </c>
      <c r="C94" s="467" t="s">
        <v>338</v>
      </c>
      <c r="D94" s="468" t="s">
        <v>160</v>
      </c>
      <c r="E94" s="469">
        <v>0</v>
      </c>
      <c r="F94" s="469">
        <v>1936</v>
      </c>
    </row>
    <row r="95" spans="1:6" s="466" customFormat="1" ht="15" customHeight="1">
      <c r="A95" s="467" t="s">
        <v>324</v>
      </c>
      <c r="B95" s="467" t="s">
        <v>324</v>
      </c>
      <c r="C95" s="467" t="s">
        <v>353</v>
      </c>
      <c r="D95" s="468" t="s">
        <v>175</v>
      </c>
      <c r="E95" s="469">
        <v>0</v>
      </c>
      <c r="F95" s="469">
        <v>6652</v>
      </c>
    </row>
    <row r="96" spans="1:6" s="466" customFormat="1" ht="15" customHeight="1">
      <c r="A96" s="467" t="s">
        <v>324</v>
      </c>
      <c r="B96" s="467" t="s">
        <v>324</v>
      </c>
      <c r="C96" s="467" t="s">
        <v>339</v>
      </c>
      <c r="D96" s="468" t="s">
        <v>161</v>
      </c>
      <c r="E96" s="469">
        <v>0</v>
      </c>
      <c r="F96" s="469">
        <v>9510</v>
      </c>
    </row>
    <row r="97" spans="1:6" s="466" customFormat="1" ht="15" customHeight="1">
      <c r="A97" s="467" t="s">
        <v>324</v>
      </c>
      <c r="B97" s="467" t="s">
        <v>324</v>
      </c>
      <c r="C97" s="467" t="s">
        <v>340</v>
      </c>
      <c r="D97" s="468" t="s">
        <v>162</v>
      </c>
      <c r="E97" s="469">
        <v>0</v>
      </c>
      <c r="F97" s="469">
        <v>4097</v>
      </c>
    </row>
    <row r="98" spans="1:6" s="466" customFormat="1" ht="15" customHeight="1">
      <c r="A98" s="467" t="s">
        <v>324</v>
      </c>
      <c r="B98" s="467" t="s">
        <v>324</v>
      </c>
      <c r="C98" s="467" t="s">
        <v>354</v>
      </c>
      <c r="D98" s="468" t="s">
        <v>176</v>
      </c>
      <c r="E98" s="469">
        <v>0</v>
      </c>
      <c r="F98" s="469">
        <v>1000</v>
      </c>
    </row>
    <row r="99" spans="1:6" s="466" customFormat="1" ht="24">
      <c r="A99" s="467" t="s">
        <v>324</v>
      </c>
      <c r="B99" s="467" t="s">
        <v>324</v>
      </c>
      <c r="C99" s="467" t="s">
        <v>355</v>
      </c>
      <c r="D99" s="468" t="s">
        <v>177</v>
      </c>
      <c r="E99" s="469">
        <v>0</v>
      </c>
      <c r="F99" s="469">
        <v>3000</v>
      </c>
    </row>
    <row r="100" spans="1:6" s="466" customFormat="1" ht="18.75" customHeight="1">
      <c r="A100" s="467" t="s">
        <v>324</v>
      </c>
      <c r="B100" s="467" t="s">
        <v>324</v>
      </c>
      <c r="C100" s="467" t="s">
        <v>356</v>
      </c>
      <c r="D100" s="468" t="s">
        <v>178</v>
      </c>
      <c r="E100" s="469">
        <v>0</v>
      </c>
      <c r="F100" s="469">
        <v>308</v>
      </c>
    </row>
    <row r="101" spans="1:6" s="466" customFormat="1" ht="15.95" customHeight="1">
      <c r="A101" s="470" t="s">
        <v>192</v>
      </c>
      <c r="B101" s="470" t="s">
        <v>324</v>
      </c>
      <c r="C101" s="470" t="s">
        <v>324</v>
      </c>
      <c r="D101" s="471" t="s">
        <v>193</v>
      </c>
      <c r="E101" s="472">
        <v>330000</v>
      </c>
      <c r="F101" s="472">
        <v>330000</v>
      </c>
    </row>
    <row r="102" spans="1:6" s="466" customFormat="1" ht="15.95" customHeight="1">
      <c r="A102" s="473" t="s">
        <v>324</v>
      </c>
      <c r="B102" s="473" t="s">
        <v>194</v>
      </c>
      <c r="C102" s="473" t="s">
        <v>324</v>
      </c>
      <c r="D102" s="474" t="s">
        <v>195</v>
      </c>
      <c r="E102" s="475">
        <v>330000</v>
      </c>
      <c r="F102" s="475">
        <v>330000</v>
      </c>
    </row>
    <row r="103" spans="1:6" s="466" customFormat="1" ht="50.1" customHeight="1">
      <c r="A103" s="467" t="s">
        <v>324</v>
      </c>
      <c r="B103" s="467" t="s">
        <v>324</v>
      </c>
      <c r="C103" s="467" t="s">
        <v>325</v>
      </c>
      <c r="D103" s="468" t="s">
        <v>326</v>
      </c>
      <c r="E103" s="469">
        <v>330000</v>
      </c>
      <c r="F103" s="469">
        <v>0</v>
      </c>
    </row>
    <row r="104" spans="1:6" s="466" customFormat="1" ht="60.75" customHeight="1">
      <c r="A104" s="467" t="s">
        <v>324</v>
      </c>
      <c r="B104" s="467" t="s">
        <v>324</v>
      </c>
      <c r="C104" s="467" t="s">
        <v>372</v>
      </c>
      <c r="D104" s="468" t="s">
        <v>373</v>
      </c>
      <c r="E104" s="469">
        <v>0</v>
      </c>
      <c r="F104" s="469">
        <v>190080</v>
      </c>
    </row>
    <row r="105" spans="1:6" s="466" customFormat="1" ht="15" customHeight="1">
      <c r="A105" s="467" t="s">
        <v>324</v>
      </c>
      <c r="B105" s="467" t="s">
        <v>324</v>
      </c>
      <c r="C105" s="467" t="s">
        <v>330</v>
      </c>
      <c r="D105" s="468" t="s">
        <v>152</v>
      </c>
      <c r="E105" s="469">
        <v>0</v>
      </c>
      <c r="F105" s="469">
        <v>5400</v>
      </c>
    </row>
    <row r="106" spans="1:6" s="466" customFormat="1" ht="15" customHeight="1">
      <c r="A106" s="467" t="s">
        <v>324</v>
      </c>
      <c r="B106" s="467" t="s">
        <v>324</v>
      </c>
      <c r="C106" s="467" t="s">
        <v>331</v>
      </c>
      <c r="D106" s="468" t="s">
        <v>153</v>
      </c>
      <c r="E106" s="469">
        <v>0</v>
      </c>
      <c r="F106" s="469">
        <v>924</v>
      </c>
    </row>
    <row r="107" spans="1:6" s="466" customFormat="1" ht="15" customHeight="1">
      <c r="A107" s="467" t="s">
        <v>324</v>
      </c>
      <c r="B107" s="467" t="s">
        <v>324</v>
      </c>
      <c r="C107" s="467" t="s">
        <v>332</v>
      </c>
      <c r="D107" s="468" t="s">
        <v>154</v>
      </c>
      <c r="E107" s="469">
        <v>0</v>
      </c>
      <c r="F107" s="469">
        <v>132</v>
      </c>
    </row>
    <row r="108" spans="1:6" s="466" customFormat="1" ht="15" customHeight="1">
      <c r="A108" s="467" t="s">
        <v>324</v>
      </c>
      <c r="B108" s="467" t="s">
        <v>324</v>
      </c>
      <c r="C108" s="467" t="s">
        <v>334</v>
      </c>
      <c r="D108" s="468" t="s">
        <v>156</v>
      </c>
      <c r="E108" s="469">
        <v>0</v>
      </c>
      <c r="F108" s="469">
        <v>12344</v>
      </c>
    </row>
    <row r="109" spans="1:6" s="466" customFormat="1" ht="15" customHeight="1">
      <c r="A109" s="467" t="s">
        <v>324</v>
      </c>
      <c r="B109" s="467" t="s">
        <v>324</v>
      </c>
      <c r="C109" s="467" t="s">
        <v>327</v>
      </c>
      <c r="D109" s="468" t="s">
        <v>149</v>
      </c>
      <c r="E109" s="469">
        <v>0</v>
      </c>
      <c r="F109" s="469">
        <v>121120</v>
      </c>
    </row>
    <row r="110" spans="1:6" s="466" customFormat="1" ht="15.95" customHeight="1">
      <c r="A110" s="470" t="s">
        <v>374</v>
      </c>
      <c r="B110" s="470" t="s">
        <v>324</v>
      </c>
      <c r="C110" s="470" t="s">
        <v>324</v>
      </c>
      <c r="D110" s="471" t="s">
        <v>197</v>
      </c>
      <c r="E110" s="472">
        <v>1754800</v>
      </c>
      <c r="F110" s="472">
        <v>1754800</v>
      </c>
    </row>
    <row r="111" spans="1:6" s="466" customFormat="1" ht="29.25" customHeight="1">
      <c r="A111" s="473" t="s">
        <v>324</v>
      </c>
      <c r="B111" s="473" t="s">
        <v>375</v>
      </c>
      <c r="C111" s="473" t="s">
        <v>324</v>
      </c>
      <c r="D111" s="474" t="s">
        <v>376</v>
      </c>
      <c r="E111" s="475">
        <v>1754800</v>
      </c>
      <c r="F111" s="475">
        <v>1754800</v>
      </c>
    </row>
    <row r="112" spans="1:6" s="466" customFormat="1" ht="50.1" customHeight="1">
      <c r="A112" s="467" t="s">
        <v>324</v>
      </c>
      <c r="B112" s="467" t="s">
        <v>324</v>
      </c>
      <c r="C112" s="467" t="s">
        <v>325</v>
      </c>
      <c r="D112" s="468" t="s">
        <v>326</v>
      </c>
      <c r="E112" s="469">
        <v>1754800</v>
      </c>
      <c r="F112" s="469">
        <v>0</v>
      </c>
    </row>
    <row r="113" spans="1:6" s="466" customFormat="1" ht="18" customHeight="1">
      <c r="A113" s="467" t="s">
        <v>324</v>
      </c>
      <c r="B113" s="467" t="s">
        <v>324</v>
      </c>
      <c r="C113" s="467" t="s">
        <v>377</v>
      </c>
      <c r="D113" s="468" t="s">
        <v>198</v>
      </c>
      <c r="E113" s="469">
        <v>0</v>
      </c>
      <c r="F113" s="469">
        <v>1754800</v>
      </c>
    </row>
    <row r="114" spans="1:6" s="466" customFormat="1" ht="18" customHeight="1">
      <c r="A114" s="470" t="s">
        <v>199</v>
      </c>
      <c r="B114" s="470" t="s">
        <v>324</v>
      </c>
      <c r="C114" s="470" t="s">
        <v>324</v>
      </c>
      <c r="D114" s="471" t="s">
        <v>200</v>
      </c>
      <c r="E114" s="472">
        <v>995404</v>
      </c>
      <c r="F114" s="472">
        <v>995404</v>
      </c>
    </row>
    <row r="115" spans="1:6" s="466" customFormat="1" ht="15.95" customHeight="1">
      <c r="A115" s="473" t="s">
        <v>324</v>
      </c>
      <c r="B115" s="473" t="s">
        <v>378</v>
      </c>
      <c r="C115" s="473" t="s">
        <v>324</v>
      </c>
      <c r="D115" s="474" t="s">
        <v>201</v>
      </c>
      <c r="E115" s="475">
        <v>932946</v>
      </c>
      <c r="F115" s="475">
        <v>932946</v>
      </c>
    </row>
    <row r="116" spans="1:6" s="466" customFormat="1" ht="50.1" customHeight="1">
      <c r="A116" s="467" t="s">
        <v>324</v>
      </c>
      <c r="B116" s="467" t="s">
        <v>324</v>
      </c>
      <c r="C116" s="467" t="s">
        <v>325</v>
      </c>
      <c r="D116" s="468" t="s">
        <v>326</v>
      </c>
      <c r="E116" s="469">
        <v>932946</v>
      </c>
      <c r="F116" s="469">
        <v>0</v>
      </c>
    </row>
    <row r="117" spans="1:6" s="466" customFormat="1" ht="15" customHeight="1">
      <c r="A117" s="467" t="s">
        <v>324</v>
      </c>
      <c r="B117" s="467" t="s">
        <v>324</v>
      </c>
      <c r="C117" s="467" t="s">
        <v>346</v>
      </c>
      <c r="D117" s="468" t="s">
        <v>170</v>
      </c>
      <c r="E117" s="469">
        <v>0</v>
      </c>
      <c r="F117" s="469">
        <v>300</v>
      </c>
    </row>
    <row r="118" spans="1:6" s="466" customFormat="1" ht="15" customHeight="1">
      <c r="A118" s="467" t="s">
        <v>324</v>
      </c>
      <c r="B118" s="467" t="s">
        <v>324</v>
      </c>
      <c r="C118" s="467" t="s">
        <v>330</v>
      </c>
      <c r="D118" s="468" t="s">
        <v>152</v>
      </c>
      <c r="E118" s="469">
        <v>0</v>
      </c>
      <c r="F118" s="469">
        <v>559006</v>
      </c>
    </row>
    <row r="119" spans="1:6" s="466" customFormat="1" ht="15" customHeight="1">
      <c r="A119" s="467" t="s">
        <v>324</v>
      </c>
      <c r="B119" s="467" t="s">
        <v>324</v>
      </c>
      <c r="C119" s="467" t="s">
        <v>348</v>
      </c>
      <c r="D119" s="468" t="s">
        <v>172</v>
      </c>
      <c r="E119" s="469">
        <v>0</v>
      </c>
      <c r="F119" s="469">
        <v>40867</v>
      </c>
    </row>
    <row r="120" spans="1:6" s="466" customFormat="1" ht="15" customHeight="1">
      <c r="A120" s="467" t="s">
        <v>324</v>
      </c>
      <c r="B120" s="467" t="s">
        <v>324</v>
      </c>
      <c r="C120" s="467" t="s">
        <v>331</v>
      </c>
      <c r="D120" s="468" t="s">
        <v>153</v>
      </c>
      <c r="E120" s="469">
        <v>0</v>
      </c>
      <c r="F120" s="469">
        <v>104737</v>
      </c>
    </row>
    <row r="121" spans="1:6" s="466" customFormat="1" ht="15" customHeight="1">
      <c r="A121" s="467" t="s">
        <v>324</v>
      </c>
      <c r="B121" s="467" t="s">
        <v>324</v>
      </c>
      <c r="C121" s="467" t="s">
        <v>332</v>
      </c>
      <c r="D121" s="468" t="s">
        <v>154</v>
      </c>
      <c r="E121" s="469">
        <v>0</v>
      </c>
      <c r="F121" s="469">
        <v>11742</v>
      </c>
    </row>
    <row r="122" spans="1:6" s="466" customFormat="1" ht="15" customHeight="1">
      <c r="A122" s="467" t="s">
        <v>324</v>
      </c>
      <c r="B122" s="467" t="s">
        <v>324</v>
      </c>
      <c r="C122" s="467" t="s">
        <v>333</v>
      </c>
      <c r="D122" s="468" t="s">
        <v>155</v>
      </c>
      <c r="E122" s="469">
        <v>0</v>
      </c>
      <c r="F122" s="469">
        <v>5640</v>
      </c>
    </row>
    <row r="123" spans="1:6" s="466" customFormat="1" ht="15" customHeight="1">
      <c r="A123" s="467" t="s">
        <v>324</v>
      </c>
      <c r="B123" s="467" t="s">
        <v>324</v>
      </c>
      <c r="C123" s="467" t="s">
        <v>334</v>
      </c>
      <c r="D123" s="468" t="s">
        <v>156</v>
      </c>
      <c r="E123" s="469">
        <v>0</v>
      </c>
      <c r="F123" s="469">
        <v>40402</v>
      </c>
    </row>
    <row r="124" spans="1:6" s="466" customFormat="1" ht="15" customHeight="1">
      <c r="A124" s="467" t="s">
        <v>324</v>
      </c>
      <c r="B124" s="467" t="s">
        <v>324</v>
      </c>
      <c r="C124" s="467" t="s">
        <v>369</v>
      </c>
      <c r="D124" s="468" t="s">
        <v>189</v>
      </c>
      <c r="E124" s="469">
        <v>0</v>
      </c>
      <c r="F124" s="469">
        <v>12689</v>
      </c>
    </row>
    <row r="125" spans="1:6" s="466" customFormat="1" ht="15" customHeight="1">
      <c r="A125" s="467" t="s">
        <v>324</v>
      </c>
      <c r="B125" s="467" t="s">
        <v>324</v>
      </c>
      <c r="C125" s="467" t="s">
        <v>335</v>
      </c>
      <c r="D125" s="468" t="s">
        <v>157</v>
      </c>
      <c r="E125" s="469">
        <v>0</v>
      </c>
      <c r="F125" s="469">
        <v>9500</v>
      </c>
    </row>
    <row r="126" spans="1:6" s="466" customFormat="1" ht="15" customHeight="1">
      <c r="A126" s="467" t="s">
        <v>324</v>
      </c>
      <c r="B126" s="467" t="s">
        <v>324</v>
      </c>
      <c r="C126" s="467" t="s">
        <v>336</v>
      </c>
      <c r="D126" s="468" t="s">
        <v>158</v>
      </c>
      <c r="E126" s="469">
        <v>0</v>
      </c>
      <c r="F126" s="469">
        <v>5000</v>
      </c>
    </row>
    <row r="127" spans="1:6" s="466" customFormat="1" ht="15" customHeight="1">
      <c r="A127" s="467" t="s">
        <v>324</v>
      </c>
      <c r="B127" s="467" t="s">
        <v>324</v>
      </c>
      <c r="C127" s="467" t="s">
        <v>349</v>
      </c>
      <c r="D127" s="468" t="s">
        <v>173</v>
      </c>
      <c r="E127" s="469">
        <v>0</v>
      </c>
      <c r="F127" s="469">
        <v>450</v>
      </c>
    </row>
    <row r="128" spans="1:6" s="466" customFormat="1" ht="15" customHeight="1">
      <c r="A128" s="467" t="s">
        <v>324</v>
      </c>
      <c r="B128" s="467" t="s">
        <v>324</v>
      </c>
      <c r="C128" s="467" t="s">
        <v>327</v>
      </c>
      <c r="D128" s="468" t="s">
        <v>149</v>
      </c>
      <c r="E128" s="469">
        <v>0</v>
      </c>
      <c r="F128" s="469">
        <v>94386</v>
      </c>
    </row>
    <row r="129" spans="1:6" s="466" customFormat="1" ht="15" customHeight="1">
      <c r="A129" s="467" t="s">
        <v>324</v>
      </c>
      <c r="B129" s="467" t="s">
        <v>324</v>
      </c>
      <c r="C129" s="467" t="s">
        <v>350</v>
      </c>
      <c r="D129" s="468" t="s">
        <v>351</v>
      </c>
      <c r="E129" s="469">
        <v>0</v>
      </c>
      <c r="F129" s="469">
        <v>1975</v>
      </c>
    </row>
    <row r="130" spans="1:6" s="466" customFormat="1" ht="15" customHeight="1">
      <c r="A130" s="467" t="s">
        <v>324</v>
      </c>
      <c r="B130" s="467" t="s">
        <v>324</v>
      </c>
      <c r="C130" s="467" t="s">
        <v>352</v>
      </c>
      <c r="D130" s="468" t="s">
        <v>174</v>
      </c>
      <c r="E130" s="469">
        <v>0</v>
      </c>
      <c r="F130" s="469">
        <v>2006</v>
      </c>
    </row>
    <row r="131" spans="1:6" s="466" customFormat="1" ht="15" customHeight="1">
      <c r="A131" s="467" t="s">
        <v>324</v>
      </c>
      <c r="B131" s="467" t="s">
        <v>324</v>
      </c>
      <c r="C131" s="467" t="s">
        <v>338</v>
      </c>
      <c r="D131" s="468" t="s">
        <v>160</v>
      </c>
      <c r="E131" s="469">
        <v>0</v>
      </c>
      <c r="F131" s="469">
        <v>972</v>
      </c>
    </row>
    <row r="132" spans="1:6" s="466" customFormat="1" ht="15" customHeight="1">
      <c r="A132" s="467" t="s">
        <v>324</v>
      </c>
      <c r="B132" s="467" t="s">
        <v>324</v>
      </c>
      <c r="C132" s="467" t="s">
        <v>353</v>
      </c>
      <c r="D132" s="468" t="s">
        <v>175</v>
      </c>
      <c r="E132" s="469">
        <v>0</v>
      </c>
      <c r="F132" s="469">
        <v>15521</v>
      </c>
    </row>
    <row r="133" spans="1:6" s="466" customFormat="1" ht="15" customHeight="1">
      <c r="A133" s="467" t="s">
        <v>324</v>
      </c>
      <c r="B133" s="467" t="s">
        <v>324</v>
      </c>
      <c r="C133" s="467" t="s">
        <v>339</v>
      </c>
      <c r="D133" s="468" t="s">
        <v>161</v>
      </c>
      <c r="E133" s="469">
        <v>0</v>
      </c>
      <c r="F133" s="469">
        <v>3698</v>
      </c>
    </row>
    <row r="134" spans="1:6" s="466" customFormat="1" ht="15" customHeight="1">
      <c r="A134" s="467" t="s">
        <v>324</v>
      </c>
      <c r="B134" s="467" t="s">
        <v>324</v>
      </c>
      <c r="C134" s="467" t="s">
        <v>340</v>
      </c>
      <c r="D134" s="468" t="s">
        <v>162</v>
      </c>
      <c r="E134" s="469">
        <v>0</v>
      </c>
      <c r="F134" s="469">
        <v>3057</v>
      </c>
    </row>
    <row r="135" spans="1:6" s="466" customFormat="1" ht="24">
      <c r="A135" s="467" t="s">
        <v>324</v>
      </c>
      <c r="B135" s="467" t="s">
        <v>324</v>
      </c>
      <c r="C135" s="467" t="s">
        <v>355</v>
      </c>
      <c r="D135" s="468" t="s">
        <v>177</v>
      </c>
      <c r="E135" s="469">
        <v>0</v>
      </c>
      <c r="F135" s="469">
        <v>12000</v>
      </c>
    </row>
    <row r="136" spans="1:6" s="466" customFormat="1" ht="17.25" customHeight="1">
      <c r="A136" s="467" t="s">
        <v>324</v>
      </c>
      <c r="B136" s="467" t="s">
        <v>324</v>
      </c>
      <c r="C136" s="467" t="s">
        <v>356</v>
      </c>
      <c r="D136" s="468" t="s">
        <v>178</v>
      </c>
      <c r="E136" s="469">
        <v>0</v>
      </c>
      <c r="F136" s="469">
        <v>8998</v>
      </c>
    </row>
    <row r="137" spans="1:6" s="466" customFormat="1" ht="15.95" customHeight="1">
      <c r="A137" s="473" t="s">
        <v>324</v>
      </c>
      <c r="B137" s="473" t="s">
        <v>379</v>
      </c>
      <c r="C137" s="473" t="s">
        <v>324</v>
      </c>
      <c r="D137" s="474" t="s">
        <v>380</v>
      </c>
      <c r="E137" s="475">
        <v>62458</v>
      </c>
      <c r="F137" s="475">
        <v>62458</v>
      </c>
    </row>
    <row r="138" spans="1:6" s="466" customFormat="1" ht="50.1" customHeight="1">
      <c r="A138" s="467" t="s">
        <v>324</v>
      </c>
      <c r="B138" s="467" t="s">
        <v>324</v>
      </c>
      <c r="C138" s="467" t="s">
        <v>325</v>
      </c>
      <c r="D138" s="468" t="s">
        <v>326</v>
      </c>
      <c r="E138" s="469">
        <v>62458</v>
      </c>
      <c r="F138" s="469">
        <v>0</v>
      </c>
    </row>
    <row r="139" spans="1:6" s="466" customFormat="1" ht="17.25" customHeight="1">
      <c r="A139" s="467" t="s">
        <v>324</v>
      </c>
      <c r="B139" s="467" t="s">
        <v>324</v>
      </c>
      <c r="C139" s="467" t="s">
        <v>381</v>
      </c>
      <c r="D139" s="468" t="s">
        <v>208</v>
      </c>
      <c r="E139" s="469">
        <v>0</v>
      </c>
      <c r="F139" s="469">
        <v>62458</v>
      </c>
    </row>
    <row r="140" spans="1:6" s="466" customFormat="1" ht="15.95" customHeight="1">
      <c r="A140" s="470" t="s">
        <v>382</v>
      </c>
      <c r="B140" s="470" t="s">
        <v>324</v>
      </c>
      <c r="C140" s="470" t="s">
        <v>324</v>
      </c>
      <c r="D140" s="471" t="s">
        <v>202</v>
      </c>
      <c r="E140" s="472">
        <v>275000</v>
      </c>
      <c r="F140" s="472">
        <v>275000</v>
      </c>
    </row>
    <row r="141" spans="1:6" s="466" customFormat="1" ht="15.95" customHeight="1">
      <c r="A141" s="473" t="s">
        <v>324</v>
      </c>
      <c r="B141" s="473" t="s">
        <v>383</v>
      </c>
      <c r="C141" s="473" t="s">
        <v>324</v>
      </c>
      <c r="D141" s="474" t="s">
        <v>203</v>
      </c>
      <c r="E141" s="475">
        <v>275000</v>
      </c>
      <c r="F141" s="475">
        <v>275000</v>
      </c>
    </row>
    <row r="142" spans="1:6" s="466" customFormat="1" ht="50.1" customHeight="1">
      <c r="A142" s="467" t="s">
        <v>324</v>
      </c>
      <c r="B142" s="467" t="s">
        <v>324</v>
      </c>
      <c r="C142" s="467" t="s">
        <v>325</v>
      </c>
      <c r="D142" s="468" t="s">
        <v>326</v>
      </c>
      <c r="E142" s="469">
        <v>275000</v>
      </c>
      <c r="F142" s="469">
        <v>0</v>
      </c>
    </row>
    <row r="143" spans="1:6" s="466" customFormat="1" ht="15" customHeight="1">
      <c r="A143" s="467" t="s">
        <v>324</v>
      </c>
      <c r="B143" s="467" t="s">
        <v>324</v>
      </c>
      <c r="C143" s="467" t="s">
        <v>346</v>
      </c>
      <c r="D143" s="468" t="s">
        <v>170</v>
      </c>
      <c r="E143" s="469">
        <v>0</v>
      </c>
      <c r="F143" s="469">
        <v>300</v>
      </c>
    </row>
    <row r="144" spans="1:6" s="466" customFormat="1" ht="15" customHeight="1">
      <c r="A144" s="467" t="s">
        <v>324</v>
      </c>
      <c r="B144" s="467" t="s">
        <v>324</v>
      </c>
      <c r="C144" s="467" t="s">
        <v>330</v>
      </c>
      <c r="D144" s="468" t="s">
        <v>152</v>
      </c>
      <c r="E144" s="469">
        <v>0</v>
      </c>
      <c r="F144" s="469">
        <v>127593</v>
      </c>
    </row>
    <row r="145" spans="1:6" s="466" customFormat="1" ht="15" customHeight="1">
      <c r="A145" s="467" t="s">
        <v>324</v>
      </c>
      <c r="B145" s="467" t="s">
        <v>324</v>
      </c>
      <c r="C145" s="467" t="s">
        <v>348</v>
      </c>
      <c r="D145" s="468" t="s">
        <v>172</v>
      </c>
      <c r="E145" s="469">
        <v>0</v>
      </c>
      <c r="F145" s="469">
        <v>8347</v>
      </c>
    </row>
    <row r="146" spans="1:6" s="466" customFormat="1" ht="15" customHeight="1">
      <c r="A146" s="467" t="s">
        <v>324</v>
      </c>
      <c r="B146" s="467" t="s">
        <v>324</v>
      </c>
      <c r="C146" s="467" t="s">
        <v>331</v>
      </c>
      <c r="D146" s="468" t="s">
        <v>153</v>
      </c>
      <c r="E146" s="469">
        <v>0</v>
      </c>
      <c r="F146" s="469">
        <v>29472</v>
      </c>
    </row>
    <row r="147" spans="1:6" s="466" customFormat="1" ht="15" customHeight="1">
      <c r="A147" s="467" t="s">
        <v>324</v>
      </c>
      <c r="B147" s="467" t="s">
        <v>324</v>
      </c>
      <c r="C147" s="467" t="s">
        <v>332</v>
      </c>
      <c r="D147" s="468" t="s">
        <v>154</v>
      </c>
      <c r="E147" s="469">
        <v>0</v>
      </c>
      <c r="F147" s="469">
        <v>3011</v>
      </c>
    </row>
    <row r="148" spans="1:6" s="466" customFormat="1" ht="15" customHeight="1">
      <c r="A148" s="467" t="s">
        <v>324</v>
      </c>
      <c r="B148" s="467" t="s">
        <v>324</v>
      </c>
      <c r="C148" s="467" t="s">
        <v>333</v>
      </c>
      <c r="D148" s="468" t="s">
        <v>155</v>
      </c>
      <c r="E148" s="469">
        <v>0</v>
      </c>
      <c r="F148" s="469">
        <v>39210</v>
      </c>
    </row>
    <row r="149" spans="1:6" s="466" customFormat="1" ht="15" customHeight="1">
      <c r="A149" s="467" t="s">
        <v>324</v>
      </c>
      <c r="B149" s="467" t="s">
        <v>324</v>
      </c>
      <c r="C149" s="467" t="s">
        <v>334</v>
      </c>
      <c r="D149" s="468" t="s">
        <v>156</v>
      </c>
      <c r="E149" s="469">
        <v>0</v>
      </c>
      <c r="F149" s="469">
        <v>1720</v>
      </c>
    </row>
    <row r="150" spans="1:6" s="466" customFormat="1" ht="15" customHeight="1">
      <c r="A150" s="467" t="s">
        <v>324</v>
      </c>
      <c r="B150" s="467" t="s">
        <v>324</v>
      </c>
      <c r="C150" s="467" t="s">
        <v>349</v>
      </c>
      <c r="D150" s="468" t="s">
        <v>173</v>
      </c>
      <c r="E150" s="469">
        <v>0</v>
      </c>
      <c r="F150" s="469">
        <v>100</v>
      </c>
    </row>
    <row r="151" spans="1:6" s="466" customFormat="1" ht="15" customHeight="1">
      <c r="A151" s="467" t="s">
        <v>324</v>
      </c>
      <c r="B151" s="467" t="s">
        <v>324</v>
      </c>
      <c r="C151" s="467" t="s">
        <v>327</v>
      </c>
      <c r="D151" s="468" t="s">
        <v>149</v>
      </c>
      <c r="E151" s="469">
        <v>0</v>
      </c>
      <c r="F151" s="469">
        <v>59303</v>
      </c>
    </row>
    <row r="152" spans="1:6" s="466" customFormat="1" ht="15" customHeight="1">
      <c r="A152" s="467" t="s">
        <v>324</v>
      </c>
      <c r="B152" s="467" t="s">
        <v>324</v>
      </c>
      <c r="C152" s="467" t="s">
        <v>353</v>
      </c>
      <c r="D152" s="468" t="s">
        <v>175</v>
      </c>
      <c r="E152" s="469">
        <v>0</v>
      </c>
      <c r="F152" s="469">
        <v>3604</v>
      </c>
    </row>
    <row r="153" spans="1:6" s="466" customFormat="1" ht="15" customHeight="1">
      <c r="A153" s="467" t="s">
        <v>324</v>
      </c>
      <c r="B153" s="467" t="s">
        <v>324</v>
      </c>
      <c r="C153" s="467" t="s">
        <v>356</v>
      </c>
      <c r="D153" s="468" t="s">
        <v>178</v>
      </c>
      <c r="E153" s="469">
        <v>0</v>
      </c>
      <c r="F153" s="469">
        <v>2340</v>
      </c>
    </row>
    <row r="154" spans="1:6" s="466" customFormat="1" ht="15.95" customHeight="1">
      <c r="A154" s="470" t="s">
        <v>204</v>
      </c>
      <c r="B154" s="470" t="s">
        <v>324</v>
      </c>
      <c r="C154" s="470" t="s">
        <v>324</v>
      </c>
      <c r="D154" s="471" t="s">
        <v>205</v>
      </c>
      <c r="E154" s="472">
        <v>358000</v>
      </c>
      <c r="F154" s="472">
        <v>358000</v>
      </c>
    </row>
    <row r="155" spans="1:6" s="466" customFormat="1" ht="15.95" customHeight="1">
      <c r="A155" s="473" t="s">
        <v>324</v>
      </c>
      <c r="B155" s="473" t="s">
        <v>206</v>
      </c>
      <c r="C155" s="473" t="s">
        <v>324</v>
      </c>
      <c r="D155" s="474" t="s">
        <v>207</v>
      </c>
      <c r="E155" s="475">
        <v>202000</v>
      </c>
      <c r="F155" s="475">
        <v>202000</v>
      </c>
    </row>
    <row r="156" spans="1:6" s="466" customFormat="1" ht="75" customHeight="1">
      <c r="A156" s="467" t="s">
        <v>324</v>
      </c>
      <c r="B156" s="467" t="s">
        <v>324</v>
      </c>
      <c r="C156" s="467" t="s">
        <v>384</v>
      </c>
      <c r="D156" s="468" t="s">
        <v>385</v>
      </c>
      <c r="E156" s="469">
        <v>202000</v>
      </c>
      <c r="F156" s="469">
        <v>0</v>
      </c>
    </row>
    <row r="157" spans="1:6" s="466" customFormat="1" ht="15" customHeight="1">
      <c r="A157" s="467" t="s">
        <v>324</v>
      </c>
      <c r="B157" s="467" t="s">
        <v>324</v>
      </c>
      <c r="C157" s="467" t="s">
        <v>381</v>
      </c>
      <c r="D157" s="468" t="s">
        <v>208</v>
      </c>
      <c r="E157" s="469">
        <v>0</v>
      </c>
      <c r="F157" s="469">
        <v>200000</v>
      </c>
    </row>
    <row r="158" spans="1:6" s="466" customFormat="1" ht="15" customHeight="1">
      <c r="A158" s="467" t="s">
        <v>324</v>
      </c>
      <c r="B158" s="467" t="s">
        <v>324</v>
      </c>
      <c r="C158" s="467" t="s">
        <v>330</v>
      </c>
      <c r="D158" s="468" t="s">
        <v>152</v>
      </c>
      <c r="E158" s="469">
        <v>0</v>
      </c>
      <c r="F158" s="469">
        <v>2000</v>
      </c>
    </row>
    <row r="159" spans="1:6" s="466" customFormat="1" ht="15.95" customHeight="1">
      <c r="A159" s="473" t="s">
        <v>324</v>
      </c>
      <c r="B159" s="473" t="s">
        <v>209</v>
      </c>
      <c r="C159" s="473" t="s">
        <v>324</v>
      </c>
      <c r="D159" s="474" t="s">
        <v>210</v>
      </c>
      <c r="E159" s="475">
        <v>156000</v>
      </c>
      <c r="F159" s="475">
        <v>156000</v>
      </c>
    </row>
    <row r="160" spans="1:6" s="466" customFormat="1" ht="50.1" customHeight="1">
      <c r="A160" s="467" t="s">
        <v>324</v>
      </c>
      <c r="B160" s="467" t="s">
        <v>324</v>
      </c>
      <c r="C160" s="467" t="s">
        <v>325</v>
      </c>
      <c r="D160" s="468" t="s">
        <v>326</v>
      </c>
      <c r="E160" s="469">
        <v>0</v>
      </c>
      <c r="F160" s="469">
        <v>0</v>
      </c>
    </row>
    <row r="161" spans="1:6" s="466" customFormat="1" ht="75" customHeight="1">
      <c r="A161" s="467" t="s">
        <v>324</v>
      </c>
      <c r="B161" s="467" t="s">
        <v>324</v>
      </c>
      <c r="C161" s="467" t="s">
        <v>384</v>
      </c>
      <c r="D161" s="468" t="s">
        <v>385</v>
      </c>
      <c r="E161" s="469">
        <v>156000</v>
      </c>
      <c r="F161" s="469">
        <v>0</v>
      </c>
    </row>
    <row r="162" spans="1:6" s="466" customFormat="1" ht="15" customHeight="1">
      <c r="A162" s="467" t="s">
        <v>324</v>
      </c>
      <c r="B162" s="467" t="s">
        <v>324</v>
      </c>
      <c r="C162" s="467" t="s">
        <v>381</v>
      </c>
      <c r="D162" s="468" t="s">
        <v>208</v>
      </c>
      <c r="E162" s="469">
        <v>0</v>
      </c>
      <c r="F162" s="469">
        <v>154455</v>
      </c>
    </row>
    <row r="163" spans="1:6" s="466" customFormat="1" ht="15" customHeight="1">
      <c r="A163" s="467" t="s">
        <v>324</v>
      </c>
      <c r="B163" s="467" t="s">
        <v>324</v>
      </c>
      <c r="C163" s="467" t="s">
        <v>330</v>
      </c>
      <c r="D163" s="468" t="s">
        <v>152</v>
      </c>
      <c r="E163" s="469">
        <v>0</v>
      </c>
      <c r="F163" s="469">
        <v>1545</v>
      </c>
    </row>
    <row r="164" spans="1:6" s="466" customFormat="1" ht="23.25" customHeight="1">
      <c r="A164" s="572" t="s">
        <v>386</v>
      </c>
      <c r="B164" s="572"/>
      <c r="C164" s="572"/>
      <c r="D164" s="572"/>
      <c r="E164" s="476">
        <v>14263400</v>
      </c>
      <c r="F164" s="476">
        <v>14263400</v>
      </c>
    </row>
    <row r="165" spans="1:6" s="247" customFormat="1" ht="15.75" customHeight="1"/>
    <row r="166" spans="1:6" ht="15.75" customHeight="1"/>
    <row r="167" spans="1:6" ht="15.75" customHeight="1"/>
    <row r="168" spans="1:6" ht="15.75" customHeight="1"/>
    <row r="169" spans="1:6" ht="15.75" customHeight="1"/>
    <row r="170" spans="1:6" ht="15.75" customHeight="1"/>
    <row r="171" spans="1:6" ht="15.75" customHeight="1"/>
  </sheetData>
  <sheetProtection algorithmName="SHA-512" hashValue="aVIgj+Sz88l3Ly3VlOOuCCpM8gxoJqOmlktV3vvFMONYLW/HCwttN9AzJZm9fUy+FUITvSU1mxP/l5y2v3hfng==" saltValue="vxYHGnqXopHONWsln8T3sQ==" spinCount="100000" sheet="1" formatColumns="0" formatRows="0"/>
  <autoFilter ref="C1:C171" xr:uid="{00000000-0009-0000-0000-000005000000}"/>
  <mergeCells count="2">
    <mergeCell ref="A2:F2"/>
    <mergeCell ref="A164:D164"/>
  </mergeCells>
  <pageMargins left="0.86614173228346458" right="0.23622047244094491" top="1.299212598425197" bottom="0.9055118110236221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..................
Rady Powiatu  Otwockiego
z dnia ............................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99E4-2853-42AA-8CE0-10A1B49DD709}">
  <sheetPr>
    <tabColor rgb="FFFFC000"/>
  </sheetPr>
  <dimension ref="B3:G25"/>
  <sheetViews>
    <sheetView workbookViewId="0">
      <selection activeCell="N15" sqref="M15:N15"/>
    </sheetView>
  </sheetViews>
  <sheetFormatPr defaultColWidth="9.33203125" defaultRowHeight="12"/>
  <cols>
    <col min="1" max="1" width="3.6640625" style="387" customWidth="1"/>
    <col min="2" max="2" width="7.83203125" style="401" customWidth="1"/>
    <col min="3" max="3" width="9.83203125" style="401" customWidth="1"/>
    <col min="4" max="4" width="10.83203125" style="401" customWidth="1"/>
    <col min="5" max="5" width="50.6640625" style="387" customWidth="1"/>
    <col min="6" max="7" width="18.6640625" style="387" customWidth="1"/>
    <col min="8" max="16384" width="9.33203125" style="387"/>
  </cols>
  <sheetData>
    <row r="3" spans="2:7" ht="31.5" customHeight="1">
      <c r="B3" s="573" t="s">
        <v>306</v>
      </c>
      <c r="C3" s="573"/>
      <c r="D3" s="573"/>
      <c r="E3" s="573"/>
      <c r="F3" s="573"/>
      <c r="G3" s="573"/>
    </row>
    <row r="5" spans="2:7" s="389" customFormat="1" ht="24" customHeight="1">
      <c r="B5" s="388" t="s">
        <v>0</v>
      </c>
      <c r="C5" s="388" t="s">
        <v>140</v>
      </c>
      <c r="D5" s="388" t="s">
        <v>141</v>
      </c>
      <c r="E5" s="388" t="s">
        <v>142</v>
      </c>
      <c r="F5" s="388" t="s">
        <v>143</v>
      </c>
      <c r="G5" s="388" t="s">
        <v>144</v>
      </c>
    </row>
    <row r="6" spans="2:7" s="393" customFormat="1" ht="19.5" customHeight="1">
      <c r="B6" s="390">
        <v>750</v>
      </c>
      <c r="C6" s="390"/>
      <c r="D6" s="390"/>
      <c r="E6" s="391" t="s">
        <v>179</v>
      </c>
      <c r="F6" s="392">
        <f>SUM(F7,F12)</f>
        <v>41540</v>
      </c>
      <c r="G6" s="392">
        <f>SUM(G7,G12)</f>
        <v>41540</v>
      </c>
    </row>
    <row r="7" spans="2:7" s="389" customFormat="1" ht="19.5" customHeight="1">
      <c r="B7" s="394"/>
      <c r="C7" s="394">
        <v>75011</v>
      </c>
      <c r="D7" s="394"/>
      <c r="E7" s="395" t="s">
        <v>180</v>
      </c>
      <c r="F7" s="396">
        <f>SUM(F8)</f>
        <v>18000</v>
      </c>
      <c r="G7" s="396">
        <f>SUM(G9:G11)</f>
        <v>18000</v>
      </c>
    </row>
    <row r="8" spans="2:7" s="389" customFormat="1" ht="55.5" customHeight="1">
      <c r="B8" s="397"/>
      <c r="C8" s="397"/>
      <c r="D8" s="397">
        <v>2120</v>
      </c>
      <c r="E8" s="398" t="s">
        <v>305</v>
      </c>
      <c r="F8" s="399">
        <v>18000</v>
      </c>
      <c r="G8" s="399"/>
    </row>
    <row r="9" spans="2:7" s="389" customFormat="1" ht="19.5" customHeight="1">
      <c r="B9" s="397"/>
      <c r="C9" s="397"/>
      <c r="D9" s="397">
        <v>4010</v>
      </c>
      <c r="E9" s="398" t="s">
        <v>152</v>
      </c>
      <c r="F9" s="399"/>
      <c r="G9" s="399">
        <v>15045</v>
      </c>
    </row>
    <row r="10" spans="2:7" s="389" customFormat="1" ht="19.5" customHeight="1">
      <c r="B10" s="397"/>
      <c r="C10" s="397"/>
      <c r="D10" s="397">
        <v>4110</v>
      </c>
      <c r="E10" s="398" t="s">
        <v>153</v>
      </c>
      <c r="F10" s="399"/>
      <c r="G10" s="399">
        <v>2586</v>
      </c>
    </row>
    <row r="11" spans="2:7" s="389" customFormat="1" ht="36.75" customHeight="1">
      <c r="B11" s="397"/>
      <c r="C11" s="397"/>
      <c r="D11" s="397">
        <v>4120</v>
      </c>
      <c r="E11" s="398" t="s">
        <v>154</v>
      </c>
      <c r="F11" s="399"/>
      <c r="G11" s="399">
        <v>369</v>
      </c>
    </row>
    <row r="12" spans="2:7" s="449" customFormat="1" ht="19.5" customHeight="1">
      <c r="B12" s="446"/>
      <c r="C12" s="446">
        <v>75045</v>
      </c>
      <c r="D12" s="446"/>
      <c r="E12" s="447" t="s">
        <v>181</v>
      </c>
      <c r="F12" s="448">
        <f>F13</f>
        <v>23540</v>
      </c>
      <c r="G12" s="448">
        <f>G14</f>
        <v>23540</v>
      </c>
    </row>
    <row r="13" spans="2:7" s="449" customFormat="1" ht="55.5" customHeight="1">
      <c r="B13" s="450"/>
      <c r="C13" s="450"/>
      <c r="D13" s="450">
        <v>2120</v>
      </c>
      <c r="E13" s="246" t="s">
        <v>305</v>
      </c>
      <c r="F13" s="451">
        <f>23540</f>
        <v>23540</v>
      </c>
      <c r="G13" s="451"/>
    </row>
    <row r="14" spans="2:7" s="389" customFormat="1" ht="19.5" customHeight="1">
      <c r="B14" s="397"/>
      <c r="C14" s="415"/>
      <c r="D14" s="450">
        <v>4170</v>
      </c>
      <c r="E14" s="245" t="s">
        <v>155</v>
      </c>
      <c r="F14" s="451"/>
      <c r="G14" s="451">
        <v>23540</v>
      </c>
    </row>
    <row r="15" spans="2:7" s="393" customFormat="1" ht="33" customHeight="1">
      <c r="B15" s="411">
        <v>754</v>
      </c>
      <c r="C15" s="411"/>
      <c r="D15" s="411"/>
      <c r="E15" s="243" t="s">
        <v>182</v>
      </c>
      <c r="F15" s="412">
        <f>F16</f>
        <v>875880</v>
      </c>
      <c r="G15" s="412">
        <f>G16</f>
        <v>875880</v>
      </c>
    </row>
    <row r="16" spans="2:7" s="406" customFormat="1" ht="19.5" customHeight="1">
      <c r="B16" s="404"/>
      <c r="C16" s="404">
        <v>75421</v>
      </c>
      <c r="D16" s="404"/>
      <c r="E16" s="405" t="s">
        <v>307</v>
      </c>
      <c r="F16" s="403">
        <f>SUM(F17)</f>
        <v>875880</v>
      </c>
      <c r="G16" s="403">
        <f>SUM(G18)</f>
        <v>875880</v>
      </c>
    </row>
    <row r="17" spans="2:7" s="406" customFormat="1" ht="57" customHeight="1">
      <c r="B17" s="408"/>
      <c r="C17" s="408"/>
      <c r="D17" s="408">
        <v>2120</v>
      </c>
      <c r="E17" s="398" t="s">
        <v>305</v>
      </c>
      <c r="F17" s="407">
        <v>875880</v>
      </c>
      <c r="G17" s="407"/>
    </row>
    <row r="18" spans="2:7" s="406" customFormat="1" ht="19.5" customHeight="1">
      <c r="B18" s="408"/>
      <c r="C18" s="408"/>
      <c r="D18" s="408">
        <v>4300</v>
      </c>
      <c r="E18" s="409" t="s">
        <v>149</v>
      </c>
      <c r="F18" s="407"/>
      <c r="G18" s="407">
        <v>875880</v>
      </c>
    </row>
    <row r="19" spans="2:7" s="413" customFormat="1" ht="19.5" customHeight="1">
      <c r="B19" s="411">
        <v>801</v>
      </c>
      <c r="C19" s="411"/>
      <c r="D19" s="411"/>
      <c r="E19" s="414" t="s">
        <v>308</v>
      </c>
      <c r="F19" s="412">
        <f>F20</f>
        <v>371250</v>
      </c>
      <c r="G19" s="412">
        <f>G20</f>
        <v>371250</v>
      </c>
    </row>
    <row r="20" spans="2:7" s="406" customFormat="1" ht="19.5" customHeight="1">
      <c r="B20" s="404"/>
      <c r="C20" s="404">
        <v>80195</v>
      </c>
      <c r="D20" s="404"/>
      <c r="E20" s="405" t="s">
        <v>218</v>
      </c>
      <c r="F20" s="403">
        <f>SUM(F21)</f>
        <v>371250</v>
      </c>
      <c r="G20" s="403">
        <f>SUM(G22:G24)</f>
        <v>371250</v>
      </c>
    </row>
    <row r="21" spans="2:7" s="406" customFormat="1" ht="59.25" customHeight="1">
      <c r="B21" s="408"/>
      <c r="C21" s="408"/>
      <c r="D21" s="408">
        <v>2120</v>
      </c>
      <c r="E21" s="398" t="s">
        <v>305</v>
      </c>
      <c r="F21" s="407">
        <v>371250</v>
      </c>
      <c r="G21" s="407"/>
    </row>
    <row r="22" spans="2:7" s="406" customFormat="1" ht="18" customHeight="1">
      <c r="B22" s="408"/>
      <c r="C22" s="408"/>
      <c r="D22" s="397">
        <v>4110</v>
      </c>
      <c r="E22" s="398" t="s">
        <v>153</v>
      </c>
      <c r="F22" s="407"/>
      <c r="G22" s="407">
        <v>3500</v>
      </c>
    </row>
    <row r="23" spans="2:7" s="406" customFormat="1" ht="27.75" customHeight="1">
      <c r="B23" s="408"/>
      <c r="C23" s="408"/>
      <c r="D23" s="397">
        <v>4120</v>
      </c>
      <c r="E23" s="398" t="s">
        <v>154</v>
      </c>
      <c r="F23" s="407"/>
      <c r="G23" s="407">
        <v>500</v>
      </c>
    </row>
    <row r="24" spans="2:7" s="389" customFormat="1" ht="19.5" customHeight="1">
      <c r="B24" s="410"/>
      <c r="C24" s="410"/>
      <c r="D24" s="397">
        <v>4170</v>
      </c>
      <c r="E24" s="244" t="s">
        <v>155</v>
      </c>
      <c r="F24" s="402"/>
      <c r="G24" s="402">
        <v>367250</v>
      </c>
    </row>
    <row r="25" spans="2:7" s="389" customFormat="1" ht="21.75" customHeight="1">
      <c r="B25" s="574" t="s">
        <v>211</v>
      </c>
      <c r="C25" s="575"/>
      <c r="D25" s="575"/>
      <c r="E25" s="576"/>
      <c r="F25" s="400">
        <f>F6+F15+F19</f>
        <v>1288670</v>
      </c>
      <c r="G25" s="400">
        <f>G6+G15+G19</f>
        <v>1288670</v>
      </c>
    </row>
  </sheetData>
  <sheetProtection algorithmName="SHA-512" hashValue="L76HRyfRqrndIiBFC9+unKBSiJ6Og3TUPLXn0MAitrUJeQHrZHW3go+0CGCCKsT/PrTxHZ58lxc0AZirJo0mKg==" saltValue="kKJfDpU9eyTMx/JazRJq3w==" spinCount="100000" sheet="1" formatColumns="0" formatRows="0"/>
  <mergeCells count="2">
    <mergeCell ref="B3:G3"/>
    <mergeCell ref="B25:E25"/>
  </mergeCells>
  <pageMargins left="0.6692913385826772" right="0.55118110236220474" top="1.6535433070866143" bottom="0.74803149606299213" header="0.70866141732283472" footer="0.31496062992125984"/>
  <pageSetup paperSize="9" scale="90" orientation="portrait" horizontalDpi="4294967295" verticalDpi="300" r:id="rId1"/>
  <headerFooter alignWithMargins="0">
    <oddHeader>&amp;R&amp;10Tabela Nr 6
do uchwały Nr .............
Rady Powiatu  Otwockiego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C569-82DE-4DC7-BDDE-7F8BB267EC1B}">
  <sheetPr>
    <tabColor rgb="FFFFC000"/>
  </sheetPr>
  <dimension ref="B1:G44"/>
  <sheetViews>
    <sheetView zoomScaleNormal="100" workbookViewId="0">
      <pane ySplit="4" topLeftCell="A26" activePane="bottomLeft" state="frozen"/>
      <selection activeCell="M10" sqref="M10"/>
      <selection pane="bottomLeft" activeCell="G9" sqref="G9"/>
    </sheetView>
  </sheetViews>
  <sheetFormatPr defaultColWidth="9.33203125" defaultRowHeight="12"/>
  <cols>
    <col min="1" max="1" width="3.6640625" style="251" customWidth="1"/>
    <col min="2" max="2" width="6.33203125" style="248" customWidth="1"/>
    <col min="3" max="4" width="10" style="248" customWidth="1"/>
    <col min="5" max="5" width="63.5" style="249" customWidth="1"/>
    <col min="6" max="7" width="16.6640625" style="250" customWidth="1"/>
    <col min="8" max="16384" width="9.33203125" style="251"/>
  </cols>
  <sheetData>
    <row r="1" spans="2:7" ht="16.5" customHeight="1"/>
    <row r="2" spans="2:7" ht="29.25" customHeight="1">
      <c r="B2" s="577" t="s">
        <v>257</v>
      </c>
      <c r="C2" s="577"/>
      <c r="D2" s="577"/>
      <c r="E2" s="577"/>
      <c r="F2" s="577"/>
      <c r="G2" s="577"/>
    </row>
    <row r="3" spans="2:7" ht="15.75" customHeight="1">
      <c r="B3" s="252"/>
      <c r="C3" s="252"/>
      <c r="D3" s="252"/>
      <c r="E3" s="252"/>
      <c r="F3" s="252"/>
      <c r="G3" s="252"/>
    </row>
    <row r="4" spans="2:7" s="256" customFormat="1" ht="42" customHeight="1">
      <c r="B4" s="253" t="s">
        <v>0</v>
      </c>
      <c r="C4" s="253" t="s">
        <v>140</v>
      </c>
      <c r="D4" s="253" t="s">
        <v>141</v>
      </c>
      <c r="E4" s="254" t="s">
        <v>142</v>
      </c>
      <c r="F4" s="255" t="s">
        <v>143</v>
      </c>
      <c r="G4" s="255" t="s">
        <v>144</v>
      </c>
    </row>
    <row r="5" spans="2:7" s="256" customFormat="1" ht="17.25" customHeight="1">
      <c r="B5" s="257">
        <v>600</v>
      </c>
      <c r="C5" s="257"/>
      <c r="D5" s="257"/>
      <c r="E5" s="258" t="s">
        <v>212</v>
      </c>
      <c r="F5" s="259">
        <f>SUM(F6,F8,)</f>
        <v>4630000</v>
      </c>
      <c r="G5" s="259">
        <f>SUM(G6,G8,)</f>
        <v>1780000</v>
      </c>
    </row>
    <row r="6" spans="2:7" s="263" customFormat="1" ht="17.25" customHeight="1">
      <c r="B6" s="260"/>
      <c r="C6" s="260">
        <v>60004</v>
      </c>
      <c r="D6" s="260"/>
      <c r="E6" s="261" t="s">
        <v>213</v>
      </c>
      <c r="F6" s="262"/>
      <c r="G6" s="262">
        <f>SUM(G7:G7)</f>
        <v>280000</v>
      </c>
    </row>
    <row r="7" spans="2:7" s="267" customFormat="1" ht="46.5" customHeight="1">
      <c r="B7" s="264"/>
      <c r="C7" s="264"/>
      <c r="D7" s="264">
        <v>2310</v>
      </c>
      <c r="E7" s="265" t="s">
        <v>214</v>
      </c>
      <c r="F7" s="266"/>
      <c r="G7" s="329">
        <f>260000+20000</f>
        <v>280000</v>
      </c>
    </row>
    <row r="8" spans="2:7" s="263" customFormat="1" ht="17.25" customHeight="1">
      <c r="B8" s="260"/>
      <c r="C8" s="260">
        <v>60014</v>
      </c>
      <c r="D8" s="260"/>
      <c r="E8" s="261" t="s">
        <v>215</v>
      </c>
      <c r="F8" s="262">
        <f>SUM(F9:F10)</f>
        <v>4630000</v>
      </c>
      <c r="G8" s="262">
        <f>SUM(G9:G10)</f>
        <v>1500000</v>
      </c>
    </row>
    <row r="9" spans="2:7" s="417" customFormat="1" ht="58.5" customHeight="1">
      <c r="B9" s="427"/>
      <c r="C9" s="427"/>
      <c r="D9" s="427">
        <v>6300</v>
      </c>
      <c r="E9" s="302" t="s">
        <v>216</v>
      </c>
      <c r="F9" s="460">
        <f>4300000+330000</f>
        <v>4630000</v>
      </c>
      <c r="G9" s="428"/>
    </row>
    <row r="10" spans="2:7" s="263" customFormat="1" ht="47.25" customHeight="1">
      <c r="B10" s="268"/>
      <c r="C10" s="268"/>
      <c r="D10" s="268">
        <v>6300</v>
      </c>
      <c r="E10" s="265" t="s">
        <v>217</v>
      </c>
      <c r="F10" s="269"/>
      <c r="G10" s="330">
        <v>1500000</v>
      </c>
    </row>
    <row r="11" spans="2:7" s="417" customFormat="1" ht="18.75" customHeight="1">
      <c r="B11" s="418">
        <v>630</v>
      </c>
      <c r="C11" s="418"/>
      <c r="D11" s="418"/>
      <c r="E11" s="419" t="s">
        <v>309</v>
      </c>
      <c r="F11" s="420">
        <f>F12</f>
        <v>0</v>
      </c>
      <c r="G11" s="420">
        <f>G12</f>
        <v>15000</v>
      </c>
    </row>
    <row r="12" spans="2:7" s="417" customFormat="1" ht="18.75" customHeight="1">
      <c r="B12" s="421"/>
      <c r="C12" s="421">
        <v>63003</v>
      </c>
      <c r="D12" s="421"/>
      <c r="E12" s="422" t="s">
        <v>310</v>
      </c>
      <c r="F12" s="423">
        <f>F13</f>
        <v>0</v>
      </c>
      <c r="G12" s="423">
        <f>G13</f>
        <v>15000</v>
      </c>
    </row>
    <row r="13" spans="2:7" s="417" customFormat="1" ht="49.5" customHeight="1">
      <c r="B13" s="424"/>
      <c r="C13" s="424"/>
      <c r="D13" s="424">
        <v>6300</v>
      </c>
      <c r="E13" s="425" t="s">
        <v>217</v>
      </c>
      <c r="F13" s="426"/>
      <c r="G13" s="461">
        <v>15000</v>
      </c>
    </row>
    <row r="14" spans="2:7" s="256" customFormat="1" ht="17.25" customHeight="1">
      <c r="B14" s="257">
        <v>710</v>
      </c>
      <c r="C14" s="257"/>
      <c r="D14" s="257"/>
      <c r="E14" s="258" t="s">
        <v>166</v>
      </c>
      <c r="F14" s="259">
        <f>F15</f>
        <v>0</v>
      </c>
      <c r="G14" s="259">
        <f>SUM(G15)</f>
        <v>53618</v>
      </c>
    </row>
    <row r="15" spans="2:7" s="263" customFormat="1" ht="17.25" customHeight="1">
      <c r="B15" s="260"/>
      <c r="C15" s="260">
        <v>71095</v>
      </c>
      <c r="D15" s="260"/>
      <c r="E15" s="261" t="s">
        <v>218</v>
      </c>
      <c r="F15" s="262">
        <f>F16</f>
        <v>0</v>
      </c>
      <c r="G15" s="262">
        <f>SUM(G16)</f>
        <v>53618</v>
      </c>
    </row>
    <row r="16" spans="2:7" s="263" customFormat="1" ht="51" customHeight="1">
      <c r="B16" s="268"/>
      <c r="C16" s="268"/>
      <c r="D16" s="268">
        <v>6639</v>
      </c>
      <c r="E16" s="270" t="s">
        <v>219</v>
      </c>
      <c r="F16" s="266"/>
      <c r="G16" s="329">
        <v>53618</v>
      </c>
    </row>
    <row r="17" spans="2:7" s="263" customFormat="1" ht="24" customHeight="1">
      <c r="B17" s="271">
        <v>750</v>
      </c>
      <c r="C17" s="271"/>
      <c r="D17" s="271"/>
      <c r="E17" s="272" t="s">
        <v>179</v>
      </c>
      <c r="F17" s="273">
        <f>F18</f>
        <v>30000</v>
      </c>
      <c r="G17" s="273">
        <f>G18+G20</f>
        <v>10000</v>
      </c>
    </row>
    <row r="18" spans="2:7" s="263" customFormat="1" ht="21" customHeight="1">
      <c r="B18" s="260"/>
      <c r="C18" s="260">
        <v>75020</v>
      </c>
      <c r="D18" s="260"/>
      <c r="E18" s="261" t="s">
        <v>220</v>
      </c>
      <c r="F18" s="274">
        <f>SUM(F19)</f>
        <v>30000</v>
      </c>
      <c r="G18" s="274"/>
    </row>
    <row r="19" spans="2:7" s="263" customFormat="1" ht="51" customHeight="1">
      <c r="B19" s="268"/>
      <c r="C19" s="268"/>
      <c r="D19" s="268">
        <v>2710</v>
      </c>
      <c r="E19" s="270" t="s">
        <v>221</v>
      </c>
      <c r="F19" s="266">
        <v>30000</v>
      </c>
      <c r="G19" s="266"/>
    </row>
    <row r="20" spans="2:7" s="263" customFormat="1" ht="23.25" customHeight="1">
      <c r="B20" s="260"/>
      <c r="C20" s="260">
        <v>75095</v>
      </c>
      <c r="D20" s="260"/>
      <c r="E20" s="261" t="s">
        <v>222</v>
      </c>
      <c r="F20" s="274"/>
      <c r="G20" s="274">
        <v>10000</v>
      </c>
    </row>
    <row r="21" spans="2:7" s="263" customFormat="1" ht="51" customHeight="1">
      <c r="B21" s="268"/>
      <c r="C21" s="268"/>
      <c r="D21" s="268">
        <v>2710</v>
      </c>
      <c r="E21" s="270" t="s">
        <v>221</v>
      </c>
      <c r="F21" s="266"/>
      <c r="G21" s="329">
        <v>10000</v>
      </c>
    </row>
    <row r="22" spans="2:7" s="256" customFormat="1" ht="22.5" customHeight="1">
      <c r="B22" s="416">
        <v>801</v>
      </c>
      <c r="C22" s="416"/>
      <c r="D22" s="416"/>
      <c r="E22" s="429" t="s">
        <v>312</v>
      </c>
      <c r="F22" s="430">
        <f>F23</f>
        <v>22500</v>
      </c>
      <c r="G22" s="430"/>
    </row>
    <row r="23" spans="2:7" s="417" customFormat="1" ht="22.5" customHeight="1">
      <c r="B23" s="421"/>
      <c r="C23" s="421">
        <v>80195</v>
      </c>
      <c r="D23" s="421"/>
      <c r="E23" s="431" t="s">
        <v>218</v>
      </c>
      <c r="F23" s="432">
        <f>F24</f>
        <v>22500</v>
      </c>
      <c r="G23" s="432"/>
    </row>
    <row r="24" spans="2:7" s="417" customFormat="1" ht="51" customHeight="1">
      <c r="B24" s="424"/>
      <c r="C24" s="424"/>
      <c r="D24" s="424" t="s">
        <v>311</v>
      </c>
      <c r="E24" s="433" t="s">
        <v>232</v>
      </c>
      <c r="F24" s="434">
        <v>22500</v>
      </c>
      <c r="G24" s="435"/>
    </row>
    <row r="25" spans="2:7" s="256" customFormat="1" ht="17.25" customHeight="1">
      <c r="B25" s="257">
        <v>853</v>
      </c>
      <c r="C25" s="257"/>
      <c r="D25" s="257"/>
      <c r="E25" s="258" t="s">
        <v>202</v>
      </c>
      <c r="F25" s="259">
        <f>SUM(F26)</f>
        <v>16064</v>
      </c>
      <c r="G25" s="259">
        <f>SUM(G26)</f>
        <v>2700</v>
      </c>
    </row>
    <row r="26" spans="2:7" s="263" customFormat="1" ht="19.5" customHeight="1">
      <c r="B26" s="260"/>
      <c r="C26" s="260">
        <v>85311</v>
      </c>
      <c r="D26" s="260"/>
      <c r="E26" s="261" t="s">
        <v>223</v>
      </c>
      <c r="F26" s="262">
        <f>SUM(F27)</f>
        <v>16064</v>
      </c>
      <c r="G26" s="262">
        <f>SUM(G27:G28)</f>
        <v>2700</v>
      </c>
    </row>
    <row r="27" spans="2:7" s="267" customFormat="1" ht="47.25" customHeight="1">
      <c r="B27" s="264"/>
      <c r="C27" s="264"/>
      <c r="D27" s="264">
        <v>2320</v>
      </c>
      <c r="E27" s="265" t="s">
        <v>224</v>
      </c>
      <c r="F27" s="266">
        <v>16064</v>
      </c>
      <c r="G27" s="266"/>
    </row>
    <row r="28" spans="2:7" s="267" customFormat="1" ht="48" customHeight="1">
      <c r="B28" s="264"/>
      <c r="C28" s="264"/>
      <c r="D28" s="264">
        <v>2320</v>
      </c>
      <c r="E28" s="265" t="s">
        <v>225</v>
      </c>
      <c r="F28" s="266"/>
      <c r="G28" s="266">
        <v>2700</v>
      </c>
    </row>
    <row r="29" spans="2:7" s="256" customFormat="1" ht="17.25" customHeight="1">
      <c r="B29" s="257">
        <v>855</v>
      </c>
      <c r="C29" s="257"/>
      <c r="D29" s="257"/>
      <c r="E29" s="258" t="s">
        <v>205</v>
      </c>
      <c r="F29" s="259">
        <f>SUM(F30,F33,F35)</f>
        <v>592605</v>
      </c>
      <c r="G29" s="259">
        <f>SUM(G30,G33,G35)</f>
        <v>837457</v>
      </c>
    </row>
    <row r="30" spans="2:7" s="263" customFormat="1" ht="17.25" customHeight="1">
      <c r="B30" s="260"/>
      <c r="C30" s="260">
        <v>85508</v>
      </c>
      <c r="D30" s="260"/>
      <c r="E30" s="261" t="s">
        <v>207</v>
      </c>
      <c r="F30" s="262">
        <f>SUM(F31)</f>
        <v>392921</v>
      </c>
      <c r="G30" s="262">
        <f>SUM(G31:G32)</f>
        <v>585733</v>
      </c>
    </row>
    <row r="31" spans="2:7" s="267" customFormat="1" ht="50.25" customHeight="1">
      <c r="B31" s="264"/>
      <c r="C31" s="264"/>
      <c r="D31" s="264">
        <v>2320</v>
      </c>
      <c r="E31" s="265" t="s">
        <v>226</v>
      </c>
      <c r="F31" s="266">
        <v>392921</v>
      </c>
      <c r="G31" s="266"/>
    </row>
    <row r="32" spans="2:7" s="267" customFormat="1" ht="47.25" customHeight="1">
      <c r="B32" s="264"/>
      <c r="C32" s="264"/>
      <c r="D32" s="264">
        <v>2320</v>
      </c>
      <c r="E32" s="265" t="s">
        <v>225</v>
      </c>
      <c r="F32" s="266"/>
      <c r="G32" s="266">
        <v>585733</v>
      </c>
    </row>
    <row r="33" spans="2:7" s="417" customFormat="1" ht="17.25" customHeight="1">
      <c r="B33" s="436"/>
      <c r="C33" s="436">
        <v>85509</v>
      </c>
      <c r="D33" s="436"/>
      <c r="E33" s="437" t="s">
        <v>227</v>
      </c>
      <c r="F33" s="438"/>
      <c r="G33" s="438">
        <f>SUM(G34)</f>
        <v>100000</v>
      </c>
    </row>
    <row r="34" spans="2:7" s="304" customFormat="1" ht="52.5" customHeight="1">
      <c r="B34" s="301"/>
      <c r="C34" s="301"/>
      <c r="D34" s="301">
        <v>2330</v>
      </c>
      <c r="E34" s="302" t="s">
        <v>228</v>
      </c>
      <c r="F34" s="303"/>
      <c r="G34" s="303">
        <f>88000+12000</f>
        <v>100000</v>
      </c>
    </row>
    <row r="35" spans="2:7" s="263" customFormat="1" ht="17.25" customHeight="1">
      <c r="B35" s="260"/>
      <c r="C35" s="260">
        <v>85510</v>
      </c>
      <c r="D35" s="260"/>
      <c r="E35" s="261" t="s">
        <v>210</v>
      </c>
      <c r="F35" s="262">
        <f>SUM(F36)</f>
        <v>199684</v>
      </c>
      <c r="G35" s="262">
        <f>SUM(G37:G37)</f>
        <v>151724</v>
      </c>
    </row>
    <row r="36" spans="2:7" s="267" customFormat="1" ht="48" customHeight="1">
      <c r="B36" s="264"/>
      <c r="C36" s="264"/>
      <c r="D36" s="264">
        <v>2320</v>
      </c>
      <c r="E36" s="265" t="s">
        <v>224</v>
      </c>
      <c r="F36" s="266">
        <v>199684</v>
      </c>
      <c r="G36" s="266"/>
    </row>
    <row r="37" spans="2:7" s="304" customFormat="1" ht="48.75" customHeight="1">
      <c r="B37" s="301"/>
      <c r="C37" s="301"/>
      <c r="D37" s="301">
        <v>2320</v>
      </c>
      <c r="E37" s="302" t="s">
        <v>225</v>
      </c>
      <c r="F37" s="303"/>
      <c r="G37" s="303">
        <f>163724-12000</f>
        <v>151724</v>
      </c>
    </row>
    <row r="38" spans="2:7" s="256" customFormat="1" ht="17.25" customHeight="1">
      <c r="B38" s="257">
        <v>900</v>
      </c>
      <c r="C38" s="257"/>
      <c r="D38" s="257"/>
      <c r="E38" s="258" t="s">
        <v>229</v>
      </c>
      <c r="F38" s="259"/>
      <c r="G38" s="259">
        <f>SUM(G39)</f>
        <v>10000</v>
      </c>
    </row>
    <row r="39" spans="2:7" s="263" customFormat="1" ht="17.25" customHeight="1">
      <c r="B39" s="260"/>
      <c r="C39" s="260">
        <v>90095</v>
      </c>
      <c r="D39" s="260"/>
      <c r="E39" s="261" t="s">
        <v>218</v>
      </c>
      <c r="F39" s="262"/>
      <c r="G39" s="262">
        <f>SUM(G40)</f>
        <v>10000</v>
      </c>
    </row>
    <row r="40" spans="2:7" s="263" customFormat="1" ht="49.5" customHeight="1">
      <c r="B40" s="268"/>
      <c r="C40" s="268"/>
      <c r="D40" s="268">
        <v>2710</v>
      </c>
      <c r="E40" s="270" t="s">
        <v>221</v>
      </c>
      <c r="F40" s="269"/>
      <c r="G40" s="266">
        <v>10000</v>
      </c>
    </row>
    <row r="41" spans="2:7" s="256" customFormat="1" ht="17.25" customHeight="1">
      <c r="B41" s="257">
        <v>921</v>
      </c>
      <c r="C41" s="257"/>
      <c r="D41" s="257"/>
      <c r="E41" s="258" t="s">
        <v>230</v>
      </c>
      <c r="F41" s="259">
        <f>SUM(F42)</f>
        <v>140000</v>
      </c>
      <c r="G41" s="259">
        <f>SUM(G42)</f>
        <v>0</v>
      </c>
    </row>
    <row r="42" spans="2:7" s="263" customFormat="1" ht="17.25" customHeight="1">
      <c r="B42" s="260"/>
      <c r="C42" s="260">
        <v>92116</v>
      </c>
      <c r="D42" s="260"/>
      <c r="E42" s="261" t="s">
        <v>231</v>
      </c>
      <c r="F42" s="262">
        <f>SUM(F43)</f>
        <v>140000</v>
      </c>
      <c r="G42" s="262"/>
    </row>
    <row r="43" spans="2:7" s="267" customFormat="1" ht="48.75" customHeight="1">
      <c r="B43" s="264"/>
      <c r="C43" s="264"/>
      <c r="D43" s="264">
        <v>2710</v>
      </c>
      <c r="E43" s="265" t="s">
        <v>232</v>
      </c>
      <c r="F43" s="266">
        <v>140000</v>
      </c>
      <c r="G43" s="266"/>
    </row>
    <row r="44" spans="2:7" s="263" customFormat="1" ht="24.75" customHeight="1">
      <c r="B44" s="578" t="s">
        <v>211</v>
      </c>
      <c r="C44" s="579"/>
      <c r="D44" s="579"/>
      <c r="E44" s="580"/>
      <c r="F44" s="275">
        <f>F5+F11+F14+F17+F22+F25+F29+F38+F41</f>
        <v>5431169</v>
      </c>
      <c r="G44" s="275">
        <f>G5+G11+G14+G17+G22+G25+G29+G38+G41</f>
        <v>2708775</v>
      </c>
    </row>
  </sheetData>
  <sheetProtection algorithmName="SHA-512" hashValue="o6ErCtyCmx79jWBWANITwqmo3rwalIKaDvSgpPSkLpqbMtAP4as+O+1ysJ6e6vKQathbN/HjVswdDRs+3wgQmg==" saltValue="QZS529dY9X2QuxAmgb0BsA==" spinCount="100000" sheet="1" formatColumns="0" formatRows="0"/>
  <mergeCells count="2">
    <mergeCell ref="B2:G2"/>
    <mergeCell ref="B44:E44"/>
  </mergeCells>
  <pageMargins left="0.86614173228346458" right="0.47244094488188981" top="1.5354330708661419" bottom="1.4960629921259843" header="0.70866141732283472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.................
Rady Powiatu  Otwockiego
z dnia .............................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A711-30AB-45DB-96EC-024EBCDB6214}">
  <sheetPr>
    <tabColor rgb="FFFFC000"/>
  </sheetPr>
  <dimension ref="A1:L58"/>
  <sheetViews>
    <sheetView tabSelected="1" zoomScaleNormal="100" workbookViewId="0">
      <pane ySplit="5" topLeftCell="A33" activePane="bottomLeft" state="frozen"/>
      <selection activeCell="M10" sqref="M10"/>
      <selection pane="bottomLeft" activeCell="H48" sqref="H48"/>
    </sheetView>
  </sheetViews>
  <sheetFormatPr defaultColWidth="9.33203125" defaultRowHeight="12"/>
  <cols>
    <col min="1" max="1" width="6.5" style="276" customWidth="1"/>
    <col min="2" max="2" width="10.83203125" style="276" customWidth="1"/>
    <col min="3" max="3" width="7.33203125" style="276" customWidth="1"/>
    <col min="4" max="4" width="61.33203125" style="247" customWidth="1"/>
    <col min="5" max="7" width="15.6640625" style="247" customWidth="1"/>
    <col min="8" max="8" width="20.5" style="247" customWidth="1"/>
    <col min="9" max="10" width="9.33203125" style="247"/>
    <col min="11" max="11" width="10.33203125" style="247" bestFit="1" customWidth="1"/>
    <col min="12" max="16384" width="9.33203125" style="247"/>
  </cols>
  <sheetData>
    <row r="1" spans="1:12" ht="9" customHeight="1"/>
    <row r="2" spans="1:12" s="278" customFormat="1" ht="33" customHeight="1">
      <c r="A2" s="581" t="s">
        <v>258</v>
      </c>
      <c r="B2" s="581"/>
      <c r="C2" s="581"/>
      <c r="D2" s="581"/>
      <c r="E2" s="581"/>
      <c r="F2" s="581"/>
      <c r="G2" s="581"/>
      <c r="H2" s="277"/>
    </row>
    <row r="3" spans="1:12" ht="10.5" customHeight="1"/>
    <row r="4" spans="1:12" ht="24" customHeight="1">
      <c r="A4" s="582" t="s">
        <v>0</v>
      </c>
      <c r="B4" s="582" t="s">
        <v>140</v>
      </c>
      <c r="C4" s="582" t="s">
        <v>31</v>
      </c>
      <c r="D4" s="582" t="s">
        <v>7</v>
      </c>
      <c r="E4" s="582" t="s">
        <v>233</v>
      </c>
      <c r="F4" s="582"/>
      <c r="G4" s="582"/>
    </row>
    <row r="5" spans="1:12" ht="24" customHeight="1">
      <c r="A5" s="582"/>
      <c r="B5" s="582"/>
      <c r="C5" s="582"/>
      <c r="D5" s="582"/>
      <c r="E5" s="279" t="s">
        <v>234</v>
      </c>
      <c r="F5" s="279" t="s">
        <v>235</v>
      </c>
      <c r="G5" s="279" t="s">
        <v>236</v>
      </c>
    </row>
    <row r="6" spans="1:12" s="281" customFormat="1" ht="12.75" customHeight="1">
      <c r="A6" s="280">
        <v>1</v>
      </c>
      <c r="B6" s="280">
        <v>2</v>
      </c>
      <c r="C6" s="280">
        <v>3</v>
      </c>
      <c r="D6" s="280">
        <v>4</v>
      </c>
      <c r="E6" s="280">
        <v>5</v>
      </c>
      <c r="F6" s="280">
        <v>6</v>
      </c>
      <c r="G6" s="280">
        <v>7</v>
      </c>
    </row>
    <row r="7" spans="1:12" ht="39" customHeight="1">
      <c r="A7" s="583" t="s">
        <v>237</v>
      </c>
      <c r="B7" s="583"/>
      <c r="C7" s="583"/>
      <c r="D7" s="282" t="s">
        <v>32</v>
      </c>
      <c r="E7" s="283" t="s">
        <v>238</v>
      </c>
      <c r="F7" s="283" t="s">
        <v>238</v>
      </c>
      <c r="G7" s="283" t="s">
        <v>238</v>
      </c>
    </row>
    <row r="8" spans="1:12" s="286" customFormat="1" ht="52.5" customHeight="1">
      <c r="A8" s="284">
        <v>600</v>
      </c>
      <c r="B8" s="284">
        <v>60004</v>
      </c>
      <c r="C8" s="284">
        <v>2310</v>
      </c>
      <c r="D8" s="265" t="s">
        <v>239</v>
      </c>
      <c r="E8" s="285"/>
      <c r="F8" s="285"/>
      <c r="G8" s="311">
        <v>280000</v>
      </c>
    </row>
    <row r="9" spans="1:12" s="286" customFormat="1" ht="57" customHeight="1">
      <c r="A9" s="287">
        <v>600</v>
      </c>
      <c r="B9" s="287">
        <v>60014</v>
      </c>
      <c r="C9" s="287">
        <v>6300</v>
      </c>
      <c r="D9" s="265" t="s">
        <v>217</v>
      </c>
      <c r="E9" s="288"/>
      <c r="F9" s="288"/>
      <c r="G9" s="312">
        <v>1500000</v>
      </c>
    </row>
    <row r="10" spans="1:12" s="457" customFormat="1" ht="57" customHeight="1">
      <c r="A10" s="453">
        <v>630</v>
      </c>
      <c r="B10" s="453">
        <v>63003</v>
      </c>
      <c r="C10" s="453">
        <v>6300</v>
      </c>
      <c r="D10" s="454" t="s">
        <v>217</v>
      </c>
      <c r="E10" s="455"/>
      <c r="F10" s="455"/>
      <c r="G10" s="456">
        <v>15000</v>
      </c>
    </row>
    <row r="11" spans="1:12" s="286" customFormat="1" ht="57" customHeight="1">
      <c r="A11" s="287">
        <v>710</v>
      </c>
      <c r="B11" s="287">
        <v>71095</v>
      </c>
      <c r="C11" s="287">
        <v>6639</v>
      </c>
      <c r="D11" s="265" t="s">
        <v>240</v>
      </c>
      <c r="E11" s="288"/>
      <c r="F11" s="289"/>
      <c r="G11" s="312">
        <v>53618</v>
      </c>
    </row>
    <row r="12" spans="1:12" s="286" customFormat="1" ht="57" customHeight="1">
      <c r="A12" s="287">
        <v>750</v>
      </c>
      <c r="B12" s="287">
        <v>75095</v>
      </c>
      <c r="C12" s="287">
        <v>2710</v>
      </c>
      <c r="D12" s="290" t="s">
        <v>221</v>
      </c>
      <c r="E12" s="288"/>
      <c r="F12" s="289"/>
      <c r="G12" s="312">
        <v>10000</v>
      </c>
    </row>
    <row r="13" spans="1:12" s="286" customFormat="1" ht="44.25" customHeight="1">
      <c r="A13" s="287">
        <v>754</v>
      </c>
      <c r="B13" s="287">
        <v>75410</v>
      </c>
      <c r="C13" s="287">
        <v>6170</v>
      </c>
      <c r="D13" s="290" t="s">
        <v>259</v>
      </c>
      <c r="E13" s="288"/>
      <c r="F13" s="289"/>
      <c r="G13" s="312">
        <v>40000</v>
      </c>
    </row>
    <row r="14" spans="1:12" s="286" customFormat="1" ht="51.75" customHeight="1">
      <c r="A14" s="287">
        <v>853</v>
      </c>
      <c r="B14" s="287">
        <v>85311</v>
      </c>
      <c r="C14" s="287">
        <v>2320</v>
      </c>
      <c r="D14" s="290" t="s">
        <v>241</v>
      </c>
      <c r="E14" s="291"/>
      <c r="F14" s="291"/>
      <c r="G14" s="314">
        <v>2700</v>
      </c>
      <c r="H14" s="292"/>
      <c r="I14" s="292"/>
      <c r="J14" s="292"/>
      <c r="K14" s="292"/>
      <c r="L14" s="292"/>
    </row>
    <row r="15" spans="1:12" s="286" customFormat="1" ht="51.75" customHeight="1">
      <c r="A15" s="287">
        <v>855</v>
      </c>
      <c r="B15" s="287">
        <v>85508</v>
      </c>
      <c r="C15" s="287">
        <v>2320</v>
      </c>
      <c r="D15" s="290" t="s">
        <v>241</v>
      </c>
      <c r="E15" s="291"/>
      <c r="F15" s="291"/>
      <c r="G15" s="314">
        <v>585733</v>
      </c>
      <c r="H15" s="292"/>
      <c r="I15" s="292"/>
      <c r="J15" s="292"/>
      <c r="K15" s="292"/>
      <c r="L15" s="292"/>
    </row>
    <row r="16" spans="1:12" s="286" customFormat="1" ht="47.25" customHeight="1">
      <c r="A16" s="305">
        <v>855</v>
      </c>
      <c r="B16" s="305">
        <v>85509</v>
      </c>
      <c r="C16" s="305">
        <v>2330</v>
      </c>
      <c r="D16" s="306" t="s">
        <v>242</v>
      </c>
      <c r="E16" s="309"/>
      <c r="F16" s="309"/>
      <c r="G16" s="313">
        <f>88000+12000</f>
        <v>100000</v>
      </c>
      <c r="H16" s="292"/>
      <c r="I16" s="292"/>
      <c r="J16" s="292"/>
      <c r="K16" s="292"/>
      <c r="L16" s="292"/>
    </row>
    <row r="17" spans="1:12" s="286" customFormat="1" ht="51.75" customHeight="1">
      <c r="A17" s="305">
        <v>855</v>
      </c>
      <c r="B17" s="305">
        <v>85510</v>
      </c>
      <c r="C17" s="305">
        <v>2320</v>
      </c>
      <c r="D17" s="306" t="s">
        <v>241</v>
      </c>
      <c r="E17" s="309"/>
      <c r="F17" s="309"/>
      <c r="G17" s="313">
        <f>163724-12000</f>
        <v>151724</v>
      </c>
      <c r="H17" s="292"/>
      <c r="I17" s="292"/>
      <c r="J17" s="292"/>
      <c r="K17" s="292"/>
      <c r="L17" s="292"/>
    </row>
    <row r="18" spans="1:12" s="286" customFormat="1" ht="48" customHeight="1">
      <c r="A18" s="287">
        <v>900</v>
      </c>
      <c r="B18" s="287">
        <v>90095</v>
      </c>
      <c r="C18" s="287">
        <v>2710</v>
      </c>
      <c r="D18" s="290" t="s">
        <v>221</v>
      </c>
      <c r="E18" s="291"/>
      <c r="F18" s="291"/>
      <c r="G18" s="314">
        <v>10000</v>
      </c>
      <c r="H18" s="292"/>
      <c r="I18" s="292"/>
      <c r="J18" s="292"/>
      <c r="K18" s="292"/>
      <c r="L18" s="292"/>
    </row>
    <row r="19" spans="1:12" s="286" customFormat="1" ht="25.5" customHeight="1">
      <c r="A19" s="287">
        <v>921</v>
      </c>
      <c r="B19" s="287">
        <v>92116</v>
      </c>
      <c r="C19" s="287">
        <v>2480</v>
      </c>
      <c r="D19" s="290" t="s">
        <v>243</v>
      </c>
      <c r="E19" s="452">
        <v>754000</v>
      </c>
      <c r="F19" s="291"/>
      <c r="G19" s="458"/>
      <c r="H19" s="292"/>
      <c r="I19" s="292"/>
      <c r="J19" s="292"/>
      <c r="K19" s="292"/>
      <c r="L19" s="292"/>
    </row>
    <row r="20" spans="1:12" s="294" customFormat="1" ht="27" customHeight="1">
      <c r="A20" s="582" t="s">
        <v>244</v>
      </c>
      <c r="B20" s="582"/>
      <c r="C20" s="582"/>
      <c r="D20" s="582"/>
      <c r="E20" s="293">
        <f>SUM(E8:E19)</f>
        <v>754000</v>
      </c>
      <c r="F20" s="293">
        <f>SUM(F8:F19)</f>
        <v>0</v>
      </c>
      <c r="G20" s="293">
        <f>SUM(G8:G19)</f>
        <v>2748775</v>
      </c>
      <c r="I20" s="295"/>
    </row>
    <row r="21" spans="1:12" s="294" customFormat="1" ht="47.25" customHeight="1">
      <c r="A21" s="583" t="s">
        <v>245</v>
      </c>
      <c r="B21" s="583"/>
      <c r="C21" s="583"/>
      <c r="D21" s="282" t="s">
        <v>32</v>
      </c>
      <c r="E21" s="282" t="s">
        <v>238</v>
      </c>
      <c r="F21" s="282" t="s">
        <v>238</v>
      </c>
      <c r="G21" s="282" t="s">
        <v>238</v>
      </c>
      <c r="I21" s="295"/>
      <c r="K21" s="296"/>
    </row>
    <row r="22" spans="1:12" s="286" customFormat="1" ht="54" customHeight="1">
      <c r="A22" s="297" t="s">
        <v>145</v>
      </c>
      <c r="B22" s="297" t="s">
        <v>246</v>
      </c>
      <c r="C22" s="297" t="s">
        <v>247</v>
      </c>
      <c r="D22" s="290" t="s">
        <v>248</v>
      </c>
      <c r="E22" s="288"/>
      <c r="F22" s="288"/>
      <c r="G22" s="312">
        <v>70000</v>
      </c>
      <c r="I22" s="298"/>
      <c r="K22" s="276"/>
    </row>
    <row r="23" spans="1:12" s="286" customFormat="1" ht="59.25" customHeight="1">
      <c r="A23" s="287">
        <v>630</v>
      </c>
      <c r="B23" s="287">
        <v>63003</v>
      </c>
      <c r="C23" s="287">
        <v>2360</v>
      </c>
      <c r="D23" s="290" t="s">
        <v>196</v>
      </c>
      <c r="E23" s="288"/>
      <c r="F23" s="288"/>
      <c r="G23" s="312">
        <v>8000</v>
      </c>
      <c r="I23" s="298"/>
      <c r="K23" s="276"/>
    </row>
    <row r="24" spans="1:12" s="286" customFormat="1" ht="63.75" customHeight="1">
      <c r="A24" s="287">
        <v>754</v>
      </c>
      <c r="B24" s="287">
        <v>75495</v>
      </c>
      <c r="C24" s="287">
        <v>2360</v>
      </c>
      <c r="D24" s="290" t="s">
        <v>196</v>
      </c>
      <c r="E24" s="288"/>
      <c r="F24" s="288"/>
      <c r="G24" s="312">
        <v>10000</v>
      </c>
      <c r="I24" s="298"/>
      <c r="K24" s="276"/>
    </row>
    <row r="25" spans="1:12" s="286" customFormat="1" ht="63.75" customHeight="1">
      <c r="A25" s="287">
        <v>755</v>
      </c>
      <c r="B25" s="287">
        <v>75515</v>
      </c>
      <c r="C25" s="287">
        <v>2360</v>
      </c>
      <c r="D25" s="290" t="s">
        <v>196</v>
      </c>
      <c r="E25" s="288"/>
      <c r="F25" s="288"/>
      <c r="G25" s="312">
        <v>190080</v>
      </c>
      <c r="I25" s="298"/>
      <c r="K25" s="276"/>
    </row>
    <row r="26" spans="1:12" s="286" customFormat="1" ht="24.95" customHeight="1">
      <c r="A26" s="287">
        <v>801</v>
      </c>
      <c r="B26" s="287">
        <v>80102</v>
      </c>
      <c r="C26" s="287">
        <v>2540</v>
      </c>
      <c r="D26" s="290" t="s">
        <v>249</v>
      </c>
      <c r="E26" s="316">
        <v>5073235</v>
      </c>
      <c r="F26" s="317"/>
      <c r="G26" s="315"/>
      <c r="I26" s="298"/>
      <c r="K26" s="276"/>
    </row>
    <row r="27" spans="1:12" s="286" customFormat="1" ht="24.95" customHeight="1">
      <c r="A27" s="287">
        <v>801</v>
      </c>
      <c r="B27" s="287">
        <v>80105</v>
      </c>
      <c r="C27" s="287">
        <v>2540</v>
      </c>
      <c r="D27" s="290" t="s">
        <v>249</v>
      </c>
      <c r="E27" s="316">
        <v>1217915</v>
      </c>
      <c r="F27" s="317"/>
      <c r="G27" s="315"/>
      <c r="I27" s="298"/>
      <c r="K27" s="276"/>
    </row>
    <row r="28" spans="1:12" s="286" customFormat="1" ht="24.95" customHeight="1">
      <c r="A28" s="287">
        <v>801</v>
      </c>
      <c r="B28" s="287">
        <v>80116</v>
      </c>
      <c r="C28" s="287">
        <v>2540</v>
      </c>
      <c r="D28" s="290" t="s">
        <v>249</v>
      </c>
      <c r="E28" s="316">
        <v>2606874</v>
      </c>
      <c r="F28" s="317"/>
      <c r="G28" s="315"/>
      <c r="I28" s="298"/>
      <c r="K28" s="276"/>
    </row>
    <row r="29" spans="1:12" s="307" customFormat="1" ht="32.25" customHeight="1">
      <c r="A29" s="305">
        <v>801</v>
      </c>
      <c r="B29" s="305">
        <v>80120</v>
      </c>
      <c r="C29" s="305">
        <v>2540</v>
      </c>
      <c r="D29" s="306" t="s">
        <v>249</v>
      </c>
      <c r="E29" s="321">
        <f>1780206+3718</f>
        <v>1783924</v>
      </c>
      <c r="F29" s="322"/>
      <c r="G29" s="459"/>
    </row>
    <row r="30" spans="1:12" s="286" customFormat="1" ht="24.95" customHeight="1">
      <c r="A30" s="287">
        <v>801</v>
      </c>
      <c r="B30" s="287">
        <v>80150</v>
      </c>
      <c r="C30" s="287">
        <v>2540</v>
      </c>
      <c r="D30" s="290" t="s">
        <v>249</v>
      </c>
      <c r="E30" s="316">
        <v>5000</v>
      </c>
      <c r="F30" s="318"/>
      <c r="G30" s="319"/>
    </row>
    <row r="31" spans="1:12" s="286" customFormat="1" ht="24.95" customHeight="1">
      <c r="A31" s="287">
        <v>801</v>
      </c>
      <c r="B31" s="287">
        <v>80152</v>
      </c>
      <c r="C31" s="287">
        <v>2540</v>
      </c>
      <c r="D31" s="290" t="s">
        <v>249</v>
      </c>
      <c r="E31" s="316">
        <v>497451</v>
      </c>
      <c r="F31" s="318"/>
      <c r="G31" s="319"/>
    </row>
    <row r="32" spans="1:12" s="286" customFormat="1" ht="52.5" customHeight="1">
      <c r="A32" s="287">
        <v>851</v>
      </c>
      <c r="B32" s="287">
        <v>85111</v>
      </c>
      <c r="C32" s="287">
        <v>6230</v>
      </c>
      <c r="D32" s="290" t="s">
        <v>250</v>
      </c>
      <c r="E32" s="316"/>
      <c r="F32" s="318"/>
      <c r="G32" s="316">
        <v>4295224</v>
      </c>
    </row>
    <row r="33" spans="1:11" s="286" customFormat="1" ht="36.75" customHeight="1">
      <c r="A33" s="305">
        <v>852</v>
      </c>
      <c r="B33" s="305">
        <v>85202</v>
      </c>
      <c r="C33" s="305">
        <v>2820</v>
      </c>
      <c r="D33" s="306" t="s">
        <v>251</v>
      </c>
      <c r="E33" s="322"/>
      <c r="F33" s="322"/>
      <c r="G33" s="321">
        <f>280000+13000</f>
        <v>293000</v>
      </c>
    </row>
    <row r="34" spans="1:11" s="286" customFormat="1" ht="36.75" customHeight="1">
      <c r="A34" s="287">
        <v>852</v>
      </c>
      <c r="B34" s="287">
        <v>85220</v>
      </c>
      <c r="C34" s="287">
        <v>2820</v>
      </c>
      <c r="D34" s="290" t="s">
        <v>251</v>
      </c>
      <c r="E34" s="318"/>
      <c r="F34" s="318"/>
      <c r="G34" s="316">
        <v>165400</v>
      </c>
    </row>
    <row r="35" spans="1:11" s="286" customFormat="1" ht="36.75" customHeight="1">
      <c r="A35" s="305">
        <v>852</v>
      </c>
      <c r="B35" s="305">
        <v>85295</v>
      </c>
      <c r="C35" s="305">
        <v>2827</v>
      </c>
      <c r="D35" s="306" t="s">
        <v>251</v>
      </c>
      <c r="E35" s="322"/>
      <c r="F35" s="322"/>
      <c r="G35" s="321">
        <f>24300+24300</f>
        <v>48600</v>
      </c>
    </row>
    <row r="36" spans="1:11" s="286" customFormat="1" ht="34.5" customHeight="1">
      <c r="A36" s="305">
        <v>853</v>
      </c>
      <c r="B36" s="305">
        <v>85311</v>
      </c>
      <c r="C36" s="305">
        <v>2580</v>
      </c>
      <c r="D36" s="306" t="s">
        <v>252</v>
      </c>
      <c r="E36" s="308">
        <f>297185-15942</f>
        <v>281243</v>
      </c>
      <c r="F36" s="309"/>
      <c r="G36" s="310"/>
    </row>
    <row r="37" spans="1:11" s="307" customFormat="1" ht="49.5" customHeight="1">
      <c r="A37" s="305">
        <v>853</v>
      </c>
      <c r="B37" s="305">
        <v>85311</v>
      </c>
      <c r="C37" s="305">
        <v>6230</v>
      </c>
      <c r="D37" s="306" t="s">
        <v>250</v>
      </c>
      <c r="E37" s="308"/>
      <c r="F37" s="309"/>
      <c r="G37" s="308">
        <v>15942</v>
      </c>
    </row>
    <row r="38" spans="1:11" s="286" customFormat="1" ht="25.5" customHeight="1">
      <c r="A38" s="287">
        <v>854</v>
      </c>
      <c r="B38" s="287">
        <v>85404</v>
      </c>
      <c r="C38" s="287">
        <v>2540</v>
      </c>
      <c r="D38" s="290" t="s">
        <v>249</v>
      </c>
      <c r="E38" s="316">
        <v>459873</v>
      </c>
      <c r="F38" s="318"/>
      <c r="G38" s="319"/>
    </row>
    <row r="39" spans="1:11" s="286" customFormat="1" ht="25.5" customHeight="1">
      <c r="A39" s="287">
        <v>854</v>
      </c>
      <c r="B39" s="287">
        <v>85410</v>
      </c>
      <c r="C39" s="287">
        <v>2540</v>
      </c>
      <c r="D39" s="290" t="s">
        <v>249</v>
      </c>
      <c r="E39" s="316">
        <v>93709</v>
      </c>
      <c r="F39" s="318"/>
      <c r="G39" s="319"/>
    </row>
    <row r="40" spans="1:11" s="286" customFormat="1" ht="60.75" customHeight="1">
      <c r="A40" s="287">
        <v>921</v>
      </c>
      <c r="B40" s="287">
        <v>92105</v>
      </c>
      <c r="C40" s="287">
        <v>2360</v>
      </c>
      <c r="D40" s="290" t="s">
        <v>196</v>
      </c>
      <c r="E40" s="319"/>
      <c r="F40" s="318"/>
      <c r="G40" s="316">
        <v>90000</v>
      </c>
    </row>
    <row r="41" spans="1:11" s="286" customFormat="1" ht="60.75" customHeight="1">
      <c r="A41" s="287">
        <v>921</v>
      </c>
      <c r="B41" s="287">
        <v>92120</v>
      </c>
      <c r="C41" s="287">
        <v>2720</v>
      </c>
      <c r="D41" s="290" t="s">
        <v>253</v>
      </c>
      <c r="E41" s="319"/>
      <c r="F41" s="318"/>
      <c r="G41" s="316">
        <v>60000</v>
      </c>
    </row>
    <row r="42" spans="1:11" s="286" customFormat="1" ht="60.75" customHeight="1">
      <c r="A42" s="287">
        <v>926</v>
      </c>
      <c r="B42" s="287">
        <v>92605</v>
      </c>
      <c r="C42" s="287">
        <v>2360</v>
      </c>
      <c r="D42" s="290" t="s">
        <v>196</v>
      </c>
      <c r="E42" s="320"/>
      <c r="F42" s="318"/>
      <c r="G42" s="316">
        <v>30000</v>
      </c>
      <c r="I42" s="298"/>
      <c r="K42" s="298"/>
    </row>
    <row r="43" spans="1:11" s="286" customFormat="1" ht="22.5" customHeight="1">
      <c r="A43" s="584" t="s">
        <v>254</v>
      </c>
      <c r="B43" s="584"/>
      <c r="C43" s="584"/>
      <c r="D43" s="584"/>
      <c r="E43" s="293">
        <f>SUM(E22:E42)</f>
        <v>12019224</v>
      </c>
      <c r="F43" s="293">
        <f>SUM(F22:F42)</f>
        <v>0</v>
      </c>
      <c r="G43" s="293">
        <f>SUM(G22:G42)</f>
        <v>5276246</v>
      </c>
    </row>
    <row r="44" spans="1:11" s="300" customFormat="1" ht="26.25" customHeight="1">
      <c r="A44" s="585" t="s">
        <v>255</v>
      </c>
      <c r="B44" s="585"/>
      <c r="C44" s="585"/>
      <c r="D44" s="585"/>
      <c r="E44" s="585"/>
      <c r="F44" s="585"/>
      <c r="G44" s="299">
        <f>SUM(E20,G20,E43,G43)</f>
        <v>20798245</v>
      </c>
    </row>
    <row r="45" spans="1:11" ht="15.75" customHeight="1"/>
    <row r="46" spans="1:11" ht="15.75" customHeight="1"/>
    <row r="47" spans="1:11" ht="15.75" customHeight="1"/>
    <row r="48" spans="1:11" ht="15.75" customHeight="1">
      <c r="A48" s="247"/>
      <c r="B48" s="247"/>
      <c r="C48" s="247"/>
    </row>
    <row r="49" spans="1:3" ht="15.75" customHeight="1">
      <c r="A49" s="247"/>
      <c r="B49" s="247"/>
      <c r="C49" s="247"/>
    </row>
    <row r="50" spans="1:3" ht="15.75" customHeight="1">
      <c r="A50" s="247"/>
      <c r="B50" s="247"/>
      <c r="C50" s="247"/>
    </row>
    <row r="51" spans="1:3" ht="15.75" customHeight="1"/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</sheetData>
  <sheetProtection algorithmName="SHA-512" hashValue="851W9fcn7EoZ+ci3u0rVOrMLBOmeQ+4JPcjI/yPFOpVkeV2y/NeYbb+pgXU5LdTsO0iIAowtCoTCvBOYLz426Q==" saltValue="QKGefo6AH6oc42bO3jVujQ==" spinCount="100000" sheet="1" formatColumns="0" formatRows="0"/>
  <mergeCells count="11">
    <mergeCell ref="A7:C7"/>
    <mergeCell ref="A20:D20"/>
    <mergeCell ref="A21:C21"/>
    <mergeCell ref="A43:D43"/>
    <mergeCell ref="A44:F44"/>
    <mergeCell ref="A2:G2"/>
    <mergeCell ref="A4:A5"/>
    <mergeCell ref="B4:B5"/>
    <mergeCell ref="C4:C5"/>
    <mergeCell ref="D4:D5"/>
    <mergeCell ref="E4:G4"/>
  </mergeCells>
  <pageMargins left="0.59055118110236227" right="0.31496062992125984" top="1.4173228346456694" bottom="0.62992125984251968" header="0.51181102362204722" footer="0.47244094488188981"/>
  <pageSetup paperSize="9" scale="85" orientation="portrait" horizontalDpi="4294967295" verticalDpi="300" r:id="rId1"/>
  <headerFooter differentFirst="1" alignWithMargins="0">
    <oddFooter>&amp;C&amp;P</oddFooter>
    <firstHeader>&amp;R&amp;10Załącznik Nr 1 
do uchwały Nr .................
Rady Powiatu  Otwockiego
z dnia ..............................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5</vt:i4>
      </vt:variant>
    </vt:vector>
  </HeadingPairs>
  <TitlesOfParts>
    <vt:vector size="12" baseType="lpstr">
      <vt:lpstr>Tab.2a </vt:lpstr>
      <vt:lpstr>Tab.3</vt:lpstr>
      <vt:lpstr>Tab.4 </vt:lpstr>
      <vt:lpstr>Tab.5 </vt:lpstr>
      <vt:lpstr>Tab.6 </vt:lpstr>
      <vt:lpstr>Tab.7</vt:lpstr>
      <vt:lpstr>Zał.1</vt:lpstr>
      <vt:lpstr>'Tab.2a '!Obszar_wydruku</vt:lpstr>
      <vt:lpstr>Tab.3!Obszar_wydruku</vt:lpstr>
      <vt:lpstr>'Tab.4 '!Obszar_wydruku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2022-03-22T12:00:58Z</cp:lastPrinted>
  <dcterms:created xsi:type="dcterms:W3CDTF">2015-10-09T11:05:37Z</dcterms:created>
  <dcterms:modified xsi:type="dcterms:W3CDTF">2022-03-22T12:36:17Z</dcterms:modified>
</cp:coreProperties>
</file>