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SESJA 24-02-2022\"/>
    </mc:Choice>
  </mc:AlternateContent>
  <xr:revisionPtr revIDLastSave="0" documentId="13_ncr:1_{641FE104-192D-4714-A177-FB2782EF076B}" xr6:coauthVersionLast="47" xr6:coauthVersionMax="47" xr10:uidLastSave="{00000000-0000-0000-0000-000000000000}"/>
  <bookViews>
    <workbookView xWindow="-120" yWindow="-120" windowWidth="29040" windowHeight="15840" tabRatio="821" xr2:uid="{00000000-000D-0000-FFFF-FFFF00000000}"/>
  </bookViews>
  <sheets>
    <sheet name="Tab.2a " sheetId="67" r:id="rId1"/>
    <sheet name="Tab.3" sheetId="21" r:id="rId2"/>
    <sheet name="Tab.5 " sheetId="68" r:id="rId3"/>
    <sheet name="Tab.7" sheetId="69" r:id="rId4"/>
    <sheet name="Zał.1" sheetId="70" r:id="rId5"/>
  </sheets>
  <externalReferences>
    <externalReference r:id="rId6"/>
    <externalReference r:id="rId7"/>
    <externalReference r:id="rId8"/>
  </externalReference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>#REF!</definedName>
    <definedName name="_xlnm._FilterDatabase" localSheetId="0" hidden="1">'Tab.2a '!$L$1:$L$70</definedName>
    <definedName name="_xlnm._FilterDatabase" localSheetId="2" hidden="1">'Tab.5 '!$C$1:$C$171</definedName>
    <definedName name="_xlnm._FilterDatabase" localSheetId="3" hidden="1">Tab.7!$D$2:$D$38</definedName>
    <definedName name="IdWzor">[1]DaneZrodlowe!$N$3</definedName>
    <definedName name="Inwestycje" localSheetId="0">#REF!</definedName>
    <definedName name="Inwestycje" localSheetId="2">#REF!</definedName>
    <definedName name="Inwestycje" localSheetId="3">#REF!</definedName>
    <definedName name="Inwestycje" localSheetId="4">#REF!</definedName>
    <definedName name="Inwestycje">#REF!</definedName>
    <definedName name="KwartalRb">[2]definicja!$B$5</definedName>
    <definedName name="_xlnm.Print_Area" localSheetId="0">'Tab.2a '!$A$2:$K$65</definedName>
    <definedName name="_xlnm.Print_Area" localSheetId="1">Tab.3!$A$2:$D$29</definedName>
    <definedName name="_xlnm.Print_Area" localSheetId="2">'Tab.5 '!$A$1:$F$163</definedName>
    <definedName name="_xlnm.Print_Area" localSheetId="4">Zał.1!$A$2:$G$42</definedName>
    <definedName name="Ostatni_rok_analizy">[3]WPF_Analiza!$L$1</definedName>
    <definedName name="Rok_bazowy">[2]DaneZrodlowe!$O$1</definedName>
    <definedName name="RokBazowy">[3]DaneZrodlowe!$N$1</definedName>
    <definedName name="RokMaxProg">[3]DaneZrodlowe!$Q$1</definedName>
    <definedName name="RokRb">[2]definicja!$B$4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>#REF!</definedName>
    <definedName name="version">[3]definicja!$D$1</definedName>
    <definedName name="WydatkiPar">[2]definicja!$H$5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67" l="1"/>
  <c r="H52" i="67"/>
  <c r="F52" i="67"/>
  <c r="G21" i="67"/>
  <c r="G15" i="67"/>
  <c r="D18" i="21" l="1"/>
  <c r="D17" i="21"/>
  <c r="H15" i="67"/>
  <c r="I15" i="67"/>
  <c r="F15" i="67"/>
  <c r="G28" i="67"/>
  <c r="H28" i="67"/>
  <c r="I28" i="67"/>
  <c r="F28" i="67" s="1"/>
  <c r="F20" i="67"/>
  <c r="F19" i="67"/>
  <c r="D22" i="21"/>
  <c r="G24" i="67"/>
  <c r="H47" i="67"/>
  <c r="I47" i="67"/>
  <c r="J47" i="67"/>
  <c r="H42" i="67"/>
  <c r="I42" i="67"/>
  <c r="J42" i="67"/>
  <c r="H40" i="67"/>
  <c r="I40" i="67"/>
  <c r="J40" i="67"/>
  <c r="G40" i="67"/>
  <c r="F40" i="67"/>
  <c r="G47" i="67"/>
  <c r="F46" i="67"/>
  <c r="F47" i="67" s="1"/>
  <c r="G41" i="70" l="1"/>
  <c r="F41" i="70"/>
  <c r="E41" i="70"/>
  <c r="G19" i="70"/>
  <c r="F19" i="70"/>
  <c r="E19" i="70"/>
  <c r="F36" i="69"/>
  <c r="F35" i="69" s="1"/>
  <c r="G35" i="69"/>
  <c r="G33" i="69"/>
  <c r="G32" i="69"/>
  <c r="G29" i="69"/>
  <c r="F29" i="69"/>
  <c r="G27" i="69"/>
  <c r="G24" i="69"/>
  <c r="G23" i="69" s="1"/>
  <c r="F24" i="69"/>
  <c r="F23" i="69" s="1"/>
  <c r="G20" i="69"/>
  <c r="G19" i="69" s="1"/>
  <c r="F20" i="69"/>
  <c r="F19" i="69" s="1"/>
  <c r="F15" i="69"/>
  <c r="G14" i="69"/>
  <c r="F14" i="69"/>
  <c r="G12" i="69"/>
  <c r="F12" i="69"/>
  <c r="F11" i="69" s="1"/>
  <c r="G11" i="69"/>
  <c r="G8" i="69"/>
  <c r="F8" i="69"/>
  <c r="G7" i="69"/>
  <c r="G6" i="69"/>
  <c r="G5" i="69"/>
  <c r="F5" i="69"/>
  <c r="F155" i="68"/>
  <c r="E155" i="68"/>
  <c r="F151" i="68"/>
  <c r="E151" i="68"/>
  <c r="F150" i="68"/>
  <c r="E150" i="68"/>
  <c r="F137" i="68"/>
  <c r="F136" i="68" s="1"/>
  <c r="E137" i="68"/>
  <c r="E136" i="68"/>
  <c r="F114" i="68"/>
  <c r="F113" i="68" s="1"/>
  <c r="E114" i="68"/>
  <c r="E113" i="68" s="1"/>
  <c r="F110" i="68"/>
  <c r="E110" i="68"/>
  <c r="F109" i="68"/>
  <c r="E109" i="68"/>
  <c r="F101" i="68"/>
  <c r="E101" i="68"/>
  <c r="F100" i="68"/>
  <c r="E100" i="68"/>
  <c r="F70" i="68"/>
  <c r="F69" i="68" s="1"/>
  <c r="E70" i="68"/>
  <c r="E69" i="68" s="1"/>
  <c r="F63" i="68"/>
  <c r="E63" i="68"/>
  <c r="F58" i="68"/>
  <c r="E58" i="68"/>
  <c r="F57" i="68"/>
  <c r="E57" i="68"/>
  <c r="F34" i="68"/>
  <c r="E34" i="68"/>
  <c r="F28" i="68"/>
  <c r="E28" i="68"/>
  <c r="E27" i="68" s="1"/>
  <c r="F10" i="68"/>
  <c r="F9" i="68" s="1"/>
  <c r="E10" i="68"/>
  <c r="E9" i="68"/>
  <c r="F6" i="68"/>
  <c r="E6" i="68"/>
  <c r="F5" i="68"/>
  <c r="E5" i="68"/>
  <c r="G42" i="70" l="1"/>
  <c r="G38" i="69"/>
  <c r="F27" i="68"/>
  <c r="F160" i="68" s="1"/>
  <c r="F38" i="69"/>
  <c r="E160" i="68"/>
  <c r="J21" i="67" l="1"/>
  <c r="D20" i="21" l="1"/>
  <c r="G23" i="67" l="1"/>
  <c r="F17" i="67"/>
  <c r="J15" i="67"/>
  <c r="G16" i="67"/>
  <c r="F16" i="67" s="1"/>
  <c r="F14" i="67"/>
  <c r="J13" i="67"/>
  <c r="F11" i="67"/>
  <c r="J7" i="67"/>
  <c r="G10" i="67"/>
  <c r="G9" i="67"/>
  <c r="D15" i="21" l="1"/>
  <c r="D14" i="21" l="1"/>
  <c r="J58" i="67" l="1"/>
  <c r="I58" i="67"/>
  <c r="H58" i="67"/>
  <c r="G58" i="67"/>
  <c r="F58" i="67"/>
  <c r="J56" i="67"/>
  <c r="I56" i="67"/>
  <c r="H56" i="67"/>
  <c r="G56" i="67"/>
  <c r="F55" i="67"/>
  <c r="F56" i="67" s="1"/>
  <c r="I54" i="67"/>
  <c r="H54" i="67"/>
  <c r="G54" i="67"/>
  <c r="F54" i="67"/>
  <c r="I52" i="67"/>
  <c r="G52" i="67"/>
  <c r="F50" i="67"/>
  <c r="H49" i="67"/>
  <c r="G49" i="67"/>
  <c r="F48" i="67"/>
  <c r="F49" i="67" s="1"/>
  <c r="K45" i="67"/>
  <c r="J45" i="67"/>
  <c r="I45" i="67"/>
  <c r="H45" i="67"/>
  <c r="G45" i="67"/>
  <c r="F44" i="67"/>
  <c r="F43" i="67"/>
  <c r="G42" i="67"/>
  <c r="F41" i="67"/>
  <c r="F42" i="67" s="1"/>
  <c r="G37" i="67"/>
  <c r="G35" i="67" s="1"/>
  <c r="F36" i="67"/>
  <c r="I35" i="67"/>
  <c r="H35" i="67"/>
  <c r="F34" i="67"/>
  <c r="F33" i="67"/>
  <c r="J32" i="67"/>
  <c r="I32" i="67"/>
  <c r="H32" i="67"/>
  <c r="G32" i="67"/>
  <c r="F31" i="67"/>
  <c r="I30" i="67"/>
  <c r="H30" i="67"/>
  <c r="G30" i="67"/>
  <c r="F27" i="67"/>
  <c r="F26" i="67"/>
  <c r="J25" i="67"/>
  <c r="I25" i="67"/>
  <c r="H25" i="67"/>
  <c r="G25" i="67"/>
  <c r="F23" i="67"/>
  <c r="F22" i="67"/>
  <c r="I21" i="67"/>
  <c r="H21" i="67"/>
  <c r="F21" i="67" s="1"/>
  <c r="F18" i="67"/>
  <c r="I13" i="67"/>
  <c r="H13" i="67"/>
  <c r="G13" i="67"/>
  <c r="F12" i="67"/>
  <c r="F10" i="67"/>
  <c r="F9" i="67"/>
  <c r="F8" i="67"/>
  <c r="I7" i="67"/>
  <c r="H7" i="67"/>
  <c r="G7" i="67"/>
  <c r="F45" i="67" l="1"/>
  <c r="F25" i="67"/>
  <c r="F32" i="67"/>
  <c r="J38" i="67"/>
  <c r="J59" i="67" s="1"/>
  <c r="F35" i="67"/>
  <c r="H38" i="67"/>
  <c r="H59" i="67" s="1"/>
  <c r="F30" i="67"/>
  <c r="F37" i="67"/>
  <c r="I38" i="67"/>
  <c r="I59" i="67" s="1"/>
  <c r="G38" i="67"/>
  <c r="G59" i="67" s="1"/>
  <c r="F7" i="67"/>
  <c r="F13" i="67"/>
  <c r="F38" i="67" l="1"/>
  <c r="F59" i="67" s="1"/>
  <c r="D26" i="21" l="1"/>
  <c r="D10" i="21"/>
  <c r="D7" i="21"/>
  <c r="D13" i="21" l="1"/>
</calcChain>
</file>

<file path=xl/sharedStrings.xml><?xml version="1.0" encoding="utf-8"?>
<sst xmlns="http://schemas.openxmlformats.org/spreadsheetml/2006/main" count="470" uniqueCount="277">
  <si>
    <t>Dział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</si>
  <si>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</si>
  <si>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</si>
  <si>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</si>
  <si>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</si>
  <si>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</si>
  <si>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</si>
  <si>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</si>
  <si>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</si>
  <si>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</si>
  <si>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</si>
  <si>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</si>
  <si>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</si>
  <si>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</si>
  <si>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</si>
  <si>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</si>
  <si>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</si>
  <si>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</si>
  <si>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</si>
  <si>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</si>
  <si>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</si>
  <si>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</si>
  <si>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</si>
  <si>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</si>
  <si>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</si>
  <si>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</si>
  <si>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</si>
  <si>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</si>
  <si>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</si>
  <si>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</si>
  <si>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</si>
  <si>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</si>
  <si>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</si>
  <si>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</si>
  <si>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</si>
  <si>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</si>
  <si>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w tym:</t>
  </si>
  <si>
    <t>9.</t>
  </si>
  <si>
    <t>7.</t>
  </si>
  <si>
    <t>6.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</si>
  <si>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</si>
  <si>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</si>
  <si>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</si>
  <si>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</si>
  <si>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Regionalne partnerstwo samorządów Mazowsza dla aktywizacji społeczeństwa informacyjnego w zakresie e-administracji i geoinformacji</t>
  </si>
  <si>
    <t>Przychody ze sprzedaży innych papierów wartościowych</t>
  </si>
  <si>
    <t>§ 931</t>
  </si>
  <si>
    <t>Modernizacja budynku Specjalnego Ośrodka Szkolno-Wychowawczego Nr 1 - wzmocnienie stropów, dostosowanie budynku do zaleceń  ppoż.</t>
  </si>
  <si>
    <t>Rozdz.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</si>
  <si>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</si>
  <si>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</si>
  <si>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</si>
  <si>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</si>
  <si>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</si>
  <si>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8.</t>
  </si>
  <si>
    <t>10.</t>
  </si>
  <si>
    <t>11.</t>
  </si>
  <si>
    <t>Gmina Celestynów</t>
  </si>
  <si>
    <t xml:space="preserve">Rozbudowa dróg powiatowych Nr 2715W i Nr 2716W w miejsc. Dyzin, Jatne i Celestynów, gm. Celestynów, powiat otwocki </t>
  </si>
  <si>
    <t>B. 4 000 000</t>
  </si>
  <si>
    <t xml:space="preserve">Przebudowa mostu w drodze powiatowej Nr 2722W w Pogorzeli </t>
  </si>
  <si>
    <t>WPF</t>
  </si>
  <si>
    <t>Poprawa bezpieczeństwa ruchu drogowego na przejściu dla pieszych w Pogorzeli na ul. Warszawskiej na drodze Nr 2715W</t>
  </si>
  <si>
    <t>A. 159 170</t>
  </si>
  <si>
    <t>Rozbudowa drogi powiatowej Nr 2713W w miejscowościach Stara Wieś, Dąbrówka i Celestynów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</si>
  <si>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</si>
  <si>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Gmina Józefów</t>
  </si>
  <si>
    <t>Poprawa bezpieczeństwa ruchu drogowego na przejściu dla pieszych w Józefowie na ul. Granicznej na drodze nr 2768W</t>
  </si>
  <si>
    <t>Gmina Otwock</t>
  </si>
  <si>
    <t xml:space="preserve">Poprawa bezpieczeństwa ruchu drogowego na  przejściu dla pieszych w Otwocku na ul. Narutowicza na drodze Nr 2759W
</t>
  </si>
  <si>
    <t>A. 159 090</t>
  </si>
  <si>
    <t>Poprawa bezpieczeństwa ruchu poprzez budowę ciągów pieszych i rowerowych na ul. Warszawskiej, ul. Jana Pawła II i ul. Poniatowskiego</t>
  </si>
  <si>
    <t>Rozbudowa skrzyżowania dróg powiatowych Nr 2765W ul. Karczewskiej i Nr 2760W  ul. Batorego i ul. Matejki w Otwocku</t>
  </si>
  <si>
    <t>D. 1 000 000</t>
  </si>
  <si>
    <t>Rozbudowa drogi powiatowej Nr 2715W ul. Powstańców Warszawy i ul. Wawerskiej w Otwocku</t>
  </si>
  <si>
    <t>A. 7 852 323</t>
  </si>
  <si>
    <t>Gmina Karczew</t>
  </si>
  <si>
    <t>Modernizacja drogi powiatowej Nr 2730W Kępa Nadbrzeska - Otwock Wielki</t>
  </si>
  <si>
    <t>B. 300 000</t>
  </si>
  <si>
    <t>12.</t>
  </si>
  <si>
    <t>Poprawa bezpieczeństwa ruchu drogowego na przejściu dla pieszych w Sobiekursku na drodze Nr 2726W</t>
  </si>
  <si>
    <t>13.</t>
  </si>
  <si>
    <t>Poprawa bezpieczeństwa ruchu drogowego w obszarze oddziaływania przejścia dla pieszych w Karczewie na ul. Mickiewicza na drodze nr 2771W</t>
  </si>
  <si>
    <t>Gmina Kołbiel</t>
  </si>
  <si>
    <t>14.</t>
  </si>
  <si>
    <t>Projekt i budowa ciągu pieszo – rowerowego w drodze powiatowej Nr  2739W                      w miejsc. Gadka</t>
  </si>
  <si>
    <t>15.</t>
  </si>
  <si>
    <t>Poprawa bezpieczeństwa ruchu drogowego na  przejściu dla pieszych w  Kątach na ul. Królewskiej na drodze Nr 2745W</t>
  </si>
  <si>
    <t>Gmina Osieck</t>
  </si>
  <si>
    <t>Gmina Sobienie Jeziory</t>
  </si>
  <si>
    <t>16.</t>
  </si>
  <si>
    <t>Przebudowa mostu na przepust w ciągu drogi powiatowej Nr 2735W Warszówka – Warszawice w Warszawicach </t>
  </si>
  <si>
    <t>Gmina Wiązowna</t>
  </si>
  <si>
    <t>17.</t>
  </si>
  <si>
    <t>Budowa chodników w drogach powiatowych na terenie gminy Wiązowna - Majdan   ul. Widoczna</t>
  </si>
  <si>
    <t>18.</t>
  </si>
  <si>
    <t>Remont drogi powiatowej Nr 2710W na odcinku od drogi krajowej S17 do mostu na rzece Świder</t>
  </si>
  <si>
    <t>A. 2 576 201</t>
  </si>
  <si>
    <t>19.</t>
  </si>
  <si>
    <t>Modernizacja infrastruktury drogowej dróg powiatowych Powiatu Otwockiego polegająca na modernizacji przepraw przez cieki (mosty w m. Glinianka, Kąty, Grabianka, Janów, Nadbrzeż, Brzezinka)</t>
  </si>
  <si>
    <t>F. 3 800 000</t>
  </si>
  <si>
    <t>20.</t>
  </si>
  <si>
    <t>Zakupy inwestycyjne w Zarządzie Dróg Powiatowych</t>
  </si>
  <si>
    <t>Razem Rozdział 60014</t>
  </si>
  <si>
    <t>21.</t>
  </si>
  <si>
    <t>Razem Rozdział 71095</t>
  </si>
  <si>
    <t>22.</t>
  </si>
  <si>
    <t>Budowa budynku siedziby Starostwa Powiatowego w Otwocku oraz wybranych powiatowych jednostek organizacyjnych i wybranych służb powiatowych wraz z zagospodarowaniem terenu</t>
  </si>
  <si>
    <t>23.</t>
  </si>
  <si>
    <t xml:space="preserve">Zakup samochodu służbowego dla potrzeb Starostwa Powiatowego w Otwocku </t>
  </si>
  <si>
    <t xml:space="preserve">  Razem Rozdział 75020</t>
  </si>
  <si>
    <t>24.</t>
  </si>
  <si>
    <t>Rezerwa na inwestycje i zakupy inwestycyjne</t>
  </si>
  <si>
    <t>Razem rozdział 75818</t>
  </si>
  <si>
    <t>25.</t>
  </si>
  <si>
    <t>Wniesienie wkładu pieniężnego - zwiększenie udziału w Powiatowym Centrum Zdrowia Sp. z o.o.</t>
  </si>
  <si>
    <t>26.</t>
  </si>
  <si>
    <t>Razem Rozdział 85111</t>
  </si>
  <si>
    <t>27.</t>
  </si>
  <si>
    <t xml:space="preserve">Budowa Domu Pomocy Społecznej "Wrzos" </t>
  </si>
  <si>
    <t xml:space="preserve">F. 4 000 000 </t>
  </si>
  <si>
    <t>Razem Rozdział 85202</t>
  </si>
  <si>
    <t>28.</t>
  </si>
  <si>
    <t>Razem Rozdział 85403</t>
  </si>
  <si>
    <t>29.</t>
  </si>
  <si>
    <t>Modernizacja budynków gospodarczych z uwzględnieniem wymiany pokrycia dachowego</t>
  </si>
  <si>
    <t>Razem Rozdział 85510</t>
  </si>
  <si>
    <t>A. Dotacje i środki z budżetu państwa (np. od wojewody, MEN, UKFiS, …), w tym: Rządowy Fundusz Rozwoju Dróg</t>
  </si>
  <si>
    <t>B. Środki i dotacje otrzymane od innych jst oraz innych jednostek zaliczanych do sektora finansów publicznych</t>
  </si>
  <si>
    <t>C. Inne źródła  - Rządowy Fundusz Inwestycji Lokalnych 2020</t>
  </si>
  <si>
    <t>D. Inne źródła  - Rządowy Fundusz Inwestycji Lokalnych 2021</t>
  </si>
  <si>
    <t>F. Inne źródła - Program Inwestycji Strategicznych - Polski Ład</t>
  </si>
  <si>
    <t>a)  środki z Rządowego Funduszu Inwestycji Lokalnych</t>
  </si>
  <si>
    <t>b)  środki z Rządowego Funduszu Rozwoju Dróg</t>
  </si>
  <si>
    <t xml:space="preserve">c)  środki z tytułu uzupełnienia subwencji ogólnej </t>
  </si>
  <si>
    <t>C. 5 500 000</t>
  </si>
  <si>
    <t>A. 196 800</t>
  </si>
  <si>
    <t>A. 155 768</t>
  </si>
  <si>
    <t>D. 3 480 000</t>
  </si>
  <si>
    <t>Plan wydatków majątkowych na 2022 rok  - po zmianach</t>
  </si>
  <si>
    <t>Przychody i rozchody budżetu w 2022 roku - po zmianach</t>
  </si>
  <si>
    <t>A. 200 000</t>
  </si>
  <si>
    <t>D. 4 295 224</t>
  </si>
  <si>
    <t>Dotacja dla Powiatowego Centrum Zdrowia Sp. z o.o. w Otwocku na przebudowę i modernizację podziemia szpitala oraz modernizację przychodni specjalistycznej</t>
  </si>
  <si>
    <t>Rozdział</t>
  </si>
  <si>
    <t>Paragraf</t>
  </si>
  <si>
    <t>Wyszczególnienie</t>
  </si>
  <si>
    <t>Dochody</t>
  </si>
  <si>
    <t>Wydatki</t>
  </si>
  <si>
    <t>010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</si>
  <si>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</si>
  <si>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</si>
  <si>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</si>
  <si>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</si>
  <si>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</si>
  <si>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</si>
  <si>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</si>
  <si>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</si>
  <si>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</si>
  <si>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</si>
  <si>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</si>
  <si>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</si>
  <si>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</si>
  <si>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</si>
  <si>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</si>
  <si>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</si>
  <si>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</si>
  <si>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</si>
  <si>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</si>
  <si>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</si>
  <si>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</si>
  <si>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</si>
  <si>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</si>
  <si>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</si>
  <si>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</si>
  <si>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</si>
  <si>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</si>
  <si>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</si>
  <si>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</si>
  <si>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 xml:space="preserve">Opłaty z tytułu zakupu usług telekomunikacyjnych 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</si>
  <si>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</si>
  <si>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</si>
  <si>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</si>
  <si>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</si>
  <si>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Wpłaty na PPK finansowane przez podmiot zatrudniający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</si>
  <si>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</si>
  <si>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</si>
  <si>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</si>
  <si>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</si>
  <si>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</si>
  <si>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</si>
  <si>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</si>
  <si>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</si>
  <si>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</si>
  <si>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</si>
  <si>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 oraz pozostałe należności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</si>
  <si>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</si>
  <si>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</si>
  <si>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</si>
  <si>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</si>
  <si>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</si>
  <si>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</si>
  <si>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</si>
  <si>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</si>
  <si>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Ochrona zdrowia</t>
  </si>
  <si>
    <t>Składki na ubezpieczenie zdrowotne oraz świadczenia dla osób nieobjętych obowiązkiem ubezpieczenia zdrowotnego</t>
  </si>
  <si>
    <t>Składki na ubezpieczenie zdrowotne</t>
  </si>
  <si>
    <t>852</t>
  </si>
  <si>
    <t>Pomoc społeczna</t>
  </si>
  <si>
    <t>Ośrodki wsparcia</t>
  </si>
  <si>
    <t>Pozostałe zadania w zakresie polityki społecznej</t>
  </si>
  <si>
    <t>Zespoły do spraw orzekania o niepełnosprawności</t>
  </si>
  <si>
    <t>855</t>
  </si>
  <si>
    <t>Rodzina</t>
  </si>
  <si>
    <t>85508</t>
  </si>
  <si>
    <t>Rodziny zastępcze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</si>
  <si>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</si>
  <si>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Świadczenia społeczne</t>
  </si>
  <si>
    <t>85510</t>
  </si>
  <si>
    <t>Działalność placówek opiekuńczo-wychowawczych</t>
  </si>
  <si>
    <t>Razem</t>
  </si>
  <si>
    <t>Transport i łączność</t>
  </si>
  <si>
    <t>Lokalny transport zbiorowy</t>
  </si>
  <si>
    <t>Dotacja celowa przekazana gminie na zadania bieżące realizowane na podstawie porozumień (umów) między jednostkami samorządu terytorialnego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</si>
  <si>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</si>
  <si>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</si>
  <si>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Dotacja celowa na pomoc finansową udzielaną między jednostkami samorządu terytorialnego na dofinansowanie własnych zadań inwestycyjnych i zakupów inwestycyjnych</t>
  </si>
  <si>
    <t>Pozostała działalność</t>
  </si>
  <si>
    <t>Dotacja celowa przekazana do samorządu województwa na inwestycje i zakupy inwestycyjne realizowane na podstawie porozumień (umów) między jednostkami samorządu terytorialnego</t>
  </si>
  <si>
    <t>Starostwa powiatowe</t>
  </si>
  <si>
    <t>Dotacja celowa na pomoc finansową udzielaną między jednostkami samorządu terytorialnego na dofinansowanie własnych zadań bieżących</t>
  </si>
  <si>
    <t>Pozostala działalność</t>
  </si>
  <si>
    <t>Rehabilitacja zawodowa i społeczna osób niepełnosprawnych</t>
  </si>
  <si>
    <t>Dotacja celowa otrzymana z powiatu na zadania bieżące realizowane na podstawie porozumień (umów) między jednostkami samorządu terytorialnego</t>
  </si>
  <si>
    <t>Dotacja celowa przekazana dla powiatu na zadania bieżące realizowane na podstawie porozumień (umów) między jednostkami samorządu terytorialnego</t>
  </si>
  <si>
    <t>Dotacja celowa otrzyman z powiatu na zadania bieżące realizowane na podstawie porozumień (umów) między jednostkami samorządu terytorialnego</t>
  </si>
  <si>
    <t>Działalność ośrodków adopcyjnych</t>
  </si>
  <si>
    <t>Dotacja celowa przekazana do samorządu województwa na zadania bieżące realizowane na podstawie porozumień (umów) między jednostkami samorządu terytorialnego</t>
  </si>
  <si>
    <t>Gospodarka komunalna i ochrona środowiska</t>
  </si>
  <si>
    <t>Kultura i ochrona dziedzictwa narodowego</t>
  </si>
  <si>
    <t>Biblioteki</t>
  </si>
  <si>
    <t>Dotacja celowa otrzymana z tytułu pomocy finansowej udzielanej między jednostkami samorządu terytorialnego na dofinansowanie własnych zadań bieżących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</si>
  <si>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</si>
  <si>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</si>
  <si>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</si>
  <si>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</si>
  <si>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</si>
  <si>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</si>
  <si>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zadania bieżące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</si>
  <si>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</si>
  <si>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</si>
  <si>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</si>
  <si>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</si>
  <si>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</si>
  <si>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</si>
  <si>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</si>
  <si>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</si>
  <si>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</si>
  <si>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</si>
  <si>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kosztów realizacji inwestycji i zakupów inwestycyjnych jednostek nie 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</si>
  <si>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</si>
  <si>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</si>
  <si>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Dotacja celowa z budżetu na finansowanie lub dofinansowanie prac remontowych i konserwatorskich obiektów zabytkowych przekazane jednostkom niezaliczanym do sektora finansów publicznych</t>
  </si>
  <si>
    <t>Razem jednostki nienależące do sektora finansów publicznych</t>
  </si>
  <si>
    <t>Ogółem plan dotacji na 2022 rok</t>
  </si>
  <si>
    <t>Dochody i wydatki związane z realizacją zadań z zakresu administracji rządowej i innych zadań zleconych                                                                jednostce samorządu terytorialnego odrębnymi ustawami na 2022 rok - po zmianach</t>
  </si>
  <si>
    <t>Dochody i wydatki związane z realizacją zadań realizowanych w drodze umów lub porozumień między                                              jednostkami samorządu terytorialnego na 2022 rok - po zmianach</t>
  </si>
  <si>
    <t>Dotacje udzielone w 2022 roku z budżetu podmiotom należącym                                                                                               i nienależącym do sektora finansów publicznych - po zmianach</t>
  </si>
  <si>
    <t>Wpłaty jednostek na państwowy fundusz celowy na finansowanie lub dofinansowanie zadań inwestycyjnych</t>
  </si>
  <si>
    <t>Razem rozdział 75410</t>
  </si>
  <si>
    <t>30.</t>
  </si>
  <si>
    <t>Zakup plotera dla potrzeb Powiatowego Ośrodka Dokumentacji Geodezyjnej                i Kartograficznej</t>
  </si>
  <si>
    <t>Razem Rozdział 71012</t>
  </si>
  <si>
    <t>31.</t>
  </si>
  <si>
    <t>Projekt i budowa brakującego ciągu pieszo-rowerowego i odwodnienia w drodze powiatowej Nr 2759W – ul. Narutowicza w Otwocku na wysokości OSP Jabłonna i dalej w kierunku Świerku</t>
  </si>
  <si>
    <t>32.</t>
  </si>
  <si>
    <t>Dotacja na dofinansowanie zakupu samochodu ratowniczo-gaśniczego na potrzeby Komendy Powiatowej PSP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</si>
</sst>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\ #,##0.00&quot; zł &quot;;\-#,##0.00&quot; zł &quot;;&quot; -&quot;#&quot; zł &quot;;@\ "/>
  </numFmts>
  <fonts count="51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 applyNumberFormat="0" applyFill="0" applyBorder="0" applyAlignment="0" applyProtection="0">
      <alignment vertical="top"/>
    </xf>
    <xf numFmtId="0" fontId="6" fillId="0" borderId="0"/>
    <xf numFmtId="0" fontId="9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10" fillId="0" borderId="0"/>
    <xf numFmtId="166" fontId="13" fillId="0" borderId="0"/>
    <xf numFmtId="0" fontId="6" fillId="0" borderId="0"/>
    <xf numFmtId="0" fontId="9" fillId="0" borderId="0"/>
    <xf numFmtId="0" fontId="9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4" fillId="0" borderId="0"/>
    <xf numFmtId="0" fontId="3" fillId="0" borderId="0"/>
    <xf numFmtId="0" fontId="22" fillId="0" borderId="0"/>
    <xf numFmtId="0" fontId="24" fillId="0" borderId="0"/>
    <xf numFmtId="0" fontId="25" fillId="0" borderId="0"/>
    <xf numFmtId="0" fontId="2" fillId="0" borderId="0"/>
    <xf numFmtId="0" fontId="22" fillId="0" borderId="0"/>
    <xf numFmtId="0" fontId="26" fillId="0" borderId="0"/>
    <xf numFmtId="0" fontId="1" fillId="0" borderId="0"/>
    <xf numFmtId="0" fontId="22" fillId="0" borderId="0"/>
  </cellStyleXfs>
  <cellXfs count="443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3" borderId="5" xfId="9" applyFont="1" applyFill="1" applyBorder="1" applyAlignment="1">
      <alignment horizontal="center" vertical="center"/>
    </xf>
    <xf numFmtId="0" fontId="12" fillId="3" borderId="1" xfId="9" applyFont="1" applyFill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/>
    </xf>
    <xf numFmtId="0" fontId="12" fillId="0" borderId="5" xfId="9" applyFont="1" applyBorder="1" applyAlignment="1">
      <alignment horizontal="left" vertical="center"/>
    </xf>
    <xf numFmtId="3" fontId="12" fillId="0" borderId="5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5" xfId="9" applyFont="1" applyBorder="1" applyAlignment="1">
      <alignment horizontal="center" vertical="center"/>
    </xf>
    <xf numFmtId="0" fontId="15" fillId="0" borderId="5" xfId="9" applyFont="1" applyBorder="1" applyAlignment="1">
      <alignment horizontal="left" vertical="center"/>
    </xf>
    <xf numFmtId="3" fontId="15" fillId="0" borderId="5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5" xfId="9" applyNumberFormat="1" applyFont="1" applyBorder="1" applyAlignment="1">
      <alignment horizontal="right"/>
    </xf>
    <xf numFmtId="3" fontId="12" fillId="0" borderId="5" xfId="9" applyNumberFormat="1" applyFont="1" applyBorder="1" applyAlignment="1"/>
    <xf numFmtId="3" fontId="15" fillId="0" borderId="5" xfId="9" applyNumberFormat="1" applyFont="1" applyFill="1" applyBorder="1" applyAlignment="1"/>
    <xf numFmtId="3" fontId="15" fillId="0" borderId="5" xfId="9" applyNumberFormat="1" applyFont="1" applyBorder="1" applyAlignment="1"/>
    <xf numFmtId="0" fontId="12" fillId="0" borderId="5" xfId="9" applyFont="1" applyBorder="1" applyAlignment="1">
      <alignment vertical="center"/>
    </xf>
    <xf numFmtId="0" fontId="10" fillId="3" borderId="5" xfId="9" applyFont="1" applyFill="1" applyBorder="1" applyAlignment="1">
      <alignment vertical="center"/>
    </xf>
    <xf numFmtId="3" fontId="12" fillId="3" borderId="5" xfId="9" applyNumberFormat="1" applyFont="1" applyFill="1" applyBorder="1" applyAlignment="1"/>
    <xf numFmtId="0" fontId="10" fillId="0" borderId="5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5" xfId="9" applyNumberFormat="1" applyFont="1" applyBorder="1" applyAlignment="1"/>
    <xf numFmtId="0" fontId="10" fillId="0" borderId="5" xfId="9" applyFont="1" applyBorder="1" applyAlignment="1">
      <alignment vertical="center"/>
    </xf>
    <xf numFmtId="3" fontId="10" fillId="0" borderId="3" xfId="9" applyNumberFormat="1" applyFont="1" applyBorder="1" applyAlignment="1"/>
    <xf numFmtId="0" fontId="10" fillId="3" borderId="5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16" fillId="0" borderId="5" xfId="9" applyFont="1" applyFill="1" applyBorder="1" applyAlignment="1">
      <alignment horizontal="center" vertical="center"/>
    </xf>
    <xf numFmtId="0" fontId="16" fillId="0" borderId="5" xfId="9" applyFont="1" applyFill="1" applyBorder="1" applyAlignment="1">
      <alignment horizontal="center" vertical="center" wrapText="1"/>
    </xf>
    <xf numFmtId="0" fontId="10" fillId="0" borderId="7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49" fontId="10" fillId="7" borderId="9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9" applyNumberFormat="1" applyFont="1" applyAlignment="1">
      <alignment vertical="center"/>
    </xf>
    <xf numFmtId="0" fontId="12" fillId="0" borderId="0" xfId="7" applyFont="1" applyFill="1" applyProtection="1">
      <protection locked="0"/>
    </xf>
    <xf numFmtId="0" fontId="12" fillId="0" borderId="0" xfId="7" applyFont="1" applyProtection="1"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2" fillId="0" borderId="0" xfId="7" applyFont="1" applyFill="1" applyAlignment="1" applyProtection="1">
      <alignment horizontal="center" vertical="center"/>
      <protection locked="0"/>
    </xf>
    <xf numFmtId="0" fontId="12" fillId="0" borderId="0" xfId="7" applyFont="1" applyFill="1" applyProtection="1"/>
    <xf numFmtId="0" fontId="12" fillId="0" borderId="0" xfId="7" applyFont="1" applyProtection="1"/>
    <xf numFmtId="0" fontId="10" fillId="0" borderId="0" xfId="7" applyFont="1" applyProtection="1"/>
    <xf numFmtId="0" fontId="10" fillId="0" borderId="0" xfId="7" applyFont="1" applyAlignment="1" applyProtection="1">
      <alignment horizontal="center" vertical="center"/>
    </xf>
    <xf numFmtId="0" fontId="12" fillId="8" borderId="19" xfId="7" applyFont="1" applyFill="1" applyBorder="1" applyAlignment="1" applyProtection="1">
      <alignment horizontal="center" vertical="center" wrapText="1"/>
    </xf>
    <xf numFmtId="0" fontId="12" fillId="0" borderId="22" xfId="7" applyFont="1" applyFill="1" applyBorder="1" applyAlignment="1" applyProtection="1">
      <alignment horizontal="center" vertical="center"/>
    </xf>
    <xf numFmtId="0" fontId="28" fillId="0" borderId="19" xfId="7" applyFont="1" applyFill="1" applyBorder="1" applyAlignment="1" applyProtection="1">
      <alignment horizontal="center" vertical="center"/>
    </xf>
    <xf numFmtId="0" fontId="12" fillId="0" borderId="19" xfId="7" applyFont="1" applyFill="1" applyBorder="1" applyAlignment="1" applyProtection="1">
      <alignment horizontal="center" vertical="center"/>
    </xf>
    <xf numFmtId="0" fontId="28" fillId="0" borderId="20" xfId="7" applyFont="1" applyFill="1" applyBorder="1" applyAlignment="1" applyProtection="1">
      <alignment horizontal="center" vertical="center"/>
    </xf>
    <xf numFmtId="4" fontId="28" fillId="0" borderId="0" xfId="7" applyNumberFormat="1" applyFont="1" applyFill="1" applyProtection="1">
      <protection locked="0"/>
    </xf>
    <xf numFmtId="0" fontId="28" fillId="0" borderId="0" xfId="7" applyFont="1" applyFill="1" applyProtection="1">
      <protection locked="0"/>
    </xf>
    <xf numFmtId="3" fontId="12" fillId="9" borderId="18" xfId="7" applyNumberFormat="1" applyFont="1" applyFill="1" applyBorder="1" applyAlignment="1" applyProtection="1">
      <alignment vertical="center" wrapText="1"/>
    </xf>
    <xf numFmtId="0" fontId="28" fillId="9" borderId="23" xfId="7" applyFont="1" applyFill="1" applyBorder="1" applyAlignment="1" applyProtection="1">
      <alignment horizontal="center" vertical="center" wrapText="1"/>
    </xf>
    <xf numFmtId="0" fontId="10" fillId="0" borderId="0" xfId="7" applyFont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/>
    </xf>
    <xf numFmtId="0" fontId="12" fillId="0" borderId="25" xfId="7" applyFont="1" applyFill="1" applyBorder="1" applyAlignment="1" applyProtection="1">
      <alignment horizontal="center" vertical="center" wrapText="1"/>
    </xf>
    <xf numFmtId="0" fontId="10" fillId="0" borderId="8" xfId="16" applyFont="1" applyFill="1" applyBorder="1" applyAlignment="1" applyProtection="1">
      <alignment vertical="center" wrapText="1"/>
    </xf>
    <xf numFmtId="3" fontId="10" fillId="0" borderId="24" xfId="7" applyNumberFormat="1" applyFont="1" applyFill="1" applyBorder="1" applyAlignment="1" applyProtection="1">
      <alignment vertical="center" wrapText="1"/>
    </xf>
    <xf numFmtId="3" fontId="10" fillId="0" borderId="18" xfId="7" applyNumberFormat="1" applyFont="1" applyFill="1" applyBorder="1" applyAlignment="1" applyProtection="1">
      <alignment vertical="center"/>
    </xf>
    <xf numFmtId="0" fontId="10" fillId="0" borderId="18" xfId="7" applyFont="1" applyFill="1" applyBorder="1" applyAlignment="1" applyProtection="1">
      <alignment vertical="center" wrapText="1"/>
    </xf>
    <xf numFmtId="0" fontId="10" fillId="0" borderId="18" xfId="7" applyFont="1" applyFill="1" applyBorder="1" applyAlignment="1" applyProtection="1">
      <alignment horizontal="right" vertical="center" wrapText="1"/>
    </xf>
    <xf numFmtId="0" fontId="29" fillId="0" borderId="23" xfId="7" applyFont="1" applyFill="1" applyBorder="1" applyAlignment="1" applyProtection="1">
      <alignment horizontal="center" vertical="center" wrapText="1"/>
    </xf>
    <xf numFmtId="4" fontId="10" fillId="0" borderId="0" xfId="7" applyNumberFormat="1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0" borderId="17" xfId="7" applyFont="1" applyFill="1" applyBorder="1" applyAlignment="1" applyProtection="1">
      <alignment horizontal="center" vertical="center"/>
    </xf>
    <xf numFmtId="0" fontId="12" fillId="0" borderId="18" xfId="7" applyFont="1" applyFill="1" applyBorder="1" applyAlignment="1" applyProtection="1">
      <alignment horizontal="center" vertical="center" wrapText="1"/>
    </xf>
    <xf numFmtId="0" fontId="10" fillId="0" borderId="18" xfId="16" applyFont="1" applyFill="1" applyBorder="1" applyAlignment="1" applyProtection="1">
      <alignment vertical="center" wrapText="1"/>
      <protection locked="0"/>
    </xf>
    <xf numFmtId="3" fontId="10" fillId="0" borderId="18" xfId="7" applyNumberFormat="1" applyFont="1" applyFill="1" applyBorder="1" applyAlignment="1" applyProtection="1">
      <alignment vertical="center" wrapText="1"/>
    </xf>
    <xf numFmtId="0" fontId="10" fillId="0" borderId="18" xfId="7" applyFont="1" applyFill="1" applyBorder="1" applyAlignment="1" applyProtection="1">
      <alignment horizontal="left" vertical="center" wrapText="1"/>
    </xf>
    <xf numFmtId="0" fontId="30" fillId="0" borderId="18" xfId="7" applyFont="1" applyFill="1" applyBorder="1" applyAlignment="1" applyProtection="1">
      <alignment vertical="center" wrapText="1"/>
    </xf>
    <xf numFmtId="0" fontId="31" fillId="0" borderId="23" xfId="7" applyFont="1" applyFill="1" applyBorder="1" applyAlignment="1" applyProtection="1">
      <alignment horizontal="center" vertical="center" wrapText="1"/>
    </xf>
    <xf numFmtId="0" fontId="30" fillId="0" borderId="0" xfId="7" applyFont="1" applyAlignment="1" applyProtection="1">
      <alignment vertical="center"/>
      <protection locked="0"/>
    </xf>
    <xf numFmtId="3" fontId="12" fillId="9" borderId="18" xfId="7" applyNumberFormat="1" applyFont="1" applyFill="1" applyBorder="1" applyAlignment="1" applyProtection="1">
      <alignment horizontal="right" vertical="center" wrapText="1"/>
    </xf>
    <xf numFmtId="0" fontId="32" fillId="9" borderId="23" xfId="7" applyFont="1" applyFill="1" applyBorder="1" applyAlignment="1" applyProtection="1">
      <alignment horizontal="center" vertical="center" wrapText="1"/>
    </xf>
    <xf numFmtId="4" fontId="33" fillId="0" borderId="0" xfId="7" applyNumberFormat="1" applyFont="1" applyFill="1" applyAlignment="1" applyProtection="1">
      <alignment vertical="center"/>
      <protection locked="0"/>
    </xf>
    <xf numFmtId="0" fontId="33" fillId="0" borderId="0" xfId="7" applyFont="1" applyFill="1" applyAlignment="1" applyProtection="1">
      <alignment vertical="center"/>
      <protection locked="0"/>
    </xf>
    <xf numFmtId="0" fontId="10" fillId="0" borderId="23" xfId="7" applyFont="1" applyFill="1" applyBorder="1" applyAlignment="1" applyProtection="1">
      <alignment horizontal="center" vertical="center" wrapText="1"/>
    </xf>
    <xf numFmtId="4" fontId="30" fillId="0" borderId="0" xfId="7" applyNumberFormat="1" applyFont="1" applyFill="1" applyAlignment="1" applyProtection="1">
      <alignment vertical="center"/>
      <protection locked="0"/>
    </xf>
    <xf numFmtId="0" fontId="30" fillId="0" borderId="0" xfId="7" applyFont="1" applyFill="1" applyAlignment="1" applyProtection="1">
      <alignment vertical="center"/>
      <protection locked="0"/>
    </xf>
    <xf numFmtId="164" fontId="12" fillId="9" borderId="18" xfId="7" applyNumberFormat="1" applyFont="1" applyFill="1" applyBorder="1" applyAlignment="1" applyProtection="1">
      <alignment horizontal="right" vertical="center" wrapText="1"/>
    </xf>
    <xf numFmtId="4" fontId="12" fillId="0" borderId="0" xfId="7" applyNumberFormat="1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3" fontId="12" fillId="0" borderId="18" xfId="7" applyNumberFormat="1" applyFont="1" applyFill="1" applyBorder="1" applyAlignment="1" applyProtection="1">
      <alignment horizontal="center" vertical="center"/>
    </xf>
    <xf numFmtId="0" fontId="12" fillId="0" borderId="18" xfId="7" applyNumberFormat="1" applyFont="1" applyFill="1" applyBorder="1" applyAlignment="1" applyProtection="1">
      <alignment horizontal="center" vertical="center"/>
    </xf>
    <xf numFmtId="0" fontId="10" fillId="0" borderId="18" xfId="7" applyFont="1" applyFill="1" applyBorder="1" applyAlignment="1">
      <alignment vertical="center" wrapText="1"/>
    </xf>
    <xf numFmtId="3" fontId="10" fillId="0" borderId="18" xfId="7" applyNumberFormat="1" applyFont="1" applyFill="1" applyBorder="1" applyAlignment="1" applyProtection="1">
      <alignment horizontal="right" vertical="center" wrapText="1"/>
    </xf>
    <xf numFmtId="164" fontId="28" fillId="9" borderId="23" xfId="7" applyNumberFormat="1" applyFont="1" applyFill="1" applyBorder="1" applyAlignment="1" applyProtection="1">
      <alignment horizontal="right" vertical="center" wrapText="1"/>
    </xf>
    <xf numFmtId="0" fontId="33" fillId="0" borderId="0" xfId="7" applyFont="1" applyAlignment="1" applyProtection="1">
      <alignment vertical="center"/>
      <protection locked="0"/>
    </xf>
    <xf numFmtId="0" fontId="17" fillId="0" borderId="17" xfId="7" applyFont="1" applyFill="1" applyBorder="1" applyAlignment="1" applyProtection="1">
      <alignment horizontal="center" vertical="center"/>
    </xf>
    <xf numFmtId="0" fontId="17" fillId="0" borderId="18" xfId="7" applyFont="1" applyFill="1" applyBorder="1" applyAlignment="1" applyProtection="1">
      <alignment horizontal="center" vertical="center"/>
    </xf>
    <xf numFmtId="0" fontId="34" fillId="0" borderId="18" xfId="7" applyFont="1" applyFill="1" applyBorder="1" applyAlignment="1" applyProtection="1">
      <alignment horizontal="left" vertical="center" wrapText="1"/>
      <protection locked="0"/>
    </xf>
    <xf numFmtId="3" fontId="34" fillId="0" borderId="18" xfId="7" applyNumberFormat="1" applyFont="1" applyFill="1" applyBorder="1" applyAlignment="1" applyProtection="1">
      <alignment vertical="center" wrapText="1"/>
    </xf>
    <xf numFmtId="3" fontId="34" fillId="0" borderId="18" xfId="7" applyNumberFormat="1" applyFont="1" applyFill="1" applyBorder="1" applyAlignment="1" applyProtection="1">
      <alignment vertical="center"/>
    </xf>
    <xf numFmtId="0" fontId="34" fillId="0" borderId="18" xfId="7" applyFont="1" applyFill="1" applyBorder="1" applyAlignment="1" applyProtection="1">
      <alignment vertical="center" wrapText="1"/>
    </xf>
    <xf numFmtId="0" fontId="34" fillId="0" borderId="18" xfId="7" applyFont="1" applyFill="1" applyBorder="1" applyAlignment="1" applyProtection="1">
      <alignment horizontal="right" vertical="center" wrapText="1"/>
    </xf>
    <xf numFmtId="0" fontId="27" fillId="0" borderId="23" xfId="7" applyFont="1" applyFill="1" applyBorder="1" applyAlignment="1" applyProtection="1">
      <alignment horizontal="center" vertical="center" wrapText="1"/>
    </xf>
    <xf numFmtId="4" fontId="34" fillId="0" borderId="0" xfId="7" applyNumberFormat="1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12" fillId="0" borderId="18" xfId="7" applyFont="1" applyFill="1" applyBorder="1" applyAlignment="1" applyProtection="1">
      <alignment horizontal="center" vertical="center"/>
    </xf>
    <xf numFmtId="0" fontId="10" fillId="0" borderId="18" xfId="7" applyFont="1" applyFill="1" applyBorder="1" applyAlignment="1" applyProtection="1">
      <alignment horizontal="left" vertical="center" wrapText="1"/>
      <protection locked="0"/>
    </xf>
    <xf numFmtId="4" fontId="35" fillId="0" borderId="0" xfId="7" applyNumberFormat="1" applyFont="1" applyFill="1" applyAlignment="1" applyProtection="1">
      <alignment vertical="center"/>
      <protection locked="0"/>
    </xf>
    <xf numFmtId="0" fontId="35" fillId="0" borderId="0" xfId="7" applyFont="1" applyFill="1" applyAlignment="1" applyProtection="1">
      <alignment vertical="center"/>
      <protection locked="0"/>
    </xf>
    <xf numFmtId="1" fontId="12" fillId="9" borderId="18" xfId="7" applyNumberFormat="1" applyFont="1" applyFill="1" applyBorder="1" applyAlignment="1" applyProtection="1">
      <alignment horizontal="right" vertical="center" wrapText="1"/>
    </xf>
    <xf numFmtId="0" fontId="36" fillId="6" borderId="17" xfId="7" applyFont="1" applyFill="1" applyBorder="1" applyAlignment="1" applyProtection="1">
      <alignment horizontal="center" vertical="center"/>
    </xf>
    <xf numFmtId="0" fontId="36" fillId="6" borderId="18" xfId="7" applyFont="1" applyFill="1" applyBorder="1" applyAlignment="1" applyProtection="1">
      <alignment horizontal="center" vertical="center"/>
    </xf>
    <xf numFmtId="0" fontId="35" fillId="6" borderId="18" xfId="7" applyFont="1" applyFill="1" applyBorder="1" applyAlignment="1" applyProtection="1">
      <alignment horizontal="left" vertical="center" wrapText="1"/>
    </xf>
    <xf numFmtId="3" fontId="35" fillId="6" borderId="18" xfId="7" applyNumberFormat="1" applyFont="1" applyFill="1" applyBorder="1" applyAlignment="1" applyProtection="1">
      <alignment vertical="center" wrapText="1"/>
    </xf>
    <xf numFmtId="3" fontId="35" fillId="6" borderId="18" xfId="7" applyNumberFormat="1" applyFont="1" applyFill="1" applyBorder="1" applyAlignment="1" applyProtection="1">
      <alignment vertical="center"/>
    </xf>
    <xf numFmtId="0" fontId="35" fillId="6" borderId="18" xfId="7" applyFont="1" applyFill="1" applyBorder="1" applyAlignment="1" applyProtection="1">
      <alignment vertical="center" wrapText="1"/>
    </xf>
    <xf numFmtId="0" fontId="35" fillId="6" borderId="18" xfId="7" applyFont="1" applyFill="1" applyBorder="1" applyAlignment="1" applyProtection="1">
      <alignment horizontal="right" vertical="center" wrapText="1"/>
    </xf>
    <xf numFmtId="0" fontId="37" fillId="6" borderId="23" xfId="7" applyFont="1" applyFill="1" applyBorder="1" applyAlignment="1" applyProtection="1">
      <alignment horizontal="center" vertical="center" wrapText="1"/>
    </xf>
    <xf numFmtId="0" fontId="36" fillId="10" borderId="24" xfId="7" applyFont="1" applyFill="1" applyBorder="1" applyAlignment="1" applyProtection="1">
      <alignment horizontal="center" vertical="center" wrapText="1"/>
      <protection locked="0"/>
    </xf>
    <xf numFmtId="0" fontId="36" fillId="0" borderId="0" xfId="7" applyFont="1" applyAlignment="1" applyProtection="1">
      <alignment vertical="center"/>
      <protection locked="0"/>
    </xf>
    <xf numFmtId="0" fontId="31" fillId="9" borderId="23" xfId="7" applyFont="1" applyFill="1" applyBorder="1" applyAlignment="1" applyProtection="1">
      <alignment horizontal="center" vertical="center" wrapText="1"/>
    </xf>
    <xf numFmtId="0" fontId="36" fillId="9" borderId="24" xfId="7" applyFont="1" applyFill="1" applyBorder="1" applyAlignment="1" applyProtection="1">
      <alignment horizontal="center" vertical="center" wrapText="1"/>
      <protection locked="0"/>
    </xf>
    <xf numFmtId="0" fontId="36" fillId="0" borderId="24" xfId="7" applyFont="1" applyFill="1" applyBorder="1" applyAlignment="1" applyProtection="1">
      <alignment horizontal="center" vertical="center" wrapText="1"/>
      <protection locked="0"/>
    </xf>
    <xf numFmtId="2" fontId="10" fillId="0" borderId="18" xfId="16" applyNumberFormat="1" applyFont="1" applyFill="1" applyBorder="1" applyAlignment="1" applyProtection="1">
      <alignment vertical="center" wrapText="1"/>
      <protection locked="0"/>
    </xf>
    <xf numFmtId="0" fontId="34" fillId="0" borderId="30" xfId="25" applyFont="1" applyFill="1" applyBorder="1" applyAlignment="1">
      <alignment vertical="center" wrapText="1"/>
    </xf>
    <xf numFmtId="3" fontId="12" fillId="9" borderId="25" xfId="7" applyNumberFormat="1" applyFont="1" applyFill="1" applyBorder="1" applyAlignment="1" applyProtection="1">
      <alignment vertical="center" wrapText="1"/>
    </xf>
    <xf numFmtId="0" fontId="32" fillId="9" borderId="26" xfId="7" applyFont="1" applyFill="1" applyBorder="1" applyAlignment="1" applyProtection="1">
      <alignment horizontal="center" vertical="center" wrapText="1"/>
    </xf>
    <xf numFmtId="4" fontId="15" fillId="0" borderId="0" xfId="7" applyNumberFormat="1" applyFont="1" applyFill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 wrapText="1"/>
    </xf>
    <xf numFmtId="3" fontId="10" fillId="0" borderId="8" xfId="7" applyNumberFormat="1" applyFont="1" applyFill="1" applyBorder="1" applyAlignment="1" applyProtection="1">
      <alignment vertical="center" wrapText="1"/>
    </xf>
    <xf numFmtId="3" fontId="10" fillId="0" borderId="8" xfId="7" applyNumberFormat="1" applyFont="1" applyFill="1" applyBorder="1" applyAlignment="1" applyProtection="1">
      <alignment horizontal="right" vertical="center" wrapText="1"/>
    </xf>
    <xf numFmtId="0" fontId="32" fillId="0" borderId="8" xfId="7" applyFont="1" applyFill="1" applyBorder="1" applyAlignment="1" applyProtection="1">
      <alignment horizontal="center" vertical="center" wrapText="1"/>
    </xf>
    <xf numFmtId="0" fontId="10" fillId="0" borderId="8" xfId="7" applyFont="1" applyFill="1" applyBorder="1" applyAlignment="1" applyProtection="1">
      <alignment horizontal="left" vertical="center" wrapText="1"/>
    </xf>
    <xf numFmtId="0" fontId="10" fillId="0" borderId="8" xfId="7" applyFont="1" applyFill="1" applyBorder="1" applyAlignment="1" applyProtection="1">
      <alignment vertical="center" wrapText="1"/>
    </xf>
    <xf numFmtId="0" fontId="10" fillId="0" borderId="8" xfId="7" applyFont="1" applyFill="1" applyBorder="1" applyAlignment="1" applyProtection="1">
      <alignment horizontal="right" vertical="center" wrapText="1"/>
    </xf>
    <xf numFmtId="0" fontId="29" fillId="0" borderId="8" xfId="7" applyFont="1" applyFill="1" applyBorder="1" applyAlignment="1" applyProtection="1">
      <alignment horizontal="center" vertical="center" wrapText="1"/>
    </xf>
    <xf numFmtId="0" fontId="35" fillId="0" borderId="16" xfId="7" applyFont="1" applyFill="1" applyBorder="1" applyAlignment="1" applyProtection="1">
      <alignment horizontal="center" vertical="center" wrapText="1"/>
      <protection locked="0"/>
    </xf>
    <xf numFmtId="3" fontId="12" fillId="2" borderId="34" xfId="7" applyNumberFormat="1" applyFont="1" applyFill="1" applyBorder="1" applyAlignment="1" applyProtection="1">
      <alignment vertical="center" wrapText="1"/>
    </xf>
    <xf numFmtId="0" fontId="28" fillId="2" borderId="35" xfId="7" applyFont="1" applyFill="1" applyBorder="1" applyAlignment="1" applyProtection="1">
      <alignment horizontal="center" vertical="center" wrapText="1"/>
    </xf>
    <xf numFmtId="0" fontId="12" fillId="0" borderId="17" xfId="7" applyFont="1" applyFill="1" applyBorder="1" applyAlignment="1" applyProtection="1">
      <alignment horizontal="center" vertical="center" wrapText="1"/>
    </xf>
    <xf numFmtId="3" fontId="12" fillId="2" borderId="25" xfId="7" applyNumberFormat="1" applyFont="1" applyFill="1" applyBorder="1" applyAlignment="1" applyProtection="1">
      <alignment vertical="center" wrapText="1"/>
    </xf>
    <xf numFmtId="0" fontId="28" fillId="2" borderId="26" xfId="7" applyFont="1" applyFill="1" applyBorder="1" applyAlignment="1" applyProtection="1">
      <alignment horizontal="center" vertical="center" wrapText="1"/>
    </xf>
    <xf numFmtId="0" fontId="12" fillId="0" borderId="10" xfId="7" applyFont="1" applyFill="1" applyBorder="1" applyAlignment="1" applyProtection="1">
      <alignment horizontal="center" vertical="center" wrapText="1"/>
    </xf>
    <xf numFmtId="0" fontId="12" fillId="0" borderId="11" xfId="7" applyFont="1" applyFill="1" applyBorder="1" applyAlignment="1" applyProtection="1">
      <alignment horizontal="center" vertical="center" wrapText="1"/>
    </xf>
    <xf numFmtId="0" fontId="10" fillId="0" borderId="11" xfId="7" applyFont="1" applyFill="1" applyBorder="1" applyAlignment="1" applyProtection="1">
      <alignment horizontal="left" vertical="center" wrapText="1"/>
    </xf>
    <xf numFmtId="3" fontId="10" fillId="0" borderId="11" xfId="7" applyNumberFormat="1" applyFont="1" applyFill="1" applyBorder="1" applyAlignment="1" applyProtection="1">
      <alignment vertical="center" wrapText="1"/>
    </xf>
    <xf numFmtId="0" fontId="10" fillId="0" borderId="11" xfId="7" applyFont="1" applyFill="1" applyBorder="1" applyAlignment="1" applyProtection="1">
      <alignment vertical="center" wrapText="1"/>
    </xf>
    <xf numFmtId="0" fontId="31" fillId="0" borderId="36" xfId="7" applyFont="1" applyFill="1" applyBorder="1" applyAlignment="1" applyProtection="1">
      <alignment horizontal="center" vertical="center" wrapText="1"/>
    </xf>
    <xf numFmtId="0" fontId="36" fillId="0" borderId="37" xfId="7" applyFont="1" applyFill="1" applyBorder="1" applyAlignment="1" applyProtection="1">
      <alignment horizontal="center" vertical="center" wrapText="1"/>
      <protection locked="0"/>
    </xf>
    <xf numFmtId="3" fontId="12" fillId="2" borderId="18" xfId="7" applyNumberFormat="1" applyFont="1" applyFill="1" applyBorder="1" applyAlignment="1" applyProtection="1">
      <alignment vertical="center" wrapText="1"/>
    </xf>
    <xf numFmtId="3" fontId="12" fillId="2" borderId="23" xfId="7" applyNumberFormat="1" applyFont="1" applyFill="1" applyBorder="1" applyAlignment="1" applyProtection="1">
      <alignment vertical="center" wrapText="1"/>
    </xf>
    <xf numFmtId="4" fontId="35" fillId="0" borderId="0" xfId="7" applyNumberFormat="1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  <protection locked="0"/>
    </xf>
    <xf numFmtId="0" fontId="12" fillId="2" borderId="25" xfId="7" applyFont="1" applyFill="1" applyBorder="1" applyAlignment="1" applyProtection="1">
      <alignment vertical="center" wrapText="1"/>
    </xf>
    <xf numFmtId="0" fontId="12" fillId="5" borderId="0" xfId="7" applyFont="1" applyFill="1" applyAlignment="1" applyProtection="1">
      <alignment vertical="center"/>
      <protection locked="0"/>
    </xf>
    <xf numFmtId="0" fontId="12" fillId="0" borderId="39" xfId="7" applyFont="1" applyFill="1" applyBorder="1" applyAlignment="1" applyProtection="1">
      <alignment horizontal="center" vertical="center" wrapText="1"/>
    </xf>
    <xf numFmtId="0" fontId="10" fillId="0" borderId="24" xfId="7" applyFont="1" applyFill="1" applyBorder="1" applyAlignment="1" applyProtection="1">
      <alignment horizontal="left" vertical="center" wrapText="1"/>
    </xf>
    <xf numFmtId="0" fontId="10" fillId="5" borderId="0" xfId="7" applyFont="1" applyFill="1" applyAlignment="1" applyProtection="1">
      <alignment vertical="center"/>
      <protection locked="0"/>
    </xf>
    <xf numFmtId="0" fontId="28" fillId="2" borderId="23" xfId="7" applyFont="1" applyFill="1" applyBorder="1" applyAlignment="1" applyProtection="1">
      <alignment horizontal="center" vertical="center" wrapText="1"/>
    </xf>
    <xf numFmtId="3" fontId="10" fillId="0" borderId="25" xfId="7" applyNumberFormat="1" applyFont="1" applyFill="1" applyBorder="1" applyAlignment="1" applyProtection="1">
      <alignment vertical="center" wrapText="1"/>
    </xf>
    <xf numFmtId="0" fontId="10" fillId="0" borderId="25" xfId="7" applyFont="1" applyFill="1" applyBorder="1" applyAlignment="1" applyProtection="1">
      <alignment vertical="center" wrapText="1"/>
    </xf>
    <xf numFmtId="0" fontId="10" fillId="0" borderId="25" xfId="7" applyFont="1" applyFill="1" applyBorder="1" applyAlignment="1" applyProtection="1">
      <alignment horizontal="right" vertical="center" wrapText="1"/>
    </xf>
    <xf numFmtId="0" fontId="29" fillId="0" borderId="35" xfId="7" applyFont="1" applyFill="1" applyBorder="1" applyAlignment="1" applyProtection="1">
      <alignment horizontal="center" vertical="center" wrapText="1"/>
    </xf>
    <xf numFmtId="3" fontId="12" fillId="2" borderId="19" xfId="7" applyNumberFormat="1" applyFont="1" applyFill="1" applyBorder="1" applyAlignment="1" applyProtection="1">
      <alignment vertical="center" wrapText="1"/>
    </xf>
    <xf numFmtId="0" fontId="28" fillId="2" borderId="20" xfId="7" applyFont="1" applyFill="1" applyBorder="1" applyAlignment="1" applyProtection="1">
      <alignment horizontal="center" vertical="center" wrapText="1"/>
    </xf>
    <xf numFmtId="3" fontId="12" fillId="11" borderId="46" xfId="7" applyNumberFormat="1" applyFont="1" applyFill="1" applyBorder="1" applyAlignment="1" applyProtection="1">
      <alignment vertical="center" wrapText="1"/>
    </xf>
    <xf numFmtId="3" fontId="28" fillId="11" borderId="47" xfId="7" applyNumberFormat="1" applyFont="1" applyFill="1" applyBorder="1" applyAlignment="1" applyProtection="1">
      <alignment horizontal="center" vertical="center" wrapText="1"/>
    </xf>
    <xf numFmtId="0" fontId="12" fillId="5" borderId="0" xfId="7" applyFont="1" applyFill="1" applyBorder="1" applyAlignment="1" applyProtection="1">
      <alignment vertical="center"/>
      <protection locked="0"/>
    </xf>
    <xf numFmtId="0" fontId="12" fillId="0" borderId="0" xfId="9" applyFont="1" applyProtection="1"/>
    <xf numFmtId="0" fontId="28" fillId="0" borderId="0" xfId="7" applyFont="1" applyProtection="1"/>
    <xf numFmtId="3" fontId="29" fillId="0" borderId="0" xfId="7" applyNumberFormat="1" applyFont="1" applyProtection="1"/>
    <xf numFmtId="0" fontId="29" fillId="0" borderId="0" xfId="7" applyFont="1" applyProtection="1"/>
    <xf numFmtId="0" fontId="29" fillId="0" borderId="0" xfId="7" applyFont="1" applyAlignment="1" applyProtection="1">
      <alignment horizontal="center" vertical="center"/>
    </xf>
    <xf numFmtId="0" fontId="28" fillId="0" borderId="0" xfId="7" applyFont="1" applyFill="1" applyProtection="1"/>
    <xf numFmtId="0" fontId="28" fillId="0" borderId="0" xfId="7" applyFont="1" applyFill="1" applyAlignment="1" applyProtection="1">
      <alignment horizontal="center" vertical="center"/>
      <protection locked="0"/>
    </xf>
    <xf numFmtId="4" fontId="28" fillId="0" borderId="0" xfId="7" applyNumberFormat="1" applyFont="1" applyFill="1" applyAlignment="1" applyProtection="1">
      <alignment vertical="center"/>
      <protection locked="0"/>
    </xf>
    <xf numFmtId="0" fontId="28" fillId="0" borderId="0" xfId="7" applyFont="1" applyFill="1" applyAlignment="1" applyProtection="1">
      <alignment vertical="center"/>
      <protection locked="0"/>
    </xf>
    <xf numFmtId="3" fontId="29" fillId="0" borderId="0" xfId="7" applyNumberFormat="1" applyFont="1" applyAlignment="1" applyProtection="1">
      <alignment horizontal="center" vertical="center"/>
    </xf>
    <xf numFmtId="4" fontId="31" fillId="0" borderId="0" xfId="7" applyNumberFormat="1" applyFont="1" applyFill="1" applyAlignment="1" applyProtection="1">
      <alignment vertical="center"/>
      <protection locked="0"/>
    </xf>
    <xf numFmtId="0" fontId="31" fillId="0" borderId="0" xfId="7" applyFont="1" applyFill="1" applyAlignment="1" applyProtection="1">
      <alignment vertical="center"/>
      <protection locked="0"/>
    </xf>
    <xf numFmtId="3" fontId="10" fillId="0" borderId="0" xfId="7" applyNumberFormat="1" applyFont="1" applyProtection="1">
      <protection locked="0"/>
    </xf>
    <xf numFmtId="0" fontId="29" fillId="0" borderId="0" xfId="7" applyFont="1" applyProtection="1">
      <protection locked="0"/>
    </xf>
    <xf numFmtId="0" fontId="10" fillId="0" borderId="30" xfId="9" applyFont="1" applyFill="1" applyBorder="1" applyAlignment="1">
      <alignment horizontal="center" vertical="center"/>
    </xf>
    <xf numFmtId="0" fontId="15" fillId="0" borderId="30" xfId="9" applyFont="1" applyFill="1" applyBorder="1" applyAlignment="1">
      <alignment horizontal="center" vertical="center"/>
    </xf>
    <xf numFmtId="0" fontId="38" fillId="0" borderId="30" xfId="0" applyFont="1" applyBorder="1" applyAlignment="1">
      <alignment vertical="center" wrapText="1" readingOrder="1"/>
    </xf>
    <xf numFmtId="0" fontId="15" fillId="0" borderId="30" xfId="9" applyFont="1" applyBorder="1" applyAlignment="1">
      <alignment horizontal="center" vertical="center"/>
    </xf>
    <xf numFmtId="3" fontId="15" fillId="0" borderId="30" xfId="9" applyNumberFormat="1" applyFont="1" applyFill="1" applyBorder="1" applyAlignment="1"/>
    <xf numFmtId="0" fontId="38" fillId="0" borderId="4" xfId="0" applyFont="1" applyBorder="1" applyAlignment="1">
      <alignment vertical="center" wrapText="1" readingOrder="1"/>
    </xf>
    <xf numFmtId="0" fontId="15" fillId="0" borderId="4" xfId="9" applyFont="1" applyBorder="1" applyAlignment="1">
      <alignment vertical="center"/>
    </xf>
    <xf numFmtId="3" fontId="12" fillId="0" borderId="5" xfId="9" applyNumberFormat="1" applyFont="1" applyFill="1" applyBorder="1" applyAlignment="1"/>
    <xf numFmtId="0" fontId="23" fillId="0" borderId="5" xfId="0" applyFont="1" applyBorder="1" applyAlignment="1">
      <alignment horizontal="left" vertical="center" wrapText="1" readingOrder="1"/>
    </xf>
    <xf numFmtId="49" fontId="39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Alignment="1" applyProtection="1">
      <alignment horizontal="center" vertical="center"/>
      <protection locked="0"/>
    </xf>
    <xf numFmtId="0" fontId="33" fillId="0" borderId="0" xfId="7" applyFont="1" applyFill="1" applyAlignment="1" applyProtection="1">
      <alignment horizontal="center" vertical="center"/>
      <protection locked="0"/>
    </xf>
    <xf numFmtId="0" fontId="30" fillId="0" borderId="0" xfId="7" applyFont="1" applyFill="1" applyAlignment="1" applyProtection="1">
      <alignment horizontal="center" vertic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0" fontId="35" fillId="0" borderId="0" xfId="7" applyFont="1" applyFill="1" applyAlignment="1" applyProtection="1">
      <alignment horizontal="center" vertical="center"/>
      <protection locked="0"/>
    </xf>
    <xf numFmtId="0" fontId="15" fillId="0" borderId="0" xfId="7" applyFont="1" applyFill="1" applyAlignment="1" applyProtection="1">
      <alignment horizontal="center" vertical="center"/>
      <protection locked="0"/>
    </xf>
    <xf numFmtId="3" fontId="33" fillId="0" borderId="0" xfId="7" applyNumberFormat="1" applyFont="1" applyFill="1" applyAlignment="1" applyProtection="1">
      <alignment horizontal="center" vertical="center"/>
      <protection locked="0"/>
    </xf>
    <xf numFmtId="0" fontId="35" fillId="0" borderId="0" xfId="7" applyFont="1" applyFill="1" applyBorder="1" applyAlignment="1" applyProtection="1">
      <alignment horizontal="center" vertical="center"/>
      <protection locked="0"/>
    </xf>
    <xf numFmtId="0" fontId="31" fillId="0" borderId="0" xfId="7" applyFont="1" applyFill="1" applyAlignment="1" applyProtection="1">
      <alignment horizontal="center" vertical="center"/>
      <protection locked="0"/>
    </xf>
    <xf numFmtId="0" fontId="34" fillId="0" borderId="8" xfId="25" applyFont="1" applyFill="1" applyBorder="1" applyAlignment="1">
      <alignment vertical="center" wrapText="1"/>
    </xf>
    <xf numFmtId="0" fontId="15" fillId="0" borderId="24" xfId="7" applyFont="1" applyFill="1" applyBorder="1" applyAlignment="1" applyProtection="1">
      <alignment horizontal="center" vertical="center" wrapText="1"/>
      <protection locked="0"/>
    </xf>
    <xf numFmtId="0" fontId="36" fillId="0" borderId="0" xfId="7" applyFont="1" applyFill="1" applyAlignment="1" applyProtection="1">
      <alignment horizontal="center" vertical="center"/>
      <protection locked="0"/>
    </xf>
    <xf numFmtId="0" fontId="41" fillId="9" borderId="24" xfId="7" applyFont="1" applyFill="1" applyBorder="1" applyAlignment="1" applyProtection="1">
      <alignment horizontal="center" vertical="center" wrapText="1"/>
      <protection locked="0"/>
    </xf>
    <xf numFmtId="0" fontId="40" fillId="9" borderId="23" xfId="7" applyFont="1" applyFill="1" applyBorder="1" applyAlignment="1" applyProtection="1">
      <alignment horizontal="center" vertical="center" wrapText="1"/>
    </xf>
    <xf numFmtId="0" fontId="35" fillId="9" borderId="24" xfId="7" applyFont="1" applyFill="1" applyBorder="1" applyAlignment="1" applyProtection="1">
      <alignment horizontal="center" vertical="center" wrapText="1"/>
      <protection locked="0"/>
    </xf>
    <xf numFmtId="0" fontId="37" fillId="9" borderId="26" xfId="7" applyFont="1" applyFill="1" applyBorder="1" applyAlignment="1" applyProtection="1">
      <alignment horizontal="center" vertical="center" wrapText="1"/>
    </xf>
    <xf numFmtId="0" fontId="40" fillId="2" borderId="8" xfId="7" applyFont="1" applyFill="1" applyBorder="1" applyAlignment="1" applyProtection="1">
      <alignment horizontal="center" vertical="center" wrapText="1"/>
    </xf>
    <xf numFmtId="0" fontId="40" fillId="2" borderId="26" xfId="7" applyFont="1" applyFill="1" applyBorder="1" applyAlignment="1" applyProtection="1">
      <alignment horizontal="center" vertical="center" wrapText="1"/>
    </xf>
    <xf numFmtId="0" fontId="36" fillId="2" borderId="37" xfId="7" applyFont="1" applyFill="1" applyBorder="1" applyAlignment="1" applyProtection="1">
      <alignment horizontal="center" vertical="center" wrapText="1"/>
      <protection locked="0"/>
    </xf>
    <xf numFmtId="0" fontId="42" fillId="0" borderId="37" xfId="7" applyFont="1" applyFill="1" applyBorder="1" applyAlignment="1" applyProtection="1">
      <alignment horizontal="center" vertical="center" wrapText="1"/>
      <protection locked="0"/>
    </xf>
    <xf numFmtId="3" fontId="36" fillId="2" borderId="23" xfId="7" applyNumberFormat="1" applyFont="1" applyFill="1" applyBorder="1" applyAlignment="1" applyProtection="1">
      <alignment vertical="center" wrapText="1"/>
    </xf>
    <xf numFmtId="0" fontId="40" fillId="2" borderId="23" xfId="7" applyFont="1" applyFill="1" applyBorder="1" applyAlignment="1" applyProtection="1">
      <alignment horizontal="center" vertical="center" wrapText="1"/>
    </xf>
    <xf numFmtId="3" fontId="40" fillId="11" borderId="47" xfId="7" applyNumberFormat="1" applyFont="1" applyFill="1" applyBorder="1" applyAlignment="1" applyProtection="1">
      <alignment horizontal="center" vertical="center" wrapText="1"/>
    </xf>
    <xf numFmtId="0" fontId="40" fillId="0" borderId="0" xfId="7" applyFont="1" applyFill="1" applyAlignment="1" applyProtection="1">
      <alignment horizontal="center" vertical="center"/>
      <protection locked="0"/>
    </xf>
    <xf numFmtId="165" fontId="12" fillId="0" borderId="0" xfId="7" applyNumberFormat="1" applyFont="1" applyFill="1" applyAlignment="1" applyProtection="1">
      <alignment horizontal="center" vertical="center"/>
      <protection locked="0"/>
    </xf>
    <xf numFmtId="4" fontId="10" fillId="0" borderId="0" xfId="7" applyNumberFormat="1" applyFont="1" applyFill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Protection="1">
      <protection locked="0"/>
    </xf>
    <xf numFmtId="4" fontId="33" fillId="0" borderId="0" xfId="7" applyNumberFormat="1" applyFont="1" applyFill="1" applyAlignment="1" applyProtection="1">
      <alignment horizontal="right" vertical="center"/>
      <protection locked="0"/>
    </xf>
    <xf numFmtId="4" fontId="36" fillId="0" borderId="0" xfId="7" applyNumberFormat="1" applyFont="1" applyFill="1" applyAlignment="1" applyProtection="1">
      <alignment vertical="center"/>
      <protection locked="0"/>
    </xf>
    <xf numFmtId="0" fontId="36" fillId="0" borderId="0" xfId="7" applyFont="1" applyFill="1" applyAlignment="1" applyProtection="1">
      <alignment vertical="center"/>
      <protection locked="0"/>
    </xf>
    <xf numFmtId="3" fontId="12" fillId="0" borderId="0" xfId="7" applyNumberFormat="1" applyFont="1" applyFill="1" applyAlignment="1" applyProtection="1">
      <alignment horizontal="center" vertical="center"/>
      <protection locked="0"/>
    </xf>
    <xf numFmtId="4" fontId="12" fillId="0" borderId="0" xfId="7" applyNumberFormat="1" applyFont="1" applyFill="1" applyBorder="1" applyAlignment="1" applyProtection="1">
      <alignment vertical="center"/>
      <protection locked="0"/>
    </xf>
    <xf numFmtId="3" fontId="12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vertical="center"/>
      <protection locked="0"/>
    </xf>
    <xf numFmtId="4" fontId="29" fillId="0" borderId="0" xfId="7" applyNumberFormat="1" applyFont="1" applyFill="1" applyProtection="1">
      <protection locked="0"/>
    </xf>
    <xf numFmtId="0" fontId="29" fillId="0" borderId="0" xfId="7" applyFont="1" applyFill="1" applyAlignment="1" applyProtection="1">
      <alignment horizontal="center"/>
      <protection locked="0"/>
    </xf>
    <xf numFmtId="0" fontId="29" fillId="0" borderId="0" xfId="7" applyFont="1" applyFill="1" applyProtection="1">
      <protection locked="0"/>
    </xf>
    <xf numFmtId="0" fontId="43" fillId="0" borderId="8" xfId="16" applyFont="1" applyFill="1" applyBorder="1" applyAlignment="1">
      <alignment vertical="center" wrapText="1"/>
    </xf>
    <xf numFmtId="0" fontId="10" fillId="0" borderId="26" xfId="7" applyFont="1" applyFill="1" applyBorder="1" applyAlignment="1" applyProtection="1">
      <alignment horizontal="center" vertical="center" wrapText="1"/>
    </xf>
    <xf numFmtId="0" fontId="43" fillId="0" borderId="0" xfId="16" applyFont="1" applyFill="1" applyBorder="1" applyAlignment="1">
      <alignment vertical="center" wrapText="1"/>
    </xf>
    <xf numFmtId="0" fontId="10" fillId="0" borderId="30" xfId="7" applyFont="1" applyFill="1" applyBorder="1" applyAlignment="1">
      <alignment vertical="center" wrapText="1"/>
    </xf>
    <xf numFmtId="0" fontId="10" fillId="0" borderId="18" xfId="16" applyFont="1" applyFill="1" applyBorder="1" applyAlignment="1" applyProtection="1">
      <alignment horizontal="left" vertical="center" wrapText="1"/>
      <protection locked="0"/>
    </xf>
    <xf numFmtId="3" fontId="36" fillId="6" borderId="18" xfId="7" applyNumberFormat="1" applyFont="1" applyFill="1" applyBorder="1" applyAlignment="1" applyProtection="1">
      <alignment horizontal="center" vertical="center"/>
    </xf>
    <xf numFmtId="0" fontId="36" fillId="6" borderId="18" xfId="7" applyNumberFormat="1" applyFont="1" applyFill="1" applyBorder="1" applyAlignment="1" applyProtection="1">
      <alignment horizontal="center" vertical="center"/>
    </xf>
    <xf numFmtId="0" fontId="36" fillId="6" borderId="18" xfId="16" applyFont="1" applyFill="1" applyBorder="1" applyAlignment="1" applyProtection="1">
      <alignment vertical="center" wrapText="1"/>
      <protection locked="0"/>
    </xf>
    <xf numFmtId="3" fontId="36" fillId="6" borderId="18" xfId="7" applyNumberFormat="1" applyFont="1" applyFill="1" applyBorder="1" applyAlignment="1" applyProtection="1">
      <alignment horizontal="right" vertical="center" wrapText="1"/>
    </xf>
    <xf numFmtId="3" fontId="36" fillId="6" borderId="18" xfId="7" applyNumberFormat="1" applyFont="1" applyFill="1" applyBorder="1" applyAlignment="1" applyProtection="1">
      <alignment vertical="center"/>
    </xf>
    <xf numFmtId="0" fontId="36" fillId="6" borderId="18" xfId="7" applyFont="1" applyFill="1" applyBorder="1" applyAlignment="1" applyProtection="1">
      <alignment vertical="center" wrapText="1"/>
    </xf>
    <xf numFmtId="0" fontId="36" fillId="6" borderId="18" xfId="7" applyFont="1" applyFill="1" applyBorder="1" applyAlignment="1" applyProtection="1">
      <alignment horizontal="right" vertical="center" wrapText="1"/>
    </xf>
    <xf numFmtId="0" fontId="40" fillId="6" borderId="23" xfId="7" applyFont="1" applyFill="1" applyBorder="1" applyAlignment="1" applyProtection="1">
      <alignment horizontal="center" vertical="center" wrapText="1"/>
    </xf>
    <xf numFmtId="0" fontId="36" fillId="6" borderId="18" xfId="7" applyFont="1" applyFill="1" applyBorder="1" applyAlignment="1" applyProtection="1">
      <alignment horizontal="center" vertical="center" wrapText="1"/>
    </xf>
    <xf numFmtId="3" fontId="36" fillId="6" borderId="18" xfId="7" applyNumberFormat="1" applyFont="1" applyFill="1" applyBorder="1" applyAlignment="1" applyProtection="1">
      <alignment vertical="center" wrapText="1"/>
    </xf>
    <xf numFmtId="49" fontId="44" fillId="0" borderId="0" xfId="10" applyNumberFormat="1" applyFont="1" applyAlignment="1">
      <alignment horizontal="center" vertical="center"/>
    </xf>
    <xf numFmtId="0" fontId="44" fillId="0" borderId="0" xfId="10" applyFont="1" applyAlignment="1">
      <alignment horizontal="center" vertical="center"/>
    </xf>
    <xf numFmtId="0" fontId="44" fillId="0" borderId="0" xfId="10" applyFont="1" applyAlignment="1">
      <alignment vertical="center" wrapText="1"/>
    </xf>
    <xf numFmtId="3" fontId="44" fillId="0" borderId="0" xfId="10" applyNumberFormat="1" applyFont="1" applyAlignment="1">
      <alignment vertical="center"/>
    </xf>
    <xf numFmtId="0" fontId="44" fillId="0" borderId="0" xfId="10" applyFont="1"/>
    <xf numFmtId="49" fontId="45" fillId="4" borderId="5" xfId="10" applyNumberFormat="1" applyFont="1" applyFill="1" applyBorder="1" applyAlignment="1">
      <alignment horizontal="center" vertical="center"/>
    </xf>
    <xf numFmtId="0" fontId="45" fillId="4" borderId="5" xfId="10" applyFont="1" applyFill="1" applyBorder="1" applyAlignment="1">
      <alignment horizontal="center" vertical="center"/>
    </xf>
    <xf numFmtId="0" fontId="45" fillId="4" borderId="5" xfId="10" applyFont="1" applyFill="1" applyBorder="1" applyAlignment="1">
      <alignment horizontal="center" vertical="center" wrapText="1"/>
    </xf>
    <xf numFmtId="3" fontId="45" fillId="4" borderId="5" xfId="10" applyNumberFormat="1" applyFont="1" applyFill="1" applyBorder="1" applyAlignment="1">
      <alignment horizontal="center" vertical="center"/>
    </xf>
    <xf numFmtId="49" fontId="45" fillId="12" borderId="5" xfId="10" applyNumberFormat="1" applyFont="1" applyFill="1" applyBorder="1" applyAlignment="1">
      <alignment horizontal="center" vertical="center"/>
    </xf>
    <xf numFmtId="0" fontId="45" fillId="12" borderId="5" xfId="10" applyFont="1" applyFill="1" applyBorder="1" applyAlignment="1">
      <alignment horizontal="center" vertical="center"/>
    </xf>
    <xf numFmtId="0" fontId="45" fillId="12" borderId="5" xfId="10" applyFont="1" applyFill="1" applyBorder="1" applyAlignment="1">
      <alignment vertical="center" wrapText="1"/>
    </xf>
    <xf numFmtId="3" fontId="45" fillId="12" borderId="5" xfId="10" applyNumberFormat="1" applyFont="1" applyFill="1" applyBorder="1" applyAlignment="1">
      <alignment vertical="center"/>
    </xf>
    <xf numFmtId="0" fontId="44" fillId="0" borderId="0" xfId="10" applyFont="1" applyAlignment="1">
      <alignment vertical="center"/>
    </xf>
    <xf numFmtId="49" fontId="44" fillId="13" borderId="5" xfId="10" applyNumberFormat="1" applyFont="1" applyFill="1" applyBorder="1" applyAlignment="1">
      <alignment horizontal="center" vertical="center"/>
    </xf>
    <xf numFmtId="0" fontId="44" fillId="13" borderId="5" xfId="10" applyFont="1" applyFill="1" applyBorder="1" applyAlignment="1">
      <alignment horizontal="center" vertical="center"/>
    </xf>
    <xf numFmtId="0" fontId="44" fillId="13" borderId="5" xfId="10" applyFont="1" applyFill="1" applyBorder="1" applyAlignment="1">
      <alignment vertical="center" wrapText="1"/>
    </xf>
    <xf numFmtId="3" fontId="44" fillId="13" borderId="5" xfId="10" applyNumberFormat="1" applyFont="1" applyFill="1" applyBorder="1" applyAlignment="1">
      <alignment vertical="center"/>
    </xf>
    <xf numFmtId="49" fontId="44" fillId="0" borderId="5" xfId="10" applyNumberFormat="1" applyFont="1" applyBorder="1" applyAlignment="1">
      <alignment horizontal="center" vertical="center"/>
    </xf>
    <xf numFmtId="0" fontId="44" fillId="0" borderId="5" xfId="10" applyFont="1" applyBorder="1" applyAlignment="1">
      <alignment horizontal="center" vertical="center"/>
    </xf>
    <xf numFmtId="0" fontId="44" fillId="0" borderId="5" xfId="10" applyFont="1" applyBorder="1" applyAlignment="1">
      <alignment vertical="center" wrapText="1"/>
    </xf>
    <xf numFmtId="3" fontId="44" fillId="0" borderId="5" xfId="10" applyNumberFormat="1" applyFont="1" applyBorder="1" applyAlignment="1">
      <alignment vertical="center"/>
    </xf>
    <xf numFmtId="49" fontId="7" fillId="0" borderId="5" xfId="10" applyNumberFormat="1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0" fontId="7" fillId="0" borderId="5" xfId="10" applyFont="1" applyBorder="1" applyAlignment="1">
      <alignment vertical="center" wrapText="1"/>
    </xf>
    <xf numFmtId="3" fontId="7" fillId="0" borderId="5" xfId="10" applyNumberFormat="1" applyFont="1" applyBorder="1" applyAlignment="1">
      <alignment vertical="center"/>
    </xf>
    <xf numFmtId="0" fontId="7" fillId="0" borderId="0" xfId="10" applyFont="1" applyAlignment="1">
      <alignment vertical="center"/>
    </xf>
    <xf numFmtId="0" fontId="8" fillId="13" borderId="5" xfId="1" applyFont="1" applyFill="1" applyBorder="1" applyAlignment="1">
      <alignment vertical="center" wrapText="1"/>
    </xf>
    <xf numFmtId="0" fontId="44" fillId="0" borderId="48" xfId="10" applyFont="1" applyBorder="1" applyAlignment="1">
      <alignment vertical="center" wrapText="1"/>
    </xf>
    <xf numFmtId="0" fontId="44" fillId="0" borderId="6" xfId="10" applyFont="1" applyBorder="1" applyAlignment="1">
      <alignment horizontal="center" vertical="center"/>
    </xf>
    <xf numFmtId="0" fontId="44" fillId="0" borderId="1" xfId="10" applyFont="1" applyBorder="1" applyAlignment="1">
      <alignment vertical="center" wrapText="1"/>
    </xf>
    <xf numFmtId="3" fontId="44" fillId="0" borderId="2" xfId="10" applyNumberFormat="1" applyFont="1" applyBorder="1" applyAlignment="1">
      <alignment vertical="center"/>
    </xf>
    <xf numFmtId="0" fontId="7" fillId="0" borderId="6" xfId="10" applyFont="1" applyBorder="1" applyAlignment="1">
      <alignment horizontal="center" vertical="center"/>
    </xf>
    <xf numFmtId="3" fontId="7" fillId="0" borderId="2" xfId="10" applyNumberFormat="1" applyFont="1" applyBorder="1" applyAlignment="1">
      <alignment vertical="center"/>
    </xf>
    <xf numFmtId="0" fontId="7" fillId="0" borderId="4" xfId="10" applyFont="1" applyBorder="1" applyAlignment="1">
      <alignment vertical="center" wrapText="1"/>
    </xf>
    <xf numFmtId="3" fontId="7" fillId="0" borderId="0" xfId="10" applyNumberFormat="1" applyFont="1" applyAlignment="1">
      <alignment vertical="center"/>
    </xf>
    <xf numFmtId="0" fontId="7" fillId="0" borderId="5" xfId="2" applyFont="1" applyBorder="1" applyAlignment="1">
      <alignment vertical="center" wrapText="1"/>
    </xf>
    <xf numFmtId="3" fontId="45" fillId="4" borderId="5" xfId="10" applyNumberFormat="1" applyFont="1" applyFill="1" applyBorder="1" applyAlignment="1">
      <alignment vertical="center"/>
    </xf>
    <xf numFmtId="3" fontId="8" fillId="0" borderId="0" xfId="7" applyNumberFormat="1" applyFont="1"/>
    <xf numFmtId="0" fontId="8" fillId="0" borderId="0" xfId="7" applyFont="1"/>
    <xf numFmtId="0" fontId="7" fillId="0" borderId="0" xfId="7" applyFont="1"/>
    <xf numFmtId="0" fontId="44" fillId="0" borderId="0" xfId="11" applyFont="1" applyAlignment="1">
      <alignment horizontal="center" vertical="center"/>
    </xf>
    <xf numFmtId="0" fontId="44" fillId="0" borderId="0" xfId="11" applyFont="1" applyAlignment="1">
      <alignment vertical="center" wrapText="1"/>
    </xf>
    <xf numFmtId="3" fontId="44" fillId="0" borderId="0" xfId="11" applyNumberFormat="1" applyFont="1" applyAlignment="1">
      <alignment vertical="center"/>
    </xf>
    <xf numFmtId="0" fontId="44" fillId="0" borderId="0" xfId="11" applyFont="1"/>
    <xf numFmtId="0" fontId="17" fillId="0" borderId="0" xfId="11" applyFont="1" applyAlignment="1">
      <alignment horizontal="center" vertical="center" wrapText="1"/>
    </xf>
    <xf numFmtId="0" fontId="45" fillId="14" borderId="5" xfId="11" applyFont="1" applyFill="1" applyBorder="1" applyAlignment="1">
      <alignment horizontal="center" vertical="center"/>
    </xf>
    <xf numFmtId="0" fontId="45" fillId="14" borderId="5" xfId="11" applyFont="1" applyFill="1" applyBorder="1" applyAlignment="1">
      <alignment horizontal="center" vertical="center" wrapText="1"/>
    </xf>
    <xf numFmtId="3" fontId="45" fillId="14" borderId="5" xfId="11" applyNumberFormat="1" applyFont="1" applyFill="1" applyBorder="1" applyAlignment="1">
      <alignment horizontal="center" vertical="center"/>
    </xf>
    <xf numFmtId="0" fontId="45" fillId="0" borderId="0" xfId="11" applyFont="1" applyAlignment="1">
      <alignment vertical="center"/>
    </xf>
    <xf numFmtId="0" fontId="45" fillId="15" borderId="5" xfId="11" applyFont="1" applyFill="1" applyBorder="1" applyAlignment="1">
      <alignment horizontal="center" vertical="center"/>
    </xf>
    <xf numFmtId="0" fontId="45" fillId="15" borderId="5" xfId="11" applyFont="1" applyFill="1" applyBorder="1" applyAlignment="1">
      <alignment vertical="center" wrapText="1"/>
    </xf>
    <xf numFmtId="3" fontId="45" fillId="15" borderId="5" xfId="11" applyNumberFormat="1" applyFont="1" applyFill="1" applyBorder="1" applyAlignment="1">
      <alignment vertical="center"/>
    </xf>
    <xf numFmtId="0" fontId="44" fillId="12" borderId="5" xfId="11" applyFont="1" applyFill="1" applyBorder="1" applyAlignment="1">
      <alignment horizontal="center" vertical="center"/>
    </xf>
    <xf numFmtId="0" fontId="44" fillId="12" borderId="5" xfId="11" applyFont="1" applyFill="1" applyBorder="1" applyAlignment="1">
      <alignment vertical="center" wrapText="1"/>
    </xf>
    <xf numFmtId="3" fontId="44" fillId="12" borderId="5" xfId="11" applyNumberFormat="1" applyFont="1" applyFill="1" applyBorder="1" applyAlignment="1">
      <alignment vertical="center"/>
    </xf>
    <xf numFmtId="0" fontId="44" fillId="0" borderId="0" xfId="11" applyFont="1" applyAlignment="1">
      <alignment vertical="center"/>
    </xf>
    <xf numFmtId="0" fontId="7" fillId="0" borderId="5" xfId="11" applyFont="1" applyBorder="1" applyAlignment="1">
      <alignment horizontal="center" vertical="center"/>
    </xf>
    <xf numFmtId="0" fontId="7" fillId="0" borderId="5" xfId="11" applyFont="1" applyBorder="1" applyAlignment="1">
      <alignment vertical="center" wrapText="1"/>
    </xf>
    <xf numFmtId="3" fontId="7" fillId="0" borderId="5" xfId="11" applyNumberFormat="1" applyFont="1" applyBorder="1" applyAlignment="1">
      <alignment vertical="center"/>
    </xf>
    <xf numFmtId="0" fontId="7" fillId="0" borderId="0" xfId="11" applyFont="1" applyAlignment="1">
      <alignment vertical="center"/>
    </xf>
    <xf numFmtId="0" fontId="44" fillId="0" borderId="5" xfId="11" applyFont="1" applyBorder="1" applyAlignment="1">
      <alignment horizontal="center" vertical="center"/>
    </xf>
    <xf numFmtId="3" fontId="44" fillId="0" borderId="5" xfId="11" applyNumberFormat="1" applyFont="1" applyBorder="1" applyAlignment="1">
      <alignment vertical="center"/>
    </xf>
    <xf numFmtId="0" fontId="44" fillId="0" borderId="5" xfId="11" applyFont="1" applyBorder="1" applyAlignment="1">
      <alignment vertical="center" wrapText="1"/>
    </xf>
    <xf numFmtId="0" fontId="45" fillId="4" borderId="5" xfId="11" applyFont="1" applyFill="1" applyBorder="1" applyAlignment="1">
      <alignment horizontal="center" vertical="center"/>
    </xf>
    <xf numFmtId="0" fontId="45" fillId="4" borderId="5" xfId="11" applyFont="1" applyFill="1" applyBorder="1" applyAlignment="1">
      <alignment vertical="center" wrapText="1"/>
    </xf>
    <xf numFmtId="3" fontId="8" fillId="4" borderId="5" xfId="11" applyNumberFormat="1" applyFont="1" applyFill="1" applyBorder="1" applyAlignment="1">
      <alignment vertical="center"/>
    </xf>
    <xf numFmtId="3" fontId="7" fillId="12" borderId="5" xfId="11" applyNumberFormat="1" applyFont="1" applyFill="1" applyBorder="1" applyAlignment="1">
      <alignment vertical="center"/>
    </xf>
    <xf numFmtId="3" fontId="45" fillId="14" borderId="5" xfId="11" applyNumberFormat="1" applyFont="1" applyFill="1" applyBorder="1" applyAlignment="1">
      <alignment vertical="center"/>
    </xf>
    <xf numFmtId="0" fontId="7" fillId="0" borderId="0" xfId="7" applyFont="1" applyAlignment="1">
      <alignment horizontal="center" vertical="center"/>
    </xf>
    <xf numFmtId="0" fontId="11" fillId="0" borderId="0" xfId="7" applyFont="1" applyAlignment="1">
      <alignment vertical="center" wrapText="1"/>
    </xf>
    <xf numFmtId="0" fontId="14" fillId="0" borderId="0" xfId="7" applyFont="1"/>
    <xf numFmtId="0" fontId="8" fillId="2" borderId="5" xfId="7" applyFont="1" applyFill="1" applyBorder="1" applyAlignment="1">
      <alignment horizontal="center" vertical="center"/>
    </xf>
    <xf numFmtId="0" fontId="46" fillId="16" borderId="5" xfId="7" applyFont="1" applyFill="1" applyBorder="1" applyAlignment="1">
      <alignment horizontal="center" vertical="center"/>
    </xf>
    <xf numFmtId="0" fontId="46" fillId="0" borderId="0" xfId="7" applyFont="1"/>
    <xf numFmtId="0" fontId="8" fillId="13" borderId="5" xfId="7" applyFont="1" applyFill="1" applyBorder="1" applyAlignment="1">
      <alignment horizontal="center" vertical="center"/>
    </xf>
    <xf numFmtId="0" fontId="7" fillId="13" borderId="5" xfId="7" applyFont="1" applyFill="1" applyBorder="1" applyAlignment="1">
      <alignment horizontal="center" vertical="center"/>
    </xf>
    <xf numFmtId="0" fontId="7" fillId="0" borderId="5" xfId="7" applyFont="1" applyBorder="1" applyAlignment="1">
      <alignment horizontal="center" vertical="center" wrapText="1"/>
    </xf>
    <xf numFmtId="0" fontId="20" fillId="0" borderId="5" xfId="7" applyFont="1" applyBorder="1" applyAlignment="1">
      <alignment horizontal="center" vertical="center"/>
    </xf>
    <xf numFmtId="0" fontId="7" fillId="0" borderId="0" xfId="7" applyFont="1" applyAlignment="1">
      <alignment vertical="center"/>
    </xf>
    <xf numFmtId="0" fontId="7" fillId="0" borderId="5" xfId="7" applyFont="1" applyBorder="1" applyAlignment="1">
      <alignment horizontal="center" vertical="center"/>
    </xf>
    <xf numFmtId="0" fontId="20" fillId="0" borderId="5" xfId="7" applyFont="1" applyBorder="1" applyAlignment="1">
      <alignment vertical="center"/>
    </xf>
    <xf numFmtId="0" fontId="7" fillId="0" borderId="5" xfId="7" applyFont="1" applyBorder="1" applyAlignment="1">
      <alignment vertical="center"/>
    </xf>
    <xf numFmtId="0" fontId="7" fillId="0" borderId="5" xfId="7" applyFont="1" applyBorder="1" applyAlignment="1">
      <alignment vertical="center" wrapText="1"/>
    </xf>
    <xf numFmtId="0" fontId="20" fillId="0" borderId="5" xfId="7" applyFont="1" applyBorder="1" applyAlignment="1">
      <alignment vertical="center" wrapText="1"/>
    </xf>
    <xf numFmtId="0" fontId="7" fillId="0" borderId="0" xfId="7" applyFont="1" applyAlignment="1">
      <alignment vertical="center" wrapText="1"/>
    </xf>
    <xf numFmtId="3" fontId="8" fillId="2" borderId="5" xfId="7" applyNumberFormat="1" applyFont="1" applyFill="1" applyBorder="1" applyAlignment="1">
      <alignment vertical="center"/>
    </xf>
    <xf numFmtId="0" fontId="8" fillId="0" borderId="0" xfId="7" applyFont="1" applyAlignment="1">
      <alignment vertical="center"/>
    </xf>
    <xf numFmtId="3" fontId="8" fillId="0" borderId="0" xfId="7" applyNumberFormat="1" applyFont="1" applyAlignment="1">
      <alignment vertical="center"/>
    </xf>
    <xf numFmtId="0" fontId="8" fillId="0" borderId="0" xfId="7" applyFont="1" applyAlignment="1">
      <alignment horizontal="center" vertical="center"/>
    </xf>
    <xf numFmtId="49" fontId="7" fillId="0" borderId="5" xfId="7" applyNumberFormat="1" applyFont="1" applyBorder="1" applyAlignment="1">
      <alignment horizontal="center" vertical="center"/>
    </xf>
    <xf numFmtId="3" fontId="7" fillId="0" borderId="0" xfId="7" applyNumberFormat="1" applyFont="1" applyAlignment="1">
      <alignment vertical="center"/>
    </xf>
    <xf numFmtId="3" fontId="11" fillId="17" borderId="5" xfId="7" applyNumberFormat="1" applyFont="1" applyFill="1" applyBorder="1" applyAlignment="1">
      <alignment horizontal="right"/>
    </xf>
    <xf numFmtId="0" fontId="47" fillId="0" borderId="0" xfId="7" applyFont="1"/>
    <xf numFmtId="0" fontId="48" fillId="0" borderId="5" xfId="11" applyFont="1" applyBorder="1" applyAlignment="1">
      <alignment horizontal="center" vertical="center"/>
    </xf>
    <xf numFmtId="0" fontId="48" fillId="0" borderId="5" xfId="11" applyFont="1" applyBorder="1" applyAlignment="1">
      <alignment vertical="center" wrapText="1"/>
    </xf>
    <xf numFmtId="3" fontId="48" fillId="0" borderId="5" xfId="11" applyNumberFormat="1" applyFont="1" applyBorder="1" applyAlignment="1">
      <alignment vertical="center"/>
    </xf>
    <xf numFmtId="0" fontId="48" fillId="0" borderId="0" xfId="11" applyFont="1" applyAlignment="1">
      <alignment vertical="center"/>
    </xf>
    <xf numFmtId="0" fontId="48" fillId="0" borderId="5" xfId="7" applyFont="1" applyBorder="1" applyAlignment="1">
      <alignment horizontal="center" vertical="center"/>
    </xf>
    <xf numFmtId="0" fontId="48" fillId="0" borderId="5" xfId="7" applyFont="1" applyBorder="1" applyAlignment="1">
      <alignment vertical="center" wrapText="1"/>
    </xf>
    <xf numFmtId="0" fontId="49" fillId="0" borderId="5" xfId="7" applyFont="1" applyBorder="1" applyAlignment="1">
      <alignment vertical="center"/>
    </xf>
    <xf numFmtId="0" fontId="48" fillId="0" borderId="5" xfId="7" applyFont="1" applyBorder="1" applyAlignment="1">
      <alignment vertical="center"/>
    </xf>
    <xf numFmtId="0" fontId="48" fillId="0" borderId="0" xfId="7" applyFont="1" applyAlignment="1">
      <alignment vertical="center"/>
    </xf>
    <xf numFmtId="3" fontId="48" fillId="0" borderId="5" xfId="7" applyNumberFormat="1" applyFont="1" applyBorder="1" applyAlignment="1">
      <alignment vertical="center" wrapText="1"/>
    </xf>
    <xf numFmtId="0" fontId="49" fillId="0" borderId="5" xfId="7" applyFont="1" applyBorder="1" applyAlignment="1">
      <alignment vertical="center" wrapText="1"/>
    </xf>
    <xf numFmtId="3" fontId="49" fillId="0" borderId="5" xfId="7" applyNumberFormat="1" applyFont="1" applyBorder="1" applyAlignment="1">
      <alignment vertical="center" wrapText="1"/>
    </xf>
    <xf numFmtId="0" fontId="48" fillId="0" borderId="0" xfId="7" applyFont="1" applyAlignment="1">
      <alignment vertical="center" wrapText="1"/>
    </xf>
    <xf numFmtId="3" fontId="49" fillId="0" borderId="5" xfId="7" applyNumberFormat="1" applyFont="1" applyBorder="1" applyAlignment="1">
      <alignment horizontal="right" vertical="center" wrapText="1"/>
    </xf>
    <xf numFmtId="3" fontId="7" fillId="0" borderId="5" xfId="7" applyNumberFormat="1" applyFont="1" applyFill="1" applyBorder="1" applyAlignment="1">
      <alignment horizontal="right" vertical="center"/>
    </xf>
    <xf numFmtId="3" fontId="7" fillId="0" borderId="5" xfId="7" applyNumberFormat="1" applyFont="1" applyFill="1" applyBorder="1" applyAlignment="1">
      <alignment vertical="center"/>
    </xf>
    <xf numFmtId="3" fontId="48" fillId="0" borderId="5" xfId="7" applyNumberFormat="1" applyFont="1" applyFill="1" applyBorder="1" applyAlignment="1">
      <alignment vertical="center"/>
    </xf>
    <xf numFmtId="3" fontId="48" fillId="0" borderId="5" xfId="7" applyNumberFormat="1" applyFont="1" applyFill="1" applyBorder="1" applyAlignment="1">
      <alignment horizontal="right" vertical="center" wrapText="1"/>
    </xf>
    <xf numFmtId="3" fontId="7" fillId="0" borderId="5" xfId="7" applyNumberFormat="1" applyFont="1" applyFill="1" applyBorder="1" applyAlignment="1">
      <alignment horizontal="right" vertical="center" wrapText="1"/>
    </xf>
    <xf numFmtId="3" fontId="20" fillId="0" borderId="5" xfId="7" applyNumberFormat="1" applyFont="1" applyFill="1" applyBorder="1" applyAlignment="1">
      <alignment vertical="center"/>
    </xf>
    <xf numFmtId="3" fontId="7" fillId="0" borderId="5" xfId="7" applyNumberFormat="1" applyFont="1" applyFill="1" applyBorder="1" applyAlignment="1">
      <alignment vertical="center" wrapText="1"/>
    </xf>
    <xf numFmtId="0" fontId="20" fillId="0" borderId="5" xfId="7" applyFont="1" applyFill="1" applyBorder="1" applyAlignment="1">
      <alignment vertical="center"/>
    </xf>
    <xf numFmtId="0" fontId="20" fillId="0" borderId="5" xfId="7" applyFont="1" applyFill="1" applyBorder="1" applyAlignment="1">
      <alignment vertical="center" wrapText="1"/>
    </xf>
    <xf numFmtId="3" fontId="20" fillId="0" borderId="5" xfId="7" applyNumberFormat="1" applyFont="1" applyFill="1" applyBorder="1" applyAlignment="1">
      <alignment vertical="center" wrapText="1"/>
    </xf>
    <xf numFmtId="1" fontId="20" fillId="0" borderId="5" xfId="7" applyNumberFormat="1" applyFont="1" applyFill="1" applyBorder="1" applyAlignment="1">
      <alignment vertical="center" wrapText="1"/>
    </xf>
    <xf numFmtId="3" fontId="48" fillId="0" borderId="5" xfId="7" applyNumberFormat="1" applyFont="1" applyFill="1" applyBorder="1" applyAlignment="1">
      <alignment vertical="center" wrapText="1"/>
    </xf>
    <xf numFmtId="0" fontId="49" fillId="0" borderId="5" xfId="7" applyFont="1" applyFill="1" applyBorder="1" applyAlignment="1">
      <alignment vertical="center" wrapText="1"/>
    </xf>
    <xf numFmtId="0" fontId="36" fillId="6" borderId="17" xfId="7" applyFont="1" applyFill="1" applyBorder="1" applyAlignment="1" applyProtection="1">
      <alignment horizontal="center" vertical="center" wrapText="1"/>
    </xf>
    <xf numFmtId="0" fontId="36" fillId="6" borderId="18" xfId="7" applyFont="1" applyFill="1" applyBorder="1" applyAlignment="1" applyProtection="1">
      <alignment horizontal="left" vertical="center" wrapText="1"/>
    </xf>
    <xf numFmtId="3" fontId="36" fillId="6" borderId="23" xfId="7" applyNumberFormat="1" applyFont="1" applyFill="1" applyBorder="1" applyAlignment="1" applyProtection="1">
      <alignment vertical="center" wrapText="1"/>
    </xf>
    <xf numFmtId="3" fontId="35" fillId="0" borderId="0" xfId="7" applyNumberFormat="1" applyFont="1" applyFill="1" applyAlignment="1" applyProtection="1">
      <alignment horizontal="center" vertical="center"/>
      <protection locked="0"/>
    </xf>
    <xf numFmtId="0" fontId="36" fillId="6" borderId="50" xfId="7" applyFont="1" applyFill="1" applyBorder="1" applyAlignment="1" applyProtection="1">
      <alignment horizontal="center" vertical="center" wrapText="1"/>
    </xf>
    <xf numFmtId="0" fontId="36" fillId="6" borderId="51" xfId="7" applyFont="1" applyFill="1" applyBorder="1" applyAlignment="1" applyProtection="1">
      <alignment horizontal="center" vertical="center" wrapText="1"/>
    </xf>
    <xf numFmtId="0" fontId="36" fillId="6" borderId="51" xfId="7" applyFont="1" applyFill="1" applyBorder="1" applyAlignment="1" applyProtection="1">
      <alignment horizontal="left" vertical="center" wrapText="1"/>
    </xf>
    <xf numFmtId="3" fontId="36" fillId="6" borderId="51" xfId="7" applyNumberFormat="1" applyFont="1" applyFill="1" applyBorder="1" applyAlignment="1" applyProtection="1">
      <alignment vertical="center" wrapText="1"/>
    </xf>
    <xf numFmtId="0" fontId="40" fillId="6" borderId="52" xfId="7" applyFont="1" applyFill="1" applyBorder="1" applyAlignment="1" applyProtection="1">
      <alignment horizontal="center" vertical="center" wrapText="1"/>
    </xf>
    <xf numFmtId="3" fontId="15" fillId="0" borderId="4" xfId="9" applyNumberFormat="1" applyFont="1" applyFill="1" applyBorder="1" applyAlignment="1"/>
    <xf numFmtId="0" fontId="36" fillId="6" borderId="23" xfId="7" applyFont="1" applyFill="1" applyBorder="1" applyAlignment="1" applyProtection="1">
      <alignment horizontal="center" vertical="center" wrapText="1"/>
    </xf>
    <xf numFmtId="0" fontId="36" fillId="10" borderId="27" xfId="7" applyFont="1" applyFill="1" applyBorder="1" applyAlignment="1" applyProtection="1">
      <alignment horizontal="center" vertical="center" wrapText="1"/>
      <protection locked="0"/>
    </xf>
    <xf numFmtId="0" fontId="36" fillId="10" borderId="21" xfId="7" applyFont="1" applyFill="1" applyBorder="1" applyAlignment="1" applyProtection="1">
      <alignment horizontal="center" vertical="center" wrapText="1"/>
      <protection locked="0"/>
    </xf>
    <xf numFmtId="0" fontId="36" fillId="10" borderId="37" xfId="7" applyFont="1" applyFill="1" applyBorder="1" applyAlignment="1" applyProtection="1">
      <alignment horizontal="center" vertical="center" wrapText="1"/>
      <protection locked="0"/>
    </xf>
    <xf numFmtId="0" fontId="50" fillId="6" borderId="0" xfId="0" applyFont="1" applyFill="1" applyAlignment="1">
      <alignment horizontal="left" vertical="center" wrapText="1"/>
    </xf>
    <xf numFmtId="3" fontId="7" fillId="0" borderId="5" xfId="11" applyNumberFormat="1" applyFont="1" applyFill="1" applyBorder="1" applyAlignment="1">
      <alignment vertical="center"/>
    </xf>
    <xf numFmtId="3" fontId="44" fillId="0" borderId="5" xfId="11" applyNumberFormat="1" applyFont="1" applyFill="1" applyBorder="1" applyAlignment="1">
      <alignment vertical="center"/>
    </xf>
    <xf numFmtId="167" fontId="11" fillId="11" borderId="43" xfId="8" applyNumberFormat="1" applyFont="1" applyFill="1" applyBorder="1" applyAlignment="1" applyProtection="1">
      <alignment horizontal="center" vertical="center" wrapText="1"/>
    </xf>
    <xf numFmtId="167" fontId="11" fillId="11" borderId="44" xfId="8" applyNumberFormat="1" applyFont="1" applyFill="1" applyBorder="1" applyAlignment="1" applyProtection="1">
      <alignment horizontal="center" vertical="center" wrapText="1"/>
    </xf>
    <xf numFmtId="167" fontId="11" fillId="11" borderId="45" xfId="8" applyNumberFormat="1" applyFont="1" applyFill="1" applyBorder="1" applyAlignment="1" applyProtection="1">
      <alignment horizontal="center" vertical="center" wrapText="1"/>
    </xf>
    <xf numFmtId="0" fontId="12" fillId="2" borderId="17" xfId="7" applyFont="1" applyFill="1" applyBorder="1" applyAlignment="1" applyProtection="1">
      <alignment horizontal="center" vertical="center" wrapText="1"/>
    </xf>
    <xf numFmtId="0" fontId="12" fillId="2" borderId="18" xfId="7" applyFont="1" applyFill="1" applyBorder="1" applyAlignment="1" applyProtection="1">
      <alignment horizontal="center" vertical="center" wrapText="1"/>
    </xf>
    <xf numFmtId="0" fontId="12" fillId="2" borderId="38" xfId="7" applyFont="1" applyFill="1" applyBorder="1" applyAlignment="1" applyProtection="1">
      <alignment horizontal="center" vertical="center" wrapText="1"/>
    </xf>
    <xf numFmtId="0" fontId="12" fillId="2" borderId="25" xfId="7" applyFont="1" applyFill="1" applyBorder="1" applyAlignment="1" applyProtection="1">
      <alignment horizontal="center" vertical="center" wrapText="1"/>
    </xf>
    <xf numFmtId="0" fontId="12" fillId="2" borderId="39" xfId="7" applyFont="1" applyFill="1" applyBorder="1" applyAlignment="1" applyProtection="1">
      <alignment horizontal="center" vertical="center" wrapText="1"/>
    </xf>
    <xf numFmtId="0" fontId="12" fillId="2" borderId="40" xfId="7" applyFont="1" applyFill="1" applyBorder="1" applyAlignment="1" applyProtection="1">
      <alignment horizontal="center" vertical="center" wrapText="1"/>
    </xf>
    <xf numFmtId="0" fontId="12" fillId="2" borderId="24" xfId="7" applyFont="1" applyFill="1" applyBorder="1" applyAlignment="1" applyProtection="1">
      <alignment horizontal="center" vertical="center" wrapText="1"/>
    </xf>
    <xf numFmtId="0" fontId="12" fillId="2" borderId="31" xfId="7" applyFont="1" applyFill="1" applyBorder="1" applyAlignment="1" applyProtection="1">
      <alignment horizontal="center" vertical="center" wrapText="1"/>
    </xf>
    <xf numFmtId="0" fontId="12" fillId="2" borderId="32" xfId="7" applyFont="1" applyFill="1" applyBorder="1" applyAlignment="1" applyProtection="1">
      <alignment horizontal="center" vertical="center" wrapText="1"/>
    </xf>
    <xf numFmtId="0" fontId="12" fillId="2" borderId="16" xfId="7" applyFont="1" applyFill="1" applyBorder="1" applyAlignment="1" applyProtection="1">
      <alignment horizontal="center" vertical="center" wrapText="1"/>
    </xf>
    <xf numFmtId="0" fontId="12" fillId="2" borderId="41" xfId="7" applyFont="1" applyFill="1" applyBorder="1" applyAlignment="1" applyProtection="1">
      <alignment horizontal="center" vertical="center" wrapText="1"/>
    </xf>
    <xf numFmtId="0" fontId="12" fillId="2" borderId="0" xfId="7" applyFont="1" applyFill="1" applyBorder="1" applyAlignment="1" applyProtection="1">
      <alignment horizontal="center" vertical="center" wrapText="1"/>
    </xf>
    <xf numFmtId="0" fontId="12" fillId="2" borderId="42" xfId="7" applyFont="1" applyFill="1" applyBorder="1" applyAlignment="1" applyProtection="1">
      <alignment horizontal="center" vertical="center" wrapText="1"/>
    </xf>
    <xf numFmtId="0" fontId="36" fillId="2" borderId="16" xfId="7" applyFont="1" applyFill="1" applyBorder="1" applyAlignment="1" applyProtection="1">
      <alignment horizontal="center" vertical="center" wrapText="1"/>
      <protection locked="0"/>
    </xf>
    <xf numFmtId="0" fontId="36" fillId="2" borderId="21" xfId="7" applyFont="1" applyFill="1" applyBorder="1" applyAlignment="1" applyProtection="1">
      <alignment horizontal="center" vertical="center" wrapText="1"/>
      <protection locked="0"/>
    </xf>
    <xf numFmtId="0" fontId="19" fillId="9" borderId="17" xfId="7" applyFont="1" applyFill="1" applyBorder="1" applyAlignment="1" applyProtection="1">
      <alignment horizontal="center" vertical="center"/>
    </xf>
    <xf numFmtId="0" fontId="19" fillId="9" borderId="18" xfId="7" applyFont="1" applyFill="1" applyBorder="1" applyAlignment="1" applyProtection="1">
      <alignment horizontal="center" vertical="center"/>
    </xf>
    <xf numFmtId="0" fontId="19" fillId="9" borderId="28" xfId="7" applyFont="1" applyFill="1" applyBorder="1" applyAlignment="1" applyProtection="1">
      <alignment horizontal="center" vertical="center" wrapText="1"/>
    </xf>
    <xf numFmtId="0" fontId="19" fillId="9" borderId="29" xfId="7" applyFont="1" applyFill="1" applyBorder="1" applyAlignment="1" applyProtection="1">
      <alignment horizontal="center" vertical="center" wrapText="1"/>
    </xf>
    <xf numFmtId="0" fontId="19" fillId="9" borderId="21" xfId="7" applyFont="1" applyFill="1" applyBorder="1" applyAlignment="1" applyProtection="1">
      <alignment horizontal="center" vertical="center" wrapText="1"/>
    </xf>
    <xf numFmtId="0" fontId="19" fillId="9" borderId="39" xfId="7" applyFont="1" applyFill="1" applyBorder="1" applyAlignment="1" applyProtection="1">
      <alignment horizontal="center" vertical="center"/>
    </xf>
    <xf numFmtId="0" fontId="19" fillId="9" borderId="40" xfId="7" applyFont="1" applyFill="1" applyBorder="1" applyAlignment="1" applyProtection="1">
      <alignment horizontal="center" vertical="center"/>
    </xf>
    <xf numFmtId="0" fontId="19" fillId="9" borderId="24" xfId="7" applyFont="1" applyFill="1" applyBorder="1" applyAlignment="1" applyProtection="1">
      <alignment horizontal="center" vertical="center"/>
    </xf>
    <xf numFmtId="0" fontId="19" fillId="9" borderId="31" xfId="7" applyFont="1" applyFill="1" applyBorder="1" applyAlignment="1" applyProtection="1">
      <alignment horizontal="center" vertical="center"/>
    </xf>
    <xf numFmtId="0" fontId="19" fillId="9" borderId="32" xfId="7" applyFont="1" applyFill="1" applyBorder="1" applyAlignment="1" applyProtection="1">
      <alignment horizontal="center" vertical="center"/>
    </xf>
    <xf numFmtId="0" fontId="19" fillId="9" borderId="16" xfId="7" applyFont="1" applyFill="1" applyBorder="1" applyAlignment="1" applyProtection="1">
      <alignment horizontal="center" vertical="center"/>
    </xf>
    <xf numFmtId="0" fontId="12" fillId="2" borderId="33" xfId="7" applyFont="1" applyFill="1" applyBorder="1" applyAlignment="1" applyProtection="1">
      <alignment horizontal="center" vertical="center" wrapText="1"/>
    </xf>
    <xf numFmtId="0" fontId="12" fillId="2" borderId="34" xfId="7" applyFont="1" applyFill="1" applyBorder="1" applyAlignment="1" applyProtection="1">
      <alignment horizontal="center" vertical="center" wrapText="1"/>
    </xf>
    <xf numFmtId="0" fontId="11" fillId="0" borderId="0" xfId="7" applyFont="1" applyBorder="1" applyAlignment="1" applyProtection="1">
      <alignment horizontal="center"/>
    </xf>
    <xf numFmtId="0" fontId="12" fillId="2" borderId="10" xfId="7" applyFont="1" applyFill="1" applyBorder="1" applyAlignment="1" applyProtection="1">
      <alignment horizontal="center" vertical="center"/>
    </xf>
    <xf numFmtId="0" fontId="12" fillId="2" borderId="17" xfId="7" applyFont="1" applyFill="1" applyBorder="1" applyAlignment="1" applyProtection="1">
      <alignment horizontal="center" vertical="center"/>
    </xf>
    <xf numFmtId="0" fontId="12" fillId="2" borderId="11" xfId="7" applyFont="1" applyFill="1" applyBorder="1" applyAlignment="1" applyProtection="1">
      <alignment horizontal="center" vertical="center" wrapText="1"/>
    </xf>
    <xf numFmtId="0" fontId="12" fillId="8" borderId="11" xfId="7" applyFont="1" applyFill="1" applyBorder="1" applyAlignment="1" applyProtection="1">
      <alignment horizontal="center" vertical="center" wrapText="1"/>
    </xf>
    <xf numFmtId="0" fontId="12" fillId="8" borderId="18" xfId="7" applyFont="1" applyFill="1" applyBorder="1" applyAlignment="1" applyProtection="1">
      <alignment horizontal="center" vertical="center" wrapText="1"/>
    </xf>
    <xf numFmtId="0" fontId="12" fillId="8" borderId="12" xfId="7" applyFont="1" applyFill="1" applyBorder="1" applyAlignment="1" applyProtection="1">
      <alignment horizontal="center" vertical="center" wrapText="1"/>
    </xf>
    <xf numFmtId="0" fontId="12" fillId="8" borderId="19" xfId="7" applyFont="1" applyFill="1" applyBorder="1" applyAlignment="1" applyProtection="1">
      <alignment horizontal="center" vertical="center" wrapText="1"/>
    </xf>
    <xf numFmtId="0" fontId="12" fillId="8" borderId="13" xfId="7" applyFont="1" applyFill="1" applyBorder="1" applyAlignment="1" applyProtection="1">
      <alignment horizontal="center" vertical="center" wrapText="1"/>
    </xf>
    <xf numFmtId="0" fontId="12" fillId="8" borderId="14" xfId="7" applyFont="1" applyFill="1" applyBorder="1" applyAlignment="1" applyProtection="1">
      <alignment horizontal="center" vertical="center" wrapText="1"/>
    </xf>
    <xf numFmtId="0" fontId="12" fillId="8" borderId="15" xfId="7" applyFont="1" applyFill="1" applyBorder="1" applyAlignment="1" applyProtection="1">
      <alignment horizontal="center" vertical="center" wrapText="1"/>
    </xf>
    <xf numFmtId="0" fontId="12" fillId="8" borderId="20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3" borderId="6" xfId="9" applyFont="1" applyFill="1" applyBorder="1" applyAlignment="1">
      <alignment horizontal="center" vertical="center"/>
    </xf>
    <xf numFmtId="0" fontId="12" fillId="3" borderId="2" xfId="9" applyFont="1" applyFill="1" applyBorder="1" applyAlignment="1">
      <alignment horizontal="center" vertical="center"/>
    </xf>
    <xf numFmtId="0" fontId="23" fillId="0" borderId="30" xfId="0" applyFont="1" applyBorder="1" applyAlignment="1">
      <alignment horizontal="left" vertical="center" wrapText="1" readingOrder="1"/>
    </xf>
    <xf numFmtId="49" fontId="17" fillId="0" borderId="0" xfId="10" applyNumberFormat="1" applyFont="1" applyAlignment="1">
      <alignment horizontal="center" vertical="center" wrapText="1"/>
    </xf>
    <xf numFmtId="0" fontId="45" fillId="4" borderId="6" xfId="10" applyFont="1" applyFill="1" applyBorder="1" applyAlignment="1">
      <alignment horizontal="center" vertical="center" wrapText="1"/>
    </xf>
    <xf numFmtId="0" fontId="45" fillId="4" borderId="49" xfId="10" applyFont="1" applyFill="1" applyBorder="1" applyAlignment="1">
      <alignment horizontal="center" vertical="center" wrapText="1"/>
    </xf>
    <xf numFmtId="0" fontId="45" fillId="4" borderId="2" xfId="10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45" fillId="14" borderId="6" xfId="11" applyFont="1" applyFill="1" applyBorder="1" applyAlignment="1">
      <alignment horizontal="center" vertical="center" wrapText="1"/>
    </xf>
    <xf numFmtId="0" fontId="45" fillId="14" borderId="49" xfId="11" applyFont="1" applyFill="1" applyBorder="1" applyAlignment="1">
      <alignment horizontal="center" vertical="center" wrapText="1"/>
    </xf>
    <xf numFmtId="0" fontId="45" fillId="14" borderId="2" xfId="11" applyFont="1" applyFill="1" applyBorder="1" applyAlignment="1">
      <alignment horizontal="center" vertical="center" wrapText="1"/>
    </xf>
    <xf numFmtId="0" fontId="8" fillId="13" borderId="5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/>
    </xf>
    <xf numFmtId="44" fontId="8" fillId="2" borderId="5" xfId="12" applyFont="1" applyFill="1" applyBorder="1" applyAlignment="1">
      <alignment horizontal="center" vertical="center"/>
    </xf>
    <xf numFmtId="44" fontId="11" fillId="17" borderId="5" xfId="12" applyFont="1" applyFill="1" applyBorder="1" applyAlignment="1">
      <alignment horizontal="center"/>
    </xf>
    <xf numFmtId="0" fontId="19" fillId="0" borderId="0" xfId="7" applyFont="1" applyAlignment="1">
      <alignment horizontal="center" vertical="center" wrapText="1"/>
    </xf>
  </cellXfs>
  <cellStyles count="27">
    <cellStyle name="Normalny" xfId="0" builtinId="0"/>
    <cellStyle name="Normalny 10" xfId="3" xr:uid="{00000000-0005-0000-0000-000001000000}"/>
    <cellStyle name="Normalny 11" xfId="20" xr:uid="{00000000-0005-0000-0000-000002000000}"/>
    <cellStyle name="Normalny 12" xfId="21" xr:uid="{00000000-0005-0000-0000-000003000000}"/>
    <cellStyle name="Normalny 12 2" xfId="26" xr:uid="{00000000-0005-0000-0000-000004000000}"/>
    <cellStyle name="Normalny 13" xfId="24" xr:uid="{00000000-0005-0000-0000-000005000000}"/>
    <cellStyle name="Normalny 13 2" xfId="23" xr:uid="{00000000-0005-0000-0000-000006000000}"/>
    <cellStyle name="Normalny 2" xfId="1" xr:uid="{00000000-0005-0000-0000-000007000000}"/>
    <cellStyle name="Normalny 2 2" xfId="22" xr:uid="{00000000-0005-0000-0000-000008000000}"/>
    <cellStyle name="Normalny 2 2 2" xfId="7" xr:uid="{00000000-0005-0000-0000-000009000000}"/>
    <cellStyle name="Normalny 2 2 3" xfId="25" xr:uid="{00000000-0005-0000-0000-00000A000000}"/>
    <cellStyle name="Normalny 2 3" xfId="9" xr:uid="{00000000-0005-0000-0000-00000B000000}"/>
    <cellStyle name="Normalny 2 4" xfId="16" xr:uid="{00000000-0005-0000-0000-00000C000000}"/>
    <cellStyle name="Normalny 3" xfId="13" xr:uid="{00000000-0005-0000-0000-00000D000000}"/>
    <cellStyle name="Normalny 3 2" xfId="14" xr:uid="{00000000-0005-0000-0000-00000E000000}"/>
    <cellStyle name="Normalny 4" xfId="15" xr:uid="{00000000-0005-0000-0000-00000F000000}"/>
    <cellStyle name="Normalny 5" xfId="17" xr:uid="{00000000-0005-0000-0000-000010000000}"/>
    <cellStyle name="Normalny 6" xfId="2" xr:uid="{00000000-0005-0000-0000-000011000000}"/>
    <cellStyle name="Normalny 6 2" xfId="11" xr:uid="{00000000-0005-0000-0000-000012000000}"/>
    <cellStyle name="Normalny 6 3" xfId="10" xr:uid="{00000000-0005-0000-0000-000013000000}"/>
    <cellStyle name="Normalny 7" xfId="18" xr:uid="{00000000-0005-0000-0000-000014000000}"/>
    <cellStyle name="Normalny 7 2" xfId="5" xr:uid="{00000000-0005-0000-0000-000015000000}"/>
    <cellStyle name="Normalny 8" xfId="19" xr:uid="{00000000-0005-0000-0000-000016000000}"/>
    <cellStyle name="Normalny 8 2" xfId="4" xr:uid="{00000000-0005-0000-0000-000017000000}"/>
    <cellStyle name="Normalny 9" xfId="6" xr:uid="{00000000-0005-0000-0000-000018000000}"/>
    <cellStyle name="Walutowy 3 2 2" xfId="8" xr:uid="{00000000-0005-0000-0000-000019000000}"/>
    <cellStyle name="Walutowy 3 3" xfId="12" xr:uid="{00000000-0005-0000-0000-00001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70"/>
  <sheetViews>
    <sheetView tabSelected="1" topLeftCell="A36" zoomScale="93" zoomScaleNormal="93" workbookViewId="0">
      <selection activeCell="E46" sqref="E46"/>
    </sheetView>
  </sheetViews>
  <sheetFormatPr defaultColWidth="11.6640625" defaultRowHeight="12.75"/>
  <cols>
    <col min="1" max="1" width="5.6640625" style="39" customWidth="1"/>
    <col min="2" max="2" width="6.6640625" style="39" customWidth="1"/>
    <col min="3" max="3" width="9.33203125" style="40" customWidth="1"/>
    <col min="4" max="4" width="7.33203125" style="40" customWidth="1"/>
    <col min="5" max="5" width="81.1640625" style="41" customWidth="1"/>
    <col min="6" max="8" width="14.33203125" style="41" customWidth="1"/>
    <col min="9" max="9" width="12.5" style="41" customWidth="1"/>
    <col min="10" max="10" width="16.5" style="41" customWidth="1"/>
    <col min="11" max="11" width="29" style="42" customWidth="1"/>
    <col min="12" max="12" width="13.33203125" style="202" hidden="1" customWidth="1"/>
    <col min="13" max="13" width="15.5" style="216" bestFit="1" customWidth="1"/>
    <col min="14" max="14" width="13" style="217" bestFit="1" customWidth="1"/>
    <col min="15" max="15" width="17.1640625" style="217" customWidth="1"/>
    <col min="16" max="16" width="11.6640625" style="217"/>
    <col min="17" max="17" width="11.6640625" style="218"/>
    <col min="18" max="16384" width="11.6640625" style="41"/>
  </cols>
  <sheetData>
    <row r="1" spans="1:17" ht="12" customHeight="1"/>
    <row r="2" spans="1:17" ht="15.75" customHeight="1">
      <c r="A2" s="414" t="s">
        <v>139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7" ht="15" customHeight="1" thickBot="1">
      <c r="A3" s="44"/>
      <c r="B3" s="44"/>
      <c r="C3" s="45"/>
      <c r="D3" s="45"/>
      <c r="E3" s="46"/>
      <c r="F3" s="46"/>
      <c r="G3" s="46"/>
      <c r="H3" s="46"/>
      <c r="I3" s="46"/>
      <c r="J3" s="46"/>
      <c r="K3" s="47"/>
    </row>
    <row r="4" spans="1:17" ht="19.5" customHeight="1" thickBot="1">
      <c r="A4" s="415" t="s">
        <v>1</v>
      </c>
      <c r="B4" s="417" t="s">
        <v>0</v>
      </c>
      <c r="C4" s="418" t="s">
        <v>48</v>
      </c>
      <c r="D4" s="420" t="s">
        <v>31</v>
      </c>
      <c r="E4" s="418" t="s">
        <v>32</v>
      </c>
      <c r="F4" s="418" t="s">
        <v>33</v>
      </c>
      <c r="G4" s="422" t="s">
        <v>34</v>
      </c>
      <c r="H4" s="423"/>
      <c r="I4" s="423"/>
      <c r="J4" s="423"/>
      <c r="K4" s="424" t="s">
        <v>49</v>
      </c>
      <c r="L4" s="399"/>
    </row>
    <row r="5" spans="1:17" ht="95.25" customHeight="1" thickBot="1">
      <c r="A5" s="416"/>
      <c r="B5" s="387"/>
      <c r="C5" s="419"/>
      <c r="D5" s="421"/>
      <c r="E5" s="419"/>
      <c r="F5" s="419"/>
      <c r="G5" s="48" t="s">
        <v>50</v>
      </c>
      <c r="H5" s="48" t="s">
        <v>51</v>
      </c>
      <c r="I5" s="48" t="s">
        <v>52</v>
      </c>
      <c r="J5" s="48" t="s">
        <v>53</v>
      </c>
      <c r="K5" s="425"/>
      <c r="L5" s="400"/>
    </row>
    <row r="6" spans="1:17" s="54" customFormat="1" ht="15" customHeight="1" thickBot="1">
      <c r="A6" s="49" t="s">
        <v>2</v>
      </c>
      <c r="B6" s="50" t="s">
        <v>3</v>
      </c>
      <c r="C6" s="50" t="s">
        <v>4</v>
      </c>
      <c r="D6" s="50" t="s">
        <v>5</v>
      </c>
      <c r="E6" s="51" t="s">
        <v>6</v>
      </c>
      <c r="F6" s="50" t="s">
        <v>39</v>
      </c>
      <c r="G6" s="50" t="s">
        <v>38</v>
      </c>
      <c r="H6" s="50" t="s">
        <v>54</v>
      </c>
      <c r="I6" s="50" t="s">
        <v>37</v>
      </c>
      <c r="J6" s="50" t="s">
        <v>55</v>
      </c>
      <c r="K6" s="52" t="s">
        <v>56</v>
      </c>
      <c r="L6" s="50" t="s">
        <v>79</v>
      </c>
      <c r="M6" s="53"/>
      <c r="N6" s="190"/>
      <c r="O6" s="190"/>
      <c r="P6" s="190"/>
    </row>
    <row r="7" spans="1:17" s="57" customFormat="1" ht="27.95" customHeight="1" thickBot="1">
      <c r="A7" s="401" t="s">
        <v>57</v>
      </c>
      <c r="B7" s="402"/>
      <c r="C7" s="402"/>
      <c r="D7" s="402"/>
      <c r="E7" s="402"/>
      <c r="F7" s="55">
        <f>SUM(G7:J7)</f>
        <v>11380709</v>
      </c>
      <c r="G7" s="55">
        <f>SUM(G8:G12)</f>
        <v>221539</v>
      </c>
      <c r="H7" s="55">
        <f>SUM(H8:H12)</f>
        <v>1500000</v>
      </c>
      <c r="I7" s="55">
        <f>SUM(I8:I12)</f>
        <v>0</v>
      </c>
      <c r="J7" s="55">
        <f>4000000+159170+5500000</f>
        <v>9659170</v>
      </c>
      <c r="K7" s="56"/>
      <c r="L7" s="203"/>
      <c r="M7" s="66"/>
      <c r="N7" s="191"/>
      <c r="O7" s="191"/>
      <c r="P7" s="191"/>
      <c r="Q7" s="67"/>
    </row>
    <row r="8" spans="1:17" s="67" customFormat="1" ht="36.75" customHeight="1" thickBot="1">
      <c r="A8" s="58" t="s">
        <v>2</v>
      </c>
      <c r="B8" s="59">
        <v>600</v>
      </c>
      <c r="C8" s="59">
        <v>60014</v>
      </c>
      <c r="D8" s="59">
        <v>6050</v>
      </c>
      <c r="E8" s="60" t="s">
        <v>58</v>
      </c>
      <c r="F8" s="61">
        <f>4000000+100000</f>
        <v>4100000</v>
      </c>
      <c r="G8" s="62">
        <v>100000</v>
      </c>
      <c r="H8" s="62"/>
      <c r="I8" s="63"/>
      <c r="J8" s="64" t="s">
        <v>59</v>
      </c>
      <c r="K8" s="65"/>
      <c r="L8" s="119"/>
      <c r="M8" s="66"/>
      <c r="N8" s="191"/>
      <c r="O8" s="191"/>
      <c r="P8" s="191"/>
    </row>
    <row r="9" spans="1:17" s="67" customFormat="1" ht="31.5" customHeight="1" thickBot="1">
      <c r="A9" s="68" t="s">
        <v>3</v>
      </c>
      <c r="B9" s="69">
        <v>600</v>
      </c>
      <c r="C9" s="69">
        <v>60014</v>
      </c>
      <c r="D9" s="69">
        <v>6050</v>
      </c>
      <c r="E9" s="70" t="s">
        <v>60</v>
      </c>
      <c r="F9" s="61">
        <f>SUM(G9:I9)</f>
        <v>80000</v>
      </c>
      <c r="G9" s="62">
        <f>80000</f>
        <v>80000</v>
      </c>
      <c r="H9" s="62"/>
      <c r="I9" s="63"/>
      <c r="J9" s="64"/>
      <c r="K9" s="65"/>
      <c r="L9" s="115" t="s">
        <v>61</v>
      </c>
      <c r="M9" s="78"/>
      <c r="N9" s="191"/>
      <c r="O9" s="191"/>
      <c r="P9" s="191"/>
    </row>
    <row r="10" spans="1:17" s="67" customFormat="1" ht="45" customHeight="1" thickBot="1">
      <c r="A10" s="58" t="s">
        <v>4</v>
      </c>
      <c r="B10" s="69">
        <v>600</v>
      </c>
      <c r="C10" s="69">
        <v>60014</v>
      </c>
      <c r="D10" s="69">
        <v>6050</v>
      </c>
      <c r="E10" s="230" t="s">
        <v>62</v>
      </c>
      <c r="F10" s="61">
        <f>G10+159170</f>
        <v>194709</v>
      </c>
      <c r="G10" s="62">
        <f>5000+30539</f>
        <v>35539</v>
      </c>
      <c r="H10" s="62"/>
      <c r="I10" s="63"/>
      <c r="J10" s="64" t="s">
        <v>63</v>
      </c>
      <c r="K10" s="231"/>
      <c r="L10" s="115" t="s">
        <v>61</v>
      </c>
      <c r="M10" s="84"/>
      <c r="N10" s="43"/>
      <c r="O10" s="191"/>
      <c r="P10" s="191"/>
    </row>
    <row r="11" spans="1:17" s="67" customFormat="1" ht="45" customHeight="1" thickBot="1">
      <c r="A11" s="68" t="s">
        <v>5</v>
      </c>
      <c r="B11" s="69">
        <v>600</v>
      </c>
      <c r="C11" s="69">
        <v>60014</v>
      </c>
      <c r="D11" s="69">
        <v>6050</v>
      </c>
      <c r="E11" s="232" t="s">
        <v>64</v>
      </c>
      <c r="F11" s="71">
        <f>5500000+G11</f>
        <v>5506000</v>
      </c>
      <c r="G11" s="61">
        <v>6000</v>
      </c>
      <c r="H11" s="62"/>
      <c r="I11" s="63"/>
      <c r="J11" s="64" t="s">
        <v>135</v>
      </c>
      <c r="K11" s="231"/>
      <c r="L11" s="115" t="s">
        <v>61</v>
      </c>
      <c r="M11" s="84"/>
      <c r="N11" s="43"/>
      <c r="O11" s="191"/>
      <c r="P11" s="191"/>
    </row>
    <row r="12" spans="1:17" s="75" customFormat="1" ht="91.5" customHeight="1" thickBot="1">
      <c r="A12" s="58" t="s">
        <v>6</v>
      </c>
      <c r="B12" s="69">
        <v>600</v>
      </c>
      <c r="C12" s="69">
        <v>60014</v>
      </c>
      <c r="D12" s="69">
        <v>6300</v>
      </c>
      <c r="E12" s="72" t="s">
        <v>65</v>
      </c>
      <c r="F12" s="71">
        <f>SUM(G12:I12)</f>
        <v>1500000</v>
      </c>
      <c r="G12" s="71">
        <v>0</v>
      </c>
      <c r="H12" s="71">
        <v>1500000</v>
      </c>
      <c r="I12" s="73"/>
      <c r="J12" s="73"/>
      <c r="K12" s="74"/>
      <c r="L12" s="377" t="s">
        <v>61</v>
      </c>
      <c r="M12" s="81"/>
      <c r="N12" s="193"/>
      <c r="O12" s="193"/>
      <c r="P12" s="193"/>
      <c r="Q12" s="82"/>
    </row>
    <row r="13" spans="1:17" s="67" customFormat="1" ht="27.75" customHeight="1" thickBot="1">
      <c r="A13" s="403" t="s">
        <v>66</v>
      </c>
      <c r="B13" s="404"/>
      <c r="C13" s="404"/>
      <c r="D13" s="404"/>
      <c r="E13" s="405"/>
      <c r="F13" s="76">
        <f>SUM(G13:J13)</f>
        <v>246000</v>
      </c>
      <c r="G13" s="76">
        <f>SUM(G14:G14)</f>
        <v>49200</v>
      </c>
      <c r="H13" s="76">
        <f>SUM(H14:H14)</f>
        <v>0</v>
      </c>
      <c r="I13" s="76">
        <f>SUM(I14:I14)</f>
        <v>0</v>
      </c>
      <c r="J13" s="76">
        <f>150000+46800</f>
        <v>196800</v>
      </c>
      <c r="K13" s="56"/>
      <c r="L13" s="204"/>
      <c r="M13" s="66"/>
      <c r="N13" s="191"/>
      <c r="O13" s="191"/>
      <c r="P13" s="191"/>
    </row>
    <row r="14" spans="1:17" s="67" customFormat="1" ht="46.5" customHeight="1" thickBot="1">
      <c r="A14" s="68" t="s">
        <v>39</v>
      </c>
      <c r="B14" s="69">
        <v>600</v>
      </c>
      <c r="C14" s="69">
        <v>60014</v>
      </c>
      <c r="D14" s="69">
        <v>6050</v>
      </c>
      <c r="E14" s="233" t="s">
        <v>67</v>
      </c>
      <c r="F14" s="71">
        <f>196800+G14</f>
        <v>246000</v>
      </c>
      <c r="G14" s="62">
        <v>49200</v>
      </c>
      <c r="H14" s="62"/>
      <c r="I14" s="63"/>
      <c r="J14" s="64" t="s">
        <v>136</v>
      </c>
      <c r="K14" s="65"/>
      <c r="L14" s="115" t="s">
        <v>61</v>
      </c>
      <c r="M14" s="84"/>
      <c r="N14" s="43"/>
      <c r="O14" s="191"/>
      <c r="P14" s="191"/>
    </row>
    <row r="15" spans="1:17" s="79" customFormat="1" ht="27.95" customHeight="1" thickBot="1">
      <c r="A15" s="401" t="s">
        <v>68</v>
      </c>
      <c r="B15" s="402"/>
      <c r="C15" s="402"/>
      <c r="D15" s="402"/>
      <c r="E15" s="402"/>
      <c r="F15" s="55">
        <f>SUM(G15:J15)</f>
        <v>15088561</v>
      </c>
      <c r="G15" s="55">
        <f>SUM(G16:G20)</f>
        <v>637389</v>
      </c>
      <c r="H15" s="55">
        <f t="shared" ref="H15:I15" si="0">SUM(H16:H20)</f>
        <v>1963081</v>
      </c>
      <c r="I15" s="55">
        <f t="shared" si="0"/>
        <v>0</v>
      </c>
      <c r="J15" s="55">
        <f>159090+3300000+1000000+7852323-3322+180000</f>
        <v>12488091</v>
      </c>
      <c r="K15" s="77"/>
      <c r="L15" s="205"/>
      <c r="M15" s="84"/>
      <c r="N15" s="43"/>
      <c r="O15" s="192"/>
      <c r="P15" s="192"/>
    </row>
    <row r="16" spans="1:17" s="82" customFormat="1" ht="42" customHeight="1" thickBot="1">
      <c r="A16" s="68" t="s">
        <v>38</v>
      </c>
      <c r="B16" s="69">
        <v>600</v>
      </c>
      <c r="C16" s="69">
        <v>60014</v>
      </c>
      <c r="D16" s="69">
        <v>6050</v>
      </c>
      <c r="E16" s="234" t="s">
        <v>69</v>
      </c>
      <c r="F16" s="71">
        <f>G16+155768</f>
        <v>194710</v>
      </c>
      <c r="G16" s="62">
        <f>20000+18942</f>
        <v>38942</v>
      </c>
      <c r="H16" s="62"/>
      <c r="I16" s="63"/>
      <c r="J16" s="64" t="s">
        <v>137</v>
      </c>
      <c r="K16" s="80"/>
      <c r="L16" s="115" t="s">
        <v>61</v>
      </c>
      <c r="M16" s="219"/>
      <c r="N16" s="192"/>
      <c r="O16" s="215"/>
    </row>
    <row r="17" spans="1:17" s="82" customFormat="1" ht="42.75" customHeight="1" thickBot="1">
      <c r="A17" s="68" t="s">
        <v>54</v>
      </c>
      <c r="B17" s="69">
        <v>600</v>
      </c>
      <c r="C17" s="69">
        <v>60014</v>
      </c>
      <c r="D17" s="69">
        <v>6050</v>
      </c>
      <c r="E17" s="70" t="s">
        <v>71</v>
      </c>
      <c r="F17" s="71">
        <f>3480000</f>
        <v>3480000</v>
      </c>
      <c r="G17" s="62"/>
      <c r="H17" s="62"/>
      <c r="I17" s="63"/>
      <c r="J17" s="64" t="s">
        <v>138</v>
      </c>
      <c r="K17" s="65"/>
      <c r="L17" s="115" t="s">
        <v>61</v>
      </c>
      <c r="M17" s="84"/>
      <c r="N17" s="43"/>
      <c r="O17" s="43"/>
      <c r="P17" s="193"/>
    </row>
    <row r="18" spans="1:17" s="82" customFormat="1" ht="42.75" customHeight="1" thickBot="1">
      <c r="A18" s="68" t="s">
        <v>37</v>
      </c>
      <c r="B18" s="69">
        <v>600</v>
      </c>
      <c r="C18" s="69">
        <v>60014</v>
      </c>
      <c r="D18" s="69">
        <v>6050</v>
      </c>
      <c r="E18" s="70" t="s">
        <v>72</v>
      </c>
      <c r="F18" s="71">
        <f>1000000</f>
        <v>1000000</v>
      </c>
      <c r="G18" s="62"/>
      <c r="H18" s="62"/>
      <c r="I18" s="63"/>
      <c r="J18" s="64" t="s">
        <v>73</v>
      </c>
      <c r="K18" s="65"/>
      <c r="L18" s="115" t="s">
        <v>61</v>
      </c>
      <c r="M18" s="81"/>
      <c r="N18" s="193"/>
      <c r="O18" s="193"/>
      <c r="P18" s="193"/>
    </row>
    <row r="19" spans="1:17" s="82" customFormat="1" ht="42.75" customHeight="1" thickBot="1">
      <c r="A19" s="68" t="s">
        <v>55</v>
      </c>
      <c r="B19" s="69">
        <v>600</v>
      </c>
      <c r="C19" s="69">
        <v>60014</v>
      </c>
      <c r="D19" s="69">
        <v>6050</v>
      </c>
      <c r="E19" s="70" t="s">
        <v>74</v>
      </c>
      <c r="F19" s="71">
        <f>H19+7852323</f>
        <v>9815404</v>
      </c>
      <c r="G19" s="62">
        <v>0</v>
      </c>
      <c r="H19" s="62">
        <v>1963081</v>
      </c>
      <c r="I19" s="63"/>
      <c r="J19" s="64" t="s">
        <v>75</v>
      </c>
      <c r="K19" s="65"/>
      <c r="L19" s="201"/>
      <c r="M19" s="81"/>
      <c r="N19" s="193"/>
      <c r="O19" s="193"/>
      <c r="P19" s="193"/>
    </row>
    <row r="20" spans="1:17" s="82" customFormat="1" ht="46.5" customHeight="1" thickBot="1">
      <c r="A20" s="107" t="s">
        <v>56</v>
      </c>
      <c r="B20" s="243">
        <v>600</v>
      </c>
      <c r="C20" s="243">
        <v>60014</v>
      </c>
      <c r="D20" s="243">
        <v>6050</v>
      </c>
      <c r="E20" s="380" t="s">
        <v>274</v>
      </c>
      <c r="F20" s="244">
        <f>SUM(G20:I20)</f>
        <v>598447</v>
      </c>
      <c r="G20" s="239">
        <v>598447</v>
      </c>
      <c r="H20" s="239"/>
      <c r="I20" s="240"/>
      <c r="J20" s="241"/>
      <c r="K20" s="376"/>
      <c r="L20" s="115" t="s">
        <v>61</v>
      </c>
      <c r="M20" s="81"/>
      <c r="N20" s="193"/>
      <c r="O20" s="193"/>
      <c r="P20" s="193"/>
    </row>
    <row r="21" spans="1:17" s="85" customFormat="1" ht="27.95" customHeight="1" thickBot="1">
      <c r="A21" s="401" t="s">
        <v>76</v>
      </c>
      <c r="B21" s="402"/>
      <c r="C21" s="402"/>
      <c r="D21" s="402"/>
      <c r="E21" s="402"/>
      <c r="F21" s="55">
        <f>SUM(G21:J21)</f>
        <v>1082529</v>
      </c>
      <c r="G21" s="55">
        <f>SUM(G22:G24)</f>
        <v>423439</v>
      </c>
      <c r="H21" s="55">
        <f>SUM(H22:H24)</f>
        <v>0</v>
      </c>
      <c r="I21" s="55">
        <f>SUM(I22:I24)</f>
        <v>0</v>
      </c>
      <c r="J21" s="83">
        <f>159090+300000+199500+500</f>
        <v>659090</v>
      </c>
      <c r="K21" s="56"/>
      <c r="L21" s="118"/>
      <c r="M21" s="84"/>
      <c r="N21" s="43"/>
      <c r="O21" s="43"/>
      <c r="P21" s="43"/>
    </row>
    <row r="22" spans="1:17" s="67" customFormat="1" ht="30.75" customHeight="1" thickBot="1">
      <c r="A22" s="68" t="s">
        <v>79</v>
      </c>
      <c r="B22" s="86">
        <v>600</v>
      </c>
      <c r="C22" s="87">
        <v>60014</v>
      </c>
      <c r="D22" s="87">
        <v>6050</v>
      </c>
      <c r="E22" s="88" t="s">
        <v>77</v>
      </c>
      <c r="F22" s="89">
        <f>G22+300000</f>
        <v>600000</v>
      </c>
      <c r="G22" s="62">
        <v>300000</v>
      </c>
      <c r="H22" s="62"/>
      <c r="I22" s="63"/>
      <c r="J22" s="64" t="s">
        <v>78</v>
      </c>
      <c r="K22" s="65"/>
      <c r="L22" s="201"/>
      <c r="M22" s="66"/>
      <c r="N22" s="191"/>
      <c r="O22" s="191"/>
      <c r="P22" s="191"/>
    </row>
    <row r="23" spans="1:17" s="67" customFormat="1" ht="45.75" customHeight="1" thickBot="1">
      <c r="A23" s="68" t="s">
        <v>81</v>
      </c>
      <c r="B23" s="86">
        <v>600</v>
      </c>
      <c r="C23" s="87">
        <v>60014</v>
      </c>
      <c r="D23" s="87">
        <v>6050</v>
      </c>
      <c r="E23" s="70" t="s">
        <v>80</v>
      </c>
      <c r="F23" s="89">
        <f>G23+159090</f>
        <v>194709</v>
      </c>
      <c r="G23" s="62">
        <f>20000+15619</f>
        <v>35619</v>
      </c>
      <c r="H23" s="62"/>
      <c r="I23" s="63"/>
      <c r="J23" s="64" t="s">
        <v>70</v>
      </c>
      <c r="K23" s="80"/>
      <c r="L23" s="115" t="s">
        <v>61</v>
      </c>
      <c r="M23" s="84"/>
      <c r="N23" s="43"/>
      <c r="O23" s="191"/>
      <c r="P23" s="191"/>
    </row>
    <row r="24" spans="1:17" s="67" customFormat="1" ht="43.5" customHeight="1" thickBot="1">
      <c r="A24" s="107" t="s">
        <v>84</v>
      </c>
      <c r="B24" s="235">
        <v>600</v>
      </c>
      <c r="C24" s="236">
        <v>60014</v>
      </c>
      <c r="D24" s="236">
        <v>6050</v>
      </c>
      <c r="E24" s="237" t="s">
        <v>82</v>
      </c>
      <c r="F24" s="238">
        <f>SUM(G24:I24)+200000</f>
        <v>287820</v>
      </c>
      <c r="G24" s="239">
        <f>49500+38820-500</f>
        <v>87820</v>
      </c>
      <c r="H24" s="239"/>
      <c r="I24" s="240"/>
      <c r="J24" s="241" t="s">
        <v>141</v>
      </c>
      <c r="K24" s="242"/>
      <c r="L24" s="115" t="s">
        <v>61</v>
      </c>
      <c r="M24" s="66"/>
      <c r="N24" s="191"/>
      <c r="O24" s="191"/>
      <c r="P24" s="191"/>
    </row>
    <row r="25" spans="1:17" s="91" customFormat="1" ht="27.95" customHeight="1" thickBot="1">
      <c r="A25" s="401" t="s">
        <v>83</v>
      </c>
      <c r="B25" s="402"/>
      <c r="C25" s="402"/>
      <c r="D25" s="402"/>
      <c r="E25" s="402"/>
      <c r="F25" s="55">
        <f>SUM(G25:J25)</f>
        <v>329090</v>
      </c>
      <c r="G25" s="55">
        <f>SUM(G26:G27)</f>
        <v>170000</v>
      </c>
      <c r="H25" s="55">
        <f>SUM(H26:H27)</f>
        <v>0</v>
      </c>
      <c r="I25" s="55">
        <f>SUM(I26:I27)</f>
        <v>0</v>
      </c>
      <c r="J25" s="83">
        <f>159090</f>
        <v>159090</v>
      </c>
      <c r="K25" s="56"/>
      <c r="L25" s="204"/>
      <c r="M25" s="78"/>
      <c r="N25" s="192"/>
      <c r="O25" s="192"/>
      <c r="P25" s="192"/>
      <c r="Q25" s="79"/>
    </row>
    <row r="26" spans="1:17" s="101" customFormat="1" ht="45.75" customHeight="1" thickBot="1">
      <c r="A26" s="92" t="s">
        <v>86</v>
      </c>
      <c r="B26" s="93">
        <v>600</v>
      </c>
      <c r="C26" s="93">
        <v>60014</v>
      </c>
      <c r="D26" s="93">
        <v>6050</v>
      </c>
      <c r="E26" s="94" t="s">
        <v>85</v>
      </c>
      <c r="F26" s="95">
        <f t="shared" ref="F26" si="1">G26</f>
        <v>150000</v>
      </c>
      <c r="G26" s="96">
        <v>150000</v>
      </c>
      <c r="H26" s="96"/>
      <c r="I26" s="97"/>
      <c r="J26" s="98"/>
      <c r="K26" s="99"/>
      <c r="L26" s="115" t="s">
        <v>61</v>
      </c>
      <c r="M26" s="100"/>
      <c r="N26" s="194"/>
      <c r="O26" s="194"/>
      <c r="P26" s="194"/>
    </row>
    <row r="27" spans="1:17" s="105" customFormat="1" ht="54.75" customHeight="1" thickBot="1">
      <c r="A27" s="68" t="s">
        <v>90</v>
      </c>
      <c r="B27" s="102">
        <v>600</v>
      </c>
      <c r="C27" s="102">
        <v>60014</v>
      </c>
      <c r="D27" s="102">
        <v>6050</v>
      </c>
      <c r="E27" s="103" t="s">
        <v>87</v>
      </c>
      <c r="F27" s="71">
        <f>G27+159090</f>
        <v>179090</v>
      </c>
      <c r="G27" s="62">
        <v>20000</v>
      </c>
      <c r="H27" s="62"/>
      <c r="I27" s="63"/>
      <c r="J27" s="64" t="s">
        <v>70</v>
      </c>
      <c r="K27" s="80"/>
      <c r="L27" s="115" t="s">
        <v>61</v>
      </c>
      <c r="M27" s="104"/>
      <c r="N27" s="195"/>
      <c r="O27" s="195"/>
      <c r="P27" s="195"/>
    </row>
    <row r="28" spans="1:17" s="75" customFormat="1" ht="27.95" hidden="1" customHeight="1" thickBot="1">
      <c r="A28" s="406" t="s">
        <v>88</v>
      </c>
      <c r="B28" s="407"/>
      <c r="C28" s="407"/>
      <c r="D28" s="407"/>
      <c r="E28" s="408"/>
      <c r="F28" s="83">
        <f>SUM(G28:J28)</f>
        <v>0</v>
      </c>
      <c r="G28" s="83">
        <f>SUM(G29:G29)</f>
        <v>0</v>
      </c>
      <c r="H28" s="76">
        <f>SUM(H29:H29)</f>
        <v>0</v>
      </c>
      <c r="I28" s="106">
        <f>SUM(I29:I29)</f>
        <v>0</v>
      </c>
      <c r="J28" s="83"/>
      <c r="K28" s="90"/>
      <c r="L28" s="119"/>
      <c r="M28" s="81"/>
      <c r="N28" s="193"/>
      <c r="O28" s="193"/>
      <c r="P28" s="193"/>
      <c r="Q28" s="82"/>
    </row>
    <row r="29" spans="1:17" s="116" customFormat="1" ht="34.5" hidden="1" customHeight="1" thickBot="1">
      <c r="A29" s="107"/>
      <c r="B29" s="108"/>
      <c r="C29" s="108"/>
      <c r="D29" s="108"/>
      <c r="E29" s="109"/>
      <c r="F29" s="110"/>
      <c r="G29" s="111"/>
      <c r="H29" s="111"/>
      <c r="I29" s="112"/>
      <c r="J29" s="113"/>
      <c r="K29" s="114"/>
      <c r="L29" s="115" t="s">
        <v>61</v>
      </c>
      <c r="M29" s="220"/>
      <c r="N29" s="202"/>
      <c r="O29" s="202"/>
      <c r="P29" s="202"/>
      <c r="Q29" s="221"/>
    </row>
    <row r="30" spans="1:17" s="75" customFormat="1" ht="27.95" customHeight="1" thickBot="1">
      <c r="A30" s="401" t="s">
        <v>89</v>
      </c>
      <c r="B30" s="402"/>
      <c r="C30" s="402"/>
      <c r="D30" s="402"/>
      <c r="E30" s="402"/>
      <c r="F30" s="55">
        <f>SUM(G30:J30)</f>
        <v>1000000</v>
      </c>
      <c r="G30" s="55">
        <f>SUM(G31:G31)</f>
        <v>1000000</v>
      </c>
      <c r="H30" s="55">
        <f>SUM(H31:H31)</f>
        <v>0</v>
      </c>
      <c r="I30" s="55">
        <f>SUM(I31:I31)</f>
        <v>0</v>
      </c>
      <c r="J30" s="83"/>
      <c r="K30" s="117"/>
      <c r="L30" s="118"/>
      <c r="M30" s="81"/>
      <c r="N30" s="193"/>
      <c r="O30" s="193"/>
      <c r="P30" s="193"/>
      <c r="Q30" s="82"/>
    </row>
    <row r="31" spans="1:17" s="67" customFormat="1" ht="39" customHeight="1" thickBot="1">
      <c r="A31" s="68" t="s">
        <v>93</v>
      </c>
      <c r="B31" s="102">
        <v>600</v>
      </c>
      <c r="C31" s="102">
        <v>60014</v>
      </c>
      <c r="D31" s="102">
        <v>6050</v>
      </c>
      <c r="E31" s="103" t="s">
        <v>91</v>
      </c>
      <c r="F31" s="71">
        <f>G31</f>
        <v>1000000</v>
      </c>
      <c r="G31" s="62">
        <v>1000000</v>
      </c>
      <c r="H31" s="62"/>
      <c r="I31" s="63"/>
      <c r="J31" s="64"/>
      <c r="K31" s="65"/>
      <c r="L31" s="119"/>
      <c r="M31" s="66"/>
      <c r="N31" s="191"/>
      <c r="O31" s="191"/>
      <c r="P31" s="191"/>
    </row>
    <row r="32" spans="1:17" s="82" customFormat="1" ht="27.95" customHeight="1" thickBot="1">
      <c r="A32" s="401" t="s">
        <v>92</v>
      </c>
      <c r="B32" s="402"/>
      <c r="C32" s="402"/>
      <c r="D32" s="402"/>
      <c r="E32" s="402"/>
      <c r="F32" s="55">
        <f>SUM(G32:J32)</f>
        <v>3520252</v>
      </c>
      <c r="G32" s="55">
        <f>SUM(G33:G34)</f>
        <v>944051</v>
      </c>
      <c r="H32" s="55">
        <f>SUM(H33:H34)</f>
        <v>0</v>
      </c>
      <c r="I32" s="55">
        <f>SUM(I33:I34)</f>
        <v>0</v>
      </c>
      <c r="J32" s="83">
        <f>2576201</f>
        <v>2576201</v>
      </c>
      <c r="K32" s="77"/>
      <c r="L32" s="118"/>
      <c r="M32" s="81"/>
      <c r="N32" s="193"/>
      <c r="O32" s="193"/>
      <c r="P32" s="193"/>
    </row>
    <row r="33" spans="1:17" s="82" customFormat="1" ht="39.75" customHeight="1" thickBot="1">
      <c r="A33" s="68" t="s">
        <v>95</v>
      </c>
      <c r="B33" s="69">
        <v>600</v>
      </c>
      <c r="C33" s="69">
        <v>60014</v>
      </c>
      <c r="D33" s="69">
        <v>6050</v>
      </c>
      <c r="E33" s="120" t="s">
        <v>94</v>
      </c>
      <c r="F33" s="71">
        <f>SUM(G33:I33)</f>
        <v>300000</v>
      </c>
      <c r="G33" s="62">
        <v>300000</v>
      </c>
      <c r="H33" s="62"/>
      <c r="I33" s="63"/>
      <c r="J33" s="64"/>
      <c r="K33" s="65"/>
      <c r="L33" s="115" t="s">
        <v>61</v>
      </c>
      <c r="M33" s="81"/>
      <c r="N33" s="193"/>
      <c r="O33" s="193"/>
      <c r="P33" s="193"/>
    </row>
    <row r="34" spans="1:17" s="82" customFormat="1" ht="45" customHeight="1" thickBot="1">
      <c r="A34" s="68" t="s">
        <v>98</v>
      </c>
      <c r="B34" s="69">
        <v>600</v>
      </c>
      <c r="C34" s="69">
        <v>60014</v>
      </c>
      <c r="D34" s="69">
        <v>6050</v>
      </c>
      <c r="E34" s="121" t="s">
        <v>96</v>
      </c>
      <c r="F34" s="71">
        <f>G34+2576201</f>
        <v>3220252</v>
      </c>
      <c r="G34" s="62">
        <v>644051</v>
      </c>
      <c r="H34" s="62"/>
      <c r="I34" s="63"/>
      <c r="J34" s="64" t="s">
        <v>97</v>
      </c>
      <c r="K34" s="74"/>
      <c r="L34" s="201"/>
      <c r="M34" s="81"/>
      <c r="N34" s="193"/>
      <c r="O34" s="193"/>
      <c r="P34" s="193"/>
    </row>
    <row r="35" spans="1:17" s="125" customFormat="1" ht="27.95" customHeight="1" thickBot="1">
      <c r="A35" s="409"/>
      <c r="B35" s="410"/>
      <c r="C35" s="410"/>
      <c r="D35" s="410"/>
      <c r="E35" s="411"/>
      <c r="F35" s="122">
        <f>SUM(G35:J35)</f>
        <v>4303368</v>
      </c>
      <c r="G35" s="122">
        <f>SUM(G36:G37)</f>
        <v>503368</v>
      </c>
      <c r="H35" s="122">
        <f t="shared" ref="H35:I35" si="2">SUM(H36:H37)</f>
        <v>0</v>
      </c>
      <c r="I35" s="122">
        <f t="shared" si="2"/>
        <v>0</v>
      </c>
      <c r="J35" s="122">
        <v>3800000</v>
      </c>
      <c r="K35" s="123"/>
      <c r="L35" s="206"/>
      <c r="M35" s="124"/>
      <c r="N35" s="196"/>
      <c r="O35" s="196"/>
      <c r="P35" s="196"/>
    </row>
    <row r="36" spans="1:17" s="125" customFormat="1" ht="55.5" customHeight="1" thickBot="1">
      <c r="A36" s="58" t="s">
        <v>101</v>
      </c>
      <c r="B36" s="126">
        <v>600</v>
      </c>
      <c r="C36" s="126">
        <v>60014</v>
      </c>
      <c r="D36" s="126">
        <v>6050</v>
      </c>
      <c r="E36" s="200" t="s">
        <v>99</v>
      </c>
      <c r="F36" s="127">
        <f>G36+3800000</f>
        <v>4000000</v>
      </c>
      <c r="G36" s="127">
        <v>200000</v>
      </c>
      <c r="H36" s="127"/>
      <c r="I36" s="127"/>
      <c r="J36" s="128" t="s">
        <v>100</v>
      </c>
      <c r="K36" s="129"/>
      <c r="L36" s="115" t="s">
        <v>61</v>
      </c>
      <c r="M36" s="124"/>
      <c r="N36" s="196"/>
      <c r="O36" s="196"/>
      <c r="P36" s="196"/>
    </row>
    <row r="37" spans="1:17" s="75" customFormat="1" ht="30" customHeight="1" thickBot="1">
      <c r="A37" s="58" t="s">
        <v>104</v>
      </c>
      <c r="B37" s="126">
        <v>600</v>
      </c>
      <c r="C37" s="126">
        <v>60014</v>
      </c>
      <c r="D37" s="126">
        <v>6060</v>
      </c>
      <c r="E37" s="130" t="s">
        <v>102</v>
      </c>
      <c r="F37" s="127">
        <f>SUM(G37:I37)</f>
        <v>303368</v>
      </c>
      <c r="G37" s="127">
        <f>233368+70000</f>
        <v>303368</v>
      </c>
      <c r="H37" s="127"/>
      <c r="I37" s="131"/>
      <c r="J37" s="132"/>
      <c r="K37" s="133"/>
      <c r="L37" s="134"/>
      <c r="M37" s="81"/>
      <c r="N37" s="193"/>
      <c r="O37" s="193"/>
      <c r="P37" s="193"/>
      <c r="Q37" s="82"/>
    </row>
    <row r="38" spans="1:17" s="79" customFormat="1" ht="35.1" customHeight="1" thickBot="1">
      <c r="A38" s="412" t="s">
        <v>103</v>
      </c>
      <c r="B38" s="413"/>
      <c r="C38" s="413"/>
      <c r="D38" s="413"/>
      <c r="E38" s="413"/>
      <c r="F38" s="135">
        <f>SUM(F7,F13,F15,F21,F25,F28,F30,F32,F35)</f>
        <v>36950509</v>
      </c>
      <c r="G38" s="135">
        <f>SUM(G7,G13,G15,G21,G25,G28,G30,G32,G35)</f>
        <v>3948986</v>
      </c>
      <c r="H38" s="135">
        <f>SUM(H7,H13,H15,H21,H25,H28,H30,H32,H35)</f>
        <v>3463081</v>
      </c>
      <c r="I38" s="135">
        <f>SUM(I7,I13,I15,I21,I25,I28,I30,I32,I35)</f>
        <v>0</v>
      </c>
      <c r="J38" s="135">
        <f>SUM(J7,J13,J15,J21,J25,J28,J30,J32,J35)</f>
        <v>29538442</v>
      </c>
      <c r="K38" s="136"/>
      <c r="L38" s="207"/>
      <c r="M38" s="78"/>
      <c r="N38" s="197"/>
      <c r="O38" s="197"/>
      <c r="P38" s="192"/>
    </row>
    <row r="39" spans="1:17" s="105" customFormat="1" ht="37.5" customHeight="1" thickBot="1">
      <c r="A39" s="370" t="s">
        <v>106</v>
      </c>
      <c r="B39" s="371">
        <v>710</v>
      </c>
      <c r="C39" s="371">
        <v>71012</v>
      </c>
      <c r="D39" s="371">
        <v>6060</v>
      </c>
      <c r="E39" s="372" t="s">
        <v>271</v>
      </c>
      <c r="F39" s="373">
        <v>50000</v>
      </c>
      <c r="G39" s="373">
        <v>50000</v>
      </c>
      <c r="H39" s="373"/>
      <c r="I39" s="373"/>
      <c r="J39" s="373"/>
      <c r="K39" s="374"/>
      <c r="L39" s="207"/>
      <c r="M39" s="104"/>
      <c r="N39" s="369"/>
      <c r="O39" s="369"/>
      <c r="P39" s="195"/>
    </row>
    <row r="40" spans="1:17" s="79" customFormat="1" ht="35.1" customHeight="1" thickBot="1">
      <c r="A40" s="393" t="s">
        <v>272</v>
      </c>
      <c r="B40" s="394"/>
      <c r="C40" s="394"/>
      <c r="D40" s="394"/>
      <c r="E40" s="395"/>
      <c r="F40" s="135">
        <f>SUM(F39)</f>
        <v>50000</v>
      </c>
      <c r="G40" s="135">
        <f>SUM(G39)</f>
        <v>50000</v>
      </c>
      <c r="H40" s="135">
        <f t="shared" ref="H40:J40" si="3">SUM(H39)</f>
        <v>0</v>
      </c>
      <c r="I40" s="135">
        <f t="shared" si="3"/>
        <v>0</v>
      </c>
      <c r="J40" s="135">
        <f t="shared" si="3"/>
        <v>0</v>
      </c>
      <c r="K40" s="136"/>
      <c r="L40" s="207"/>
      <c r="M40" s="78"/>
      <c r="N40" s="197"/>
      <c r="O40" s="197"/>
      <c r="P40" s="192"/>
    </row>
    <row r="41" spans="1:17" s="82" customFormat="1" ht="45" customHeight="1" thickBot="1">
      <c r="A41" s="137" t="s">
        <v>108</v>
      </c>
      <c r="B41" s="69">
        <v>710</v>
      </c>
      <c r="C41" s="69">
        <v>71095</v>
      </c>
      <c r="D41" s="69">
        <v>6639</v>
      </c>
      <c r="E41" s="72" t="s">
        <v>44</v>
      </c>
      <c r="F41" s="71">
        <f>G41</f>
        <v>53618</v>
      </c>
      <c r="G41" s="71">
        <v>53618</v>
      </c>
      <c r="H41" s="71"/>
      <c r="I41" s="71"/>
      <c r="J41" s="71"/>
      <c r="K41" s="65"/>
      <c r="L41" s="378" t="s">
        <v>61</v>
      </c>
      <c r="M41" s="81"/>
      <c r="N41" s="193"/>
      <c r="O41" s="193"/>
      <c r="P41" s="193"/>
    </row>
    <row r="42" spans="1:17" s="79" customFormat="1" ht="35.1" customHeight="1" thickBot="1">
      <c r="A42" s="393" t="s">
        <v>105</v>
      </c>
      <c r="B42" s="394"/>
      <c r="C42" s="394"/>
      <c r="D42" s="394"/>
      <c r="E42" s="395"/>
      <c r="F42" s="138">
        <f>SUM(F41)</f>
        <v>53618</v>
      </c>
      <c r="G42" s="138">
        <f>SUM(G41)</f>
        <v>53618</v>
      </c>
      <c r="H42" s="138">
        <f t="shared" ref="H42:J42" si="4">SUM(H41)</f>
        <v>0</v>
      </c>
      <c r="I42" s="138">
        <f t="shared" si="4"/>
        <v>0</v>
      </c>
      <c r="J42" s="138">
        <f t="shared" si="4"/>
        <v>0</v>
      </c>
      <c r="K42" s="139"/>
      <c r="L42" s="208"/>
      <c r="M42" s="78"/>
      <c r="N42" s="192"/>
      <c r="O42" s="192"/>
      <c r="P42" s="192"/>
    </row>
    <row r="43" spans="1:17" s="67" customFormat="1" ht="57.75" customHeight="1" thickBot="1">
      <c r="A43" s="140" t="s">
        <v>111</v>
      </c>
      <c r="B43" s="141">
        <v>750</v>
      </c>
      <c r="C43" s="141">
        <v>75020</v>
      </c>
      <c r="D43" s="141">
        <v>6050</v>
      </c>
      <c r="E43" s="142" t="s">
        <v>107</v>
      </c>
      <c r="F43" s="143">
        <f t="shared" ref="F43:F44" si="5">SUM(G43:H43)</f>
        <v>240000</v>
      </c>
      <c r="G43" s="143">
        <v>240000</v>
      </c>
      <c r="H43" s="143"/>
      <c r="I43" s="144"/>
      <c r="J43" s="144"/>
      <c r="K43" s="145"/>
      <c r="L43" s="115" t="s">
        <v>61</v>
      </c>
      <c r="M43" s="66"/>
      <c r="N43" s="191"/>
      <c r="O43" s="191"/>
      <c r="P43" s="191"/>
    </row>
    <row r="44" spans="1:17" s="67" customFormat="1" ht="36.75" customHeight="1" thickBot="1">
      <c r="A44" s="137" t="s">
        <v>114</v>
      </c>
      <c r="B44" s="69">
        <v>750</v>
      </c>
      <c r="C44" s="69">
        <v>75020</v>
      </c>
      <c r="D44" s="69">
        <v>6060</v>
      </c>
      <c r="E44" s="72" t="s">
        <v>109</v>
      </c>
      <c r="F44" s="71">
        <f t="shared" si="5"/>
        <v>130000</v>
      </c>
      <c r="G44" s="71">
        <v>130000</v>
      </c>
      <c r="H44" s="71"/>
      <c r="I44" s="63"/>
      <c r="J44" s="63"/>
      <c r="K44" s="65"/>
      <c r="L44" s="146"/>
      <c r="M44" s="66"/>
      <c r="N44" s="191"/>
      <c r="O44" s="191"/>
      <c r="P44" s="191"/>
    </row>
    <row r="45" spans="1:17" s="105" customFormat="1" ht="35.25" customHeight="1" thickBot="1">
      <c r="A45" s="386" t="s">
        <v>110</v>
      </c>
      <c r="B45" s="387"/>
      <c r="C45" s="387"/>
      <c r="D45" s="387"/>
      <c r="E45" s="387"/>
      <c r="F45" s="147">
        <f t="shared" ref="F45:K45" si="6">SUM(F43:F44)</f>
        <v>370000</v>
      </c>
      <c r="G45" s="147">
        <f t="shared" si="6"/>
        <v>370000</v>
      </c>
      <c r="H45" s="147">
        <f t="shared" si="6"/>
        <v>0</v>
      </c>
      <c r="I45" s="147">
        <f t="shared" si="6"/>
        <v>0</v>
      </c>
      <c r="J45" s="147">
        <f t="shared" si="6"/>
        <v>0</v>
      </c>
      <c r="K45" s="148">
        <f t="shared" si="6"/>
        <v>0</v>
      </c>
      <c r="L45" s="209"/>
      <c r="M45" s="104"/>
      <c r="N45" s="195"/>
      <c r="O45" s="195"/>
      <c r="P45" s="195"/>
    </row>
    <row r="46" spans="1:17" s="105" customFormat="1" ht="39.75" customHeight="1" thickBot="1">
      <c r="A46" s="366" t="s">
        <v>116</v>
      </c>
      <c r="B46" s="243">
        <v>754</v>
      </c>
      <c r="C46" s="243">
        <v>75410</v>
      </c>
      <c r="D46" s="243">
        <v>6170</v>
      </c>
      <c r="E46" s="367" t="s">
        <v>276</v>
      </c>
      <c r="F46" s="244">
        <f>G46</f>
        <v>40000</v>
      </c>
      <c r="G46" s="244">
        <v>40000</v>
      </c>
      <c r="H46" s="244"/>
      <c r="I46" s="244"/>
      <c r="J46" s="244"/>
      <c r="K46" s="368"/>
      <c r="L46" s="209"/>
      <c r="M46" s="104"/>
      <c r="N46" s="195"/>
      <c r="O46" s="195"/>
      <c r="P46" s="195"/>
    </row>
    <row r="47" spans="1:17" s="105" customFormat="1" ht="35.25" customHeight="1" thickBot="1">
      <c r="A47" s="390" t="s">
        <v>269</v>
      </c>
      <c r="B47" s="391"/>
      <c r="C47" s="391"/>
      <c r="D47" s="391"/>
      <c r="E47" s="392"/>
      <c r="F47" s="147">
        <f>SUM(F46)</f>
        <v>40000</v>
      </c>
      <c r="G47" s="147">
        <f>SUM(G46)</f>
        <v>40000</v>
      </c>
      <c r="H47" s="147">
        <f t="shared" ref="H47:J47" si="7">SUM(H46)</f>
        <v>0</v>
      </c>
      <c r="I47" s="147">
        <f t="shared" si="7"/>
        <v>0</v>
      </c>
      <c r="J47" s="147">
        <f t="shared" si="7"/>
        <v>0</v>
      </c>
      <c r="K47" s="148"/>
      <c r="L47" s="209"/>
      <c r="M47" s="104"/>
      <c r="N47" s="195"/>
      <c r="O47" s="195"/>
      <c r="P47" s="195"/>
    </row>
    <row r="48" spans="1:17" s="150" customFormat="1" ht="34.5" customHeight="1" thickBot="1">
      <c r="A48" s="137" t="s">
        <v>118</v>
      </c>
      <c r="B48" s="69">
        <v>758</v>
      </c>
      <c r="C48" s="69">
        <v>75818</v>
      </c>
      <c r="D48" s="69">
        <v>6800</v>
      </c>
      <c r="E48" s="72" t="s">
        <v>112</v>
      </c>
      <c r="F48" s="71">
        <f>G48</f>
        <v>500000</v>
      </c>
      <c r="G48" s="71">
        <v>500000</v>
      </c>
      <c r="H48" s="71"/>
      <c r="I48" s="63"/>
      <c r="J48" s="63"/>
      <c r="K48" s="65"/>
      <c r="L48" s="146"/>
      <c r="M48" s="149"/>
      <c r="N48" s="198"/>
      <c r="O48" s="198"/>
      <c r="P48" s="198"/>
    </row>
    <row r="49" spans="1:17" s="82" customFormat="1" ht="35.1" customHeight="1" thickBot="1">
      <c r="A49" s="388" t="s">
        <v>113</v>
      </c>
      <c r="B49" s="389"/>
      <c r="C49" s="389"/>
      <c r="D49" s="389"/>
      <c r="E49" s="389"/>
      <c r="F49" s="138">
        <f>SUM(F48)</f>
        <v>500000</v>
      </c>
      <c r="G49" s="138">
        <f>SUM(G48)</f>
        <v>500000</v>
      </c>
      <c r="H49" s="138">
        <f>SUM(H48)</f>
        <v>0</v>
      </c>
      <c r="I49" s="151"/>
      <c r="J49" s="151"/>
      <c r="K49" s="139"/>
      <c r="L49" s="208"/>
      <c r="M49" s="81"/>
      <c r="N49" s="193"/>
      <c r="O49" s="193"/>
      <c r="P49" s="193"/>
    </row>
    <row r="50" spans="1:17" s="67" customFormat="1" ht="45" customHeight="1" thickBot="1">
      <c r="A50" s="92" t="s">
        <v>122</v>
      </c>
      <c r="B50" s="69">
        <v>851</v>
      </c>
      <c r="C50" s="69">
        <v>85111</v>
      </c>
      <c r="D50" s="69">
        <v>6010</v>
      </c>
      <c r="E50" s="63" t="s">
        <v>115</v>
      </c>
      <c r="F50" s="71">
        <f>SUM(G50:H50)</f>
        <v>1395900</v>
      </c>
      <c r="G50" s="71">
        <v>0</v>
      </c>
      <c r="H50" s="71">
        <v>1395900</v>
      </c>
      <c r="I50" s="73"/>
      <c r="J50" s="73"/>
      <c r="K50" s="74"/>
      <c r="L50" s="210"/>
      <c r="M50" s="66"/>
      <c r="N50" s="191"/>
      <c r="O50" s="191"/>
      <c r="P50" s="191"/>
    </row>
    <row r="51" spans="1:17" s="85" customFormat="1" ht="54.75" customHeight="1" thickBot="1">
      <c r="A51" s="107" t="s">
        <v>124</v>
      </c>
      <c r="B51" s="243">
        <v>851</v>
      </c>
      <c r="C51" s="243">
        <v>85111</v>
      </c>
      <c r="D51" s="243">
        <v>6230</v>
      </c>
      <c r="E51" s="240" t="s">
        <v>143</v>
      </c>
      <c r="F51" s="244">
        <v>4295224</v>
      </c>
      <c r="G51" s="244"/>
      <c r="H51" s="244"/>
      <c r="I51" s="240"/>
      <c r="J51" s="241" t="s">
        <v>142</v>
      </c>
      <c r="K51" s="242"/>
      <c r="L51" s="115" t="s">
        <v>61</v>
      </c>
      <c r="M51" s="84"/>
      <c r="N51" s="43"/>
      <c r="O51" s="43"/>
      <c r="P51" s="43"/>
    </row>
    <row r="52" spans="1:17" s="152" customFormat="1" ht="35.1" customHeight="1" thickBot="1">
      <c r="A52" s="386" t="s">
        <v>117</v>
      </c>
      <c r="B52" s="387"/>
      <c r="C52" s="387"/>
      <c r="D52" s="387"/>
      <c r="E52" s="387"/>
      <c r="F52" s="147">
        <f>SUM(F50:F51)</f>
        <v>5691124</v>
      </c>
      <c r="G52" s="147">
        <f>SUM(G50:G51)</f>
        <v>0</v>
      </c>
      <c r="H52" s="147">
        <f>SUM(H50:H51)</f>
        <v>1395900</v>
      </c>
      <c r="I52" s="147">
        <f>SUM(I50:I51)</f>
        <v>0</v>
      </c>
      <c r="J52" s="147">
        <v>4295224</v>
      </c>
      <c r="K52" s="148"/>
      <c r="L52" s="211"/>
      <c r="M52" s="84"/>
      <c r="N52" s="222"/>
      <c r="O52" s="43"/>
      <c r="P52" s="43"/>
      <c r="Q52" s="85"/>
    </row>
    <row r="53" spans="1:17" s="155" customFormat="1" ht="42" customHeight="1" thickBot="1">
      <c r="A53" s="153" t="s">
        <v>270</v>
      </c>
      <c r="B53" s="69">
        <v>852</v>
      </c>
      <c r="C53" s="69">
        <v>85202</v>
      </c>
      <c r="D53" s="69">
        <v>6050</v>
      </c>
      <c r="E53" s="154" t="s">
        <v>119</v>
      </c>
      <c r="F53" s="71">
        <v>4000000</v>
      </c>
      <c r="G53" s="71"/>
      <c r="H53" s="71"/>
      <c r="I53" s="63"/>
      <c r="J53" s="64" t="s">
        <v>120</v>
      </c>
      <c r="K53" s="65"/>
      <c r="L53" s="379" t="s">
        <v>61</v>
      </c>
      <c r="M53" s="66"/>
      <c r="N53" s="191"/>
      <c r="O53" s="191"/>
      <c r="P53" s="191"/>
      <c r="Q53" s="67"/>
    </row>
    <row r="54" spans="1:17" s="152" customFormat="1" ht="42" customHeight="1" thickBot="1">
      <c r="A54" s="390" t="s">
        <v>121</v>
      </c>
      <c r="B54" s="391"/>
      <c r="C54" s="391"/>
      <c r="D54" s="391"/>
      <c r="E54" s="392"/>
      <c r="F54" s="147">
        <f>SUM(F53:F53)</f>
        <v>4000000</v>
      </c>
      <c r="G54" s="147">
        <f>SUM(G53:G53)</f>
        <v>0</v>
      </c>
      <c r="H54" s="147">
        <f>SUM(H53:H53)</f>
        <v>0</v>
      </c>
      <c r="I54" s="147">
        <f>SUM(I53:I53)</f>
        <v>0</v>
      </c>
      <c r="J54" s="147">
        <v>4000000</v>
      </c>
      <c r="K54" s="156"/>
      <c r="L54" s="212"/>
      <c r="M54" s="84"/>
      <c r="N54" s="43"/>
      <c r="O54" s="43"/>
      <c r="P54" s="43"/>
      <c r="Q54" s="85"/>
    </row>
    <row r="55" spans="1:17" s="67" customFormat="1" ht="45.75" customHeight="1" thickBot="1">
      <c r="A55" s="137" t="s">
        <v>273</v>
      </c>
      <c r="B55" s="69">
        <v>854</v>
      </c>
      <c r="C55" s="69">
        <v>85403</v>
      </c>
      <c r="D55" s="69">
        <v>6050</v>
      </c>
      <c r="E55" s="72" t="s">
        <v>47</v>
      </c>
      <c r="F55" s="71">
        <f>SUM(G55:I55)</f>
        <v>600000</v>
      </c>
      <c r="G55" s="157">
        <v>293981</v>
      </c>
      <c r="H55" s="157">
        <v>306019</v>
      </c>
      <c r="I55" s="158"/>
      <c r="J55" s="159"/>
      <c r="K55" s="160"/>
      <c r="L55" s="115" t="s">
        <v>61</v>
      </c>
      <c r="M55" s="66"/>
      <c r="N55" s="191"/>
      <c r="O55" s="191"/>
      <c r="P55" s="191"/>
    </row>
    <row r="56" spans="1:17" s="85" customFormat="1" ht="35.1" customHeight="1" thickBot="1">
      <c r="A56" s="393" t="s">
        <v>123</v>
      </c>
      <c r="B56" s="394"/>
      <c r="C56" s="394"/>
      <c r="D56" s="394"/>
      <c r="E56" s="395"/>
      <c r="F56" s="138">
        <f>SUM(F55:F55)</f>
        <v>600000</v>
      </c>
      <c r="G56" s="138">
        <f>SUM(G55:G55)</f>
        <v>293981</v>
      </c>
      <c r="H56" s="138">
        <f>SUM(H55:H55)</f>
        <v>306019</v>
      </c>
      <c r="I56" s="138">
        <f>SUM(I55:I55)</f>
        <v>0</v>
      </c>
      <c r="J56" s="138">
        <f>SUM(J55:J55)</f>
        <v>0</v>
      </c>
      <c r="K56" s="139"/>
      <c r="L56" s="208"/>
      <c r="M56" s="84"/>
      <c r="N56" s="43"/>
      <c r="O56" s="43"/>
      <c r="P56" s="43"/>
    </row>
    <row r="57" spans="1:17" s="67" customFormat="1" ht="35.1" customHeight="1" thickBot="1">
      <c r="A57" s="126" t="s">
        <v>275</v>
      </c>
      <c r="B57" s="126">
        <v>855</v>
      </c>
      <c r="C57" s="126">
        <v>85510</v>
      </c>
      <c r="D57" s="126">
        <v>6050</v>
      </c>
      <c r="E57" s="130" t="s">
        <v>125</v>
      </c>
      <c r="F57" s="127">
        <v>50000</v>
      </c>
      <c r="G57" s="127">
        <v>50000</v>
      </c>
      <c r="H57" s="127"/>
      <c r="I57" s="131"/>
      <c r="J57" s="131"/>
      <c r="K57" s="133"/>
      <c r="L57" s="119"/>
      <c r="M57" s="66"/>
      <c r="N57" s="191"/>
      <c r="O57" s="191"/>
      <c r="P57" s="191"/>
    </row>
    <row r="58" spans="1:17" s="85" customFormat="1" ht="35.1" customHeight="1" thickBot="1">
      <c r="A58" s="396" t="s">
        <v>126</v>
      </c>
      <c r="B58" s="397"/>
      <c r="C58" s="397"/>
      <c r="D58" s="397"/>
      <c r="E58" s="398"/>
      <c r="F58" s="161">
        <f>SUM(F57:F57)</f>
        <v>50000</v>
      </c>
      <c r="G58" s="161">
        <f>SUM(G57:G57)</f>
        <v>50000</v>
      </c>
      <c r="H58" s="161">
        <f>SUM(H57:H57)</f>
        <v>0</v>
      </c>
      <c r="I58" s="161">
        <f>SUM(I57:I57)</f>
        <v>0</v>
      </c>
      <c r="J58" s="161">
        <f>SUM(J57:J57)</f>
        <v>0</v>
      </c>
      <c r="K58" s="162"/>
      <c r="L58" s="208"/>
      <c r="M58" s="84"/>
      <c r="N58" s="43"/>
      <c r="O58" s="43"/>
      <c r="P58" s="43"/>
    </row>
    <row r="59" spans="1:17" s="165" customFormat="1" ht="36" customHeight="1" thickBot="1">
      <c r="A59" s="383" t="s">
        <v>35</v>
      </c>
      <c r="B59" s="384"/>
      <c r="C59" s="384"/>
      <c r="D59" s="384"/>
      <c r="E59" s="385"/>
      <c r="F59" s="163">
        <f>F38+F40+F42+F45+F47+F49+F52+F54+F56+F58</f>
        <v>48305251</v>
      </c>
      <c r="G59" s="163">
        <f t="shared" ref="G59:J59" si="8">G38+G40+G42+G45+G47+G49+G52+G54+G56+G58</f>
        <v>5306585</v>
      </c>
      <c r="H59" s="163">
        <f t="shared" si="8"/>
        <v>5165000</v>
      </c>
      <c r="I59" s="163">
        <f t="shared" si="8"/>
        <v>0</v>
      </c>
      <c r="J59" s="163">
        <f t="shared" si="8"/>
        <v>37833666</v>
      </c>
      <c r="K59" s="164"/>
      <c r="L59" s="213"/>
      <c r="M59" s="223"/>
      <c r="N59" s="224"/>
      <c r="O59" s="225"/>
      <c r="P59" s="225"/>
      <c r="Q59" s="226"/>
    </row>
    <row r="60" spans="1:17" s="85" customFormat="1" ht="27" customHeight="1">
      <c r="A60" s="166" t="s">
        <v>127</v>
      </c>
      <c r="B60" s="167"/>
      <c r="C60" s="167"/>
      <c r="D60" s="167"/>
      <c r="E60" s="45"/>
      <c r="F60" s="168"/>
      <c r="G60" s="168"/>
      <c r="H60" s="168"/>
      <c r="I60" s="169"/>
      <c r="J60" s="169"/>
      <c r="K60" s="170"/>
      <c r="L60" s="202"/>
      <c r="M60" s="84"/>
      <c r="N60" s="43"/>
      <c r="O60" s="43"/>
      <c r="P60" s="43"/>
    </row>
    <row r="61" spans="1:17" s="75" customFormat="1" ht="20.25" customHeight="1">
      <c r="A61" s="166" t="s">
        <v>128</v>
      </c>
      <c r="B61" s="167"/>
      <c r="C61" s="167"/>
      <c r="D61" s="167"/>
      <c r="E61" s="45"/>
      <c r="F61" s="169"/>
      <c r="G61" s="169"/>
      <c r="H61" s="169"/>
      <c r="I61" s="168"/>
      <c r="J61" s="168"/>
      <c r="K61" s="170"/>
      <c r="L61" s="202"/>
      <c r="M61" s="81"/>
      <c r="N61" s="193"/>
      <c r="O61" s="193"/>
      <c r="P61" s="193"/>
      <c r="Q61" s="82"/>
    </row>
    <row r="62" spans="1:17" s="85" customFormat="1" ht="21" customHeight="1">
      <c r="A62" s="166" t="s">
        <v>129</v>
      </c>
      <c r="B62" s="167"/>
      <c r="C62" s="167"/>
      <c r="D62" s="167"/>
      <c r="E62" s="45"/>
      <c r="F62" s="168"/>
      <c r="G62" s="169"/>
      <c r="H62" s="169"/>
      <c r="I62" s="169"/>
      <c r="J62" s="169"/>
      <c r="K62" s="170"/>
      <c r="L62" s="202"/>
      <c r="M62" s="84"/>
      <c r="N62" s="43"/>
      <c r="O62" s="43"/>
      <c r="P62" s="43"/>
    </row>
    <row r="63" spans="1:17" s="174" customFormat="1" ht="21" customHeight="1">
      <c r="A63" s="166" t="s">
        <v>130</v>
      </c>
      <c r="B63" s="171"/>
      <c r="C63" s="167"/>
      <c r="D63" s="167"/>
      <c r="E63" s="167"/>
      <c r="F63" s="169"/>
      <c r="G63" s="169"/>
      <c r="H63" s="169"/>
      <c r="I63" s="168"/>
      <c r="J63" s="168"/>
      <c r="K63" s="170"/>
      <c r="L63" s="214"/>
      <c r="M63" s="173"/>
      <c r="N63" s="172"/>
      <c r="O63" s="172"/>
      <c r="P63" s="172"/>
    </row>
    <row r="64" spans="1:17" s="177" customFormat="1" ht="19.5" customHeight="1">
      <c r="A64" s="44" t="s">
        <v>131</v>
      </c>
      <c r="B64" s="171"/>
      <c r="C64" s="167"/>
      <c r="D64" s="167"/>
      <c r="E64" s="169"/>
      <c r="F64" s="168"/>
      <c r="G64" s="169"/>
      <c r="H64" s="169"/>
      <c r="I64" s="169"/>
      <c r="J64" s="169"/>
      <c r="K64" s="175"/>
      <c r="L64" s="214"/>
      <c r="M64" s="176"/>
      <c r="N64" s="199"/>
      <c r="O64" s="199"/>
      <c r="P64" s="199"/>
    </row>
    <row r="65" spans="1:17" s="85" customFormat="1" ht="30" customHeight="1">
      <c r="A65" s="39"/>
      <c r="B65" s="39"/>
      <c r="C65" s="40"/>
      <c r="D65" s="40"/>
      <c r="E65" s="41"/>
      <c r="F65" s="41"/>
      <c r="G65" s="41"/>
      <c r="H65" s="178"/>
      <c r="I65" s="41"/>
      <c r="J65" s="178"/>
      <c r="K65" s="42"/>
      <c r="L65" s="202"/>
      <c r="M65" s="84"/>
      <c r="N65" s="43"/>
      <c r="O65" s="43"/>
      <c r="P65" s="43"/>
    </row>
    <row r="66" spans="1:17" s="57" customFormat="1" ht="27" customHeight="1">
      <c r="A66" s="39"/>
      <c r="B66" s="39"/>
      <c r="C66" s="40"/>
      <c r="D66" s="40"/>
      <c r="E66" s="41"/>
      <c r="F66" s="41"/>
      <c r="G66" s="41"/>
      <c r="H66" s="41"/>
      <c r="I66" s="41"/>
      <c r="J66" s="41"/>
      <c r="K66" s="42"/>
      <c r="L66" s="202"/>
      <c r="M66" s="66"/>
      <c r="N66" s="191"/>
      <c r="O66" s="191"/>
      <c r="P66" s="191"/>
      <c r="Q66" s="67"/>
    </row>
    <row r="68" spans="1:17" s="179" customFormat="1" ht="12.75" customHeight="1">
      <c r="A68" s="39"/>
      <c r="B68" s="39"/>
      <c r="C68" s="40"/>
      <c r="D68" s="40"/>
      <c r="E68" s="41"/>
      <c r="F68" s="41"/>
      <c r="G68" s="41"/>
      <c r="H68" s="41"/>
      <c r="I68" s="41"/>
      <c r="J68" s="41"/>
      <c r="K68" s="42"/>
      <c r="L68" s="202"/>
      <c r="M68" s="227"/>
      <c r="N68" s="228"/>
      <c r="O68" s="228"/>
      <c r="P68" s="228"/>
      <c r="Q68" s="229"/>
    </row>
    <row r="69" spans="1:17" s="179" customFormat="1" ht="12.75" customHeight="1">
      <c r="A69" s="39"/>
      <c r="B69" s="39"/>
      <c r="C69" s="40"/>
      <c r="D69" s="40"/>
      <c r="E69" s="41"/>
      <c r="F69" s="41"/>
      <c r="G69" s="41"/>
      <c r="H69" s="41"/>
      <c r="I69" s="41"/>
      <c r="J69" s="41"/>
      <c r="K69" s="42"/>
      <c r="L69" s="202"/>
      <c r="M69" s="227"/>
      <c r="N69" s="228"/>
      <c r="O69" s="228"/>
      <c r="P69" s="228"/>
      <c r="Q69" s="229"/>
    </row>
    <row r="70" spans="1:17" s="179" customFormat="1" ht="12.75" customHeight="1">
      <c r="A70" s="39"/>
      <c r="B70" s="39"/>
      <c r="C70" s="40"/>
      <c r="D70" s="40"/>
      <c r="E70" s="41"/>
      <c r="F70" s="41"/>
      <c r="G70" s="41"/>
      <c r="H70" s="41"/>
      <c r="I70" s="41"/>
      <c r="J70" s="41"/>
      <c r="K70" s="42"/>
      <c r="L70" s="202"/>
      <c r="M70" s="227"/>
      <c r="N70" s="228"/>
      <c r="O70" s="228"/>
      <c r="P70" s="228"/>
      <c r="Q70" s="229"/>
    </row>
  </sheetData>
  <autoFilter ref="L1:L70" xr:uid="{00000000-0001-0000-0000-000000000000}"/>
  <mergeCells count="30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42:E42"/>
    <mergeCell ref="L4:L5"/>
    <mergeCell ref="A7:E7"/>
    <mergeCell ref="A13:E13"/>
    <mergeCell ref="A15:E15"/>
    <mergeCell ref="A21:E21"/>
    <mergeCell ref="A25:E25"/>
    <mergeCell ref="A28:E28"/>
    <mergeCell ref="A30:E30"/>
    <mergeCell ref="A32:E32"/>
    <mergeCell ref="A35:E35"/>
    <mergeCell ref="A38:E38"/>
    <mergeCell ref="A40:E40"/>
    <mergeCell ref="A59:E59"/>
    <mergeCell ref="A45:E45"/>
    <mergeCell ref="A49:E49"/>
    <mergeCell ref="A52:E52"/>
    <mergeCell ref="A54:E54"/>
    <mergeCell ref="A56:E56"/>
    <mergeCell ref="A58:E58"/>
    <mergeCell ref="A47:E47"/>
  </mergeCells>
  <phoneticPr fontId="29" type="noConversion"/>
  <pageMargins left="0.51181102362204722" right="0.31496062992125984" top="1.3385826771653544" bottom="0.70866141732283472" header="0.59055118110236227" footer="0.31496062992125984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&amp;R&amp;10Tabela Nr 2a
do uchwały Nr ............
Rady Powiatu  Otwockiego
z dnia 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3:F33"/>
  <sheetViews>
    <sheetView showGridLines="0" workbookViewId="0">
      <selection activeCell="G16" sqref="G16"/>
    </sheetView>
  </sheetViews>
  <sheetFormatPr defaultColWidth="9.33203125" defaultRowHeight="12.75"/>
  <cols>
    <col min="1" max="1" width="5.83203125" style="2" customWidth="1"/>
    <col min="2" max="2" width="67.1640625" style="2" customWidth="1"/>
    <col min="3" max="3" width="15.33203125" style="2" customWidth="1"/>
    <col min="4" max="4" width="20.33203125" style="2" customWidth="1"/>
    <col min="5" max="5" width="9.33203125" style="2"/>
    <col min="6" max="6" width="11.83203125" style="2" bestFit="1" customWidth="1"/>
    <col min="7" max="16384" width="9.33203125" style="2"/>
  </cols>
  <sheetData>
    <row r="3" spans="1:4" s="1" customFormat="1" ht="15" customHeight="1">
      <c r="A3" s="426" t="s">
        <v>140</v>
      </c>
      <c r="B3" s="426"/>
      <c r="C3" s="426"/>
      <c r="D3" s="426"/>
    </row>
    <row r="4" spans="1:4">
      <c r="D4" s="3"/>
    </row>
    <row r="5" spans="1:4" ht="54" customHeight="1">
      <c r="A5" s="4" t="s">
        <v>1</v>
      </c>
      <c r="B5" s="4" t="s">
        <v>7</v>
      </c>
      <c r="C5" s="5" t="s">
        <v>8</v>
      </c>
      <c r="D5" s="5" t="s">
        <v>9</v>
      </c>
    </row>
    <row r="6" spans="1:4" s="30" customFormat="1" ht="16.5" customHeight="1">
      <c r="A6" s="31">
        <v>1</v>
      </c>
      <c r="B6" s="31">
        <v>2</v>
      </c>
      <c r="C6" s="31">
        <v>3</v>
      </c>
      <c r="D6" s="32">
        <v>4</v>
      </c>
    </row>
    <row r="7" spans="1:4" s="9" customFormat="1" ht="24.75" customHeight="1">
      <c r="A7" s="6" t="s">
        <v>2</v>
      </c>
      <c r="B7" s="7" t="s">
        <v>10</v>
      </c>
      <c r="C7" s="6"/>
      <c r="D7" s="8">
        <f>SUM(D8:D9)</f>
        <v>175349592</v>
      </c>
    </row>
    <row r="8" spans="1:4" s="13" customFormat="1" ht="24.75" customHeight="1">
      <c r="A8" s="10"/>
      <c r="B8" s="11" t="s">
        <v>11</v>
      </c>
      <c r="C8" s="10"/>
      <c r="D8" s="12">
        <v>149004068</v>
      </c>
    </row>
    <row r="9" spans="1:4" s="13" customFormat="1" ht="24.75" customHeight="1">
      <c r="A9" s="10"/>
      <c r="B9" s="11" t="s">
        <v>12</v>
      </c>
      <c r="C9" s="10"/>
      <c r="D9" s="14">
        <v>26345524</v>
      </c>
    </row>
    <row r="10" spans="1:4" s="9" customFormat="1" ht="24.75" customHeight="1">
      <c r="A10" s="6" t="s">
        <v>3</v>
      </c>
      <c r="B10" s="7" t="s">
        <v>13</v>
      </c>
      <c r="C10" s="6"/>
      <c r="D10" s="15">
        <f>SUM(D11,D12)</f>
        <v>210475425</v>
      </c>
    </row>
    <row r="11" spans="1:4" s="13" customFormat="1" ht="24.75" customHeight="1">
      <c r="A11" s="10"/>
      <c r="B11" s="11" t="s">
        <v>26</v>
      </c>
      <c r="C11" s="10"/>
      <c r="D11" s="16">
        <v>162170174</v>
      </c>
    </row>
    <row r="12" spans="1:4" s="13" customFormat="1" ht="24.75" customHeight="1">
      <c r="A12" s="10"/>
      <c r="B12" s="11" t="s">
        <v>14</v>
      </c>
      <c r="C12" s="10"/>
      <c r="D12" s="17">
        <v>48305251</v>
      </c>
    </row>
    <row r="13" spans="1:4" s="9" customFormat="1" ht="24.75" customHeight="1">
      <c r="A13" s="6" t="s">
        <v>4</v>
      </c>
      <c r="B13" s="7" t="s">
        <v>15</v>
      </c>
      <c r="C13" s="18"/>
      <c r="D13" s="8">
        <f>D7-D10</f>
        <v>-35125833</v>
      </c>
    </row>
    <row r="14" spans="1:4" ht="24.75" customHeight="1">
      <c r="A14" s="427" t="s">
        <v>16</v>
      </c>
      <c r="B14" s="428"/>
      <c r="C14" s="19"/>
      <c r="D14" s="20">
        <f>D15+D20+D21+D22</f>
        <v>39960833</v>
      </c>
    </row>
    <row r="15" spans="1:4" ht="81.75" customHeight="1">
      <c r="A15" s="35" t="s">
        <v>2</v>
      </c>
      <c r="B15" s="188" t="s">
        <v>42</v>
      </c>
      <c r="C15" s="6" t="s">
        <v>41</v>
      </c>
      <c r="D15" s="187">
        <f>SUM(D17:D19)</f>
        <v>23472379</v>
      </c>
    </row>
    <row r="16" spans="1:4" ht="18.75" customHeight="1">
      <c r="A16" s="180"/>
      <c r="B16" s="429" t="s">
        <v>36</v>
      </c>
      <c r="C16" s="429"/>
      <c r="D16" s="429"/>
    </row>
    <row r="17" spans="1:6" s="13" customFormat="1" ht="24.95" customHeight="1">
      <c r="A17" s="181"/>
      <c r="B17" s="185" t="s">
        <v>132</v>
      </c>
      <c r="C17" s="186"/>
      <c r="D17" s="375">
        <f>8800000+4490000+1180000-194776</f>
        <v>14275224</v>
      </c>
    </row>
    <row r="18" spans="1:6" s="13" customFormat="1" ht="24.95" customHeight="1">
      <c r="A18" s="181"/>
      <c r="B18" s="182" t="s">
        <v>133</v>
      </c>
      <c r="C18" s="183"/>
      <c r="D18" s="184">
        <f>985940+43478+500</f>
        <v>1029918</v>
      </c>
    </row>
    <row r="19" spans="1:6" s="13" customFormat="1" ht="24.95" customHeight="1">
      <c r="A19" s="181"/>
      <c r="B19" s="182" t="s">
        <v>134</v>
      </c>
      <c r="C19" s="183"/>
      <c r="D19" s="184">
        <v>8167237</v>
      </c>
    </row>
    <row r="20" spans="1:6" ht="60.75" customHeight="1">
      <c r="A20" s="35" t="s">
        <v>3</v>
      </c>
      <c r="B20" s="36" t="s">
        <v>43</v>
      </c>
      <c r="C20" s="6" t="s">
        <v>40</v>
      </c>
      <c r="D20" s="187">
        <f>211997+367704</f>
        <v>579701</v>
      </c>
      <c r="F20" s="38"/>
    </row>
    <row r="21" spans="1:6" ht="31.5" customHeight="1">
      <c r="A21" s="35" t="s">
        <v>4</v>
      </c>
      <c r="B21" s="37" t="s">
        <v>45</v>
      </c>
      <c r="C21" s="189" t="s">
        <v>46</v>
      </c>
      <c r="D21" s="187">
        <v>10000000</v>
      </c>
    </row>
    <row r="22" spans="1:6" ht="31.5" customHeight="1">
      <c r="A22" s="35" t="s">
        <v>5</v>
      </c>
      <c r="B22" s="24" t="s">
        <v>23</v>
      </c>
      <c r="C22" s="6" t="s">
        <v>18</v>
      </c>
      <c r="D22" s="15">
        <f>9682461-8167237+44820+2693646+1655063</f>
        <v>5908753</v>
      </c>
    </row>
    <row r="23" spans="1:6" ht="32.25" customHeight="1">
      <c r="A23" s="35" t="s">
        <v>6</v>
      </c>
      <c r="B23" s="33" t="s">
        <v>27</v>
      </c>
      <c r="C23" s="6" t="s">
        <v>28</v>
      </c>
      <c r="D23" s="23">
        <v>0</v>
      </c>
    </row>
    <row r="24" spans="1:6" ht="24.75" customHeight="1">
      <c r="A24" s="35" t="s">
        <v>39</v>
      </c>
      <c r="B24" s="22" t="s">
        <v>21</v>
      </c>
      <c r="C24" s="6" t="s">
        <v>17</v>
      </c>
      <c r="D24" s="23">
        <v>0</v>
      </c>
    </row>
    <row r="25" spans="1:6" ht="27" customHeight="1">
      <c r="A25" s="35" t="s">
        <v>38</v>
      </c>
      <c r="B25" s="24" t="s">
        <v>22</v>
      </c>
      <c r="C25" s="6" t="s">
        <v>17</v>
      </c>
      <c r="D25" s="25">
        <v>0</v>
      </c>
    </row>
    <row r="26" spans="1:6" ht="24.75" customHeight="1">
      <c r="A26" s="427" t="s">
        <v>19</v>
      </c>
      <c r="B26" s="428"/>
      <c r="C26" s="26"/>
      <c r="D26" s="20">
        <f>SUM(D27:D29)</f>
        <v>4835000</v>
      </c>
    </row>
    <row r="27" spans="1:6" s="34" customFormat="1" ht="24.75" customHeight="1">
      <c r="A27" s="21" t="s">
        <v>2</v>
      </c>
      <c r="B27" s="24" t="s">
        <v>30</v>
      </c>
      <c r="C27" s="6" t="s">
        <v>29</v>
      </c>
      <c r="D27" s="23">
        <v>0</v>
      </c>
    </row>
    <row r="28" spans="1:6" ht="24.75" customHeight="1">
      <c r="A28" s="21" t="s">
        <v>3</v>
      </c>
      <c r="B28" s="24" t="s">
        <v>24</v>
      </c>
      <c r="C28" s="6" t="s">
        <v>20</v>
      </c>
      <c r="D28" s="23">
        <v>4835000</v>
      </c>
    </row>
    <row r="29" spans="1:6" ht="24.75" customHeight="1">
      <c r="A29" s="21" t="s">
        <v>4</v>
      </c>
      <c r="B29" s="24" t="s">
        <v>25</v>
      </c>
      <c r="C29" s="6" t="s">
        <v>20</v>
      </c>
      <c r="D29" s="23">
        <v>0</v>
      </c>
    </row>
    <row r="30" spans="1:6" ht="21.75" customHeight="1">
      <c r="A30" s="27"/>
      <c r="B30" s="28"/>
      <c r="C30" s="27"/>
      <c r="D30" s="29"/>
    </row>
    <row r="31" spans="1:6" ht="24.75" customHeight="1"/>
    <row r="32" spans="1:6" ht="24.75" customHeight="1"/>
    <row r="33" ht="24.75" customHeight="1"/>
  </sheetData>
  <sheetProtection formatColumns="0" formatRows="0"/>
  <mergeCells count="4">
    <mergeCell ref="A3:D3"/>
    <mergeCell ref="A14:B14"/>
    <mergeCell ref="A26:B26"/>
    <mergeCell ref="B16:D16"/>
  </mergeCells>
  <printOptions horizontalCentered="1"/>
  <pageMargins left="0.47244094488188981" right="0.23622047244094491" top="1.6535433070866143" bottom="0.59055118110236227" header="0.86614173228346458" footer="0.51181102362204722"/>
  <pageSetup paperSize="9" scale="94" orientation="portrait" horizontalDpi="4294967295" verticalDpi="300" r:id="rId1"/>
  <headerFooter alignWithMargins="0">
    <oddHeader>&amp;R&amp;10Tabela Nr 3 
do uchwały Nr ...............
Rady Powiatu  Otwockiego
z dnia..........................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8897-D41C-4077-A31F-F8711479CED4}">
  <sheetPr>
    <tabColor rgb="FF92D050"/>
  </sheetPr>
  <dimension ref="A1:I171"/>
  <sheetViews>
    <sheetView zoomScaleNormal="100" workbookViewId="0">
      <pane ySplit="4" topLeftCell="A110" activePane="bottomLeft" state="frozen"/>
      <selection activeCell="M10" sqref="M10"/>
      <selection pane="bottomLeft" activeCell="A2" sqref="A2:F2"/>
    </sheetView>
  </sheetViews>
  <sheetFormatPr defaultColWidth="9.33203125" defaultRowHeight="12"/>
  <cols>
    <col min="1" max="1" width="6.33203125" style="245" customWidth="1"/>
    <col min="2" max="2" width="9.5" style="245" customWidth="1"/>
    <col min="3" max="3" width="10.1640625" style="246" customWidth="1"/>
    <col min="4" max="4" width="63.6640625" style="247" customWidth="1"/>
    <col min="5" max="6" width="17.83203125" style="248" customWidth="1"/>
    <col min="7" max="16384" width="9.33203125" style="249"/>
  </cols>
  <sheetData>
    <row r="1" spans="1:6" ht="12.75" customHeight="1"/>
    <row r="2" spans="1:6" ht="30.75" customHeight="1">
      <c r="A2" s="430" t="s">
        <v>265</v>
      </c>
      <c r="B2" s="430"/>
      <c r="C2" s="430"/>
      <c r="D2" s="430"/>
      <c r="E2" s="430"/>
      <c r="F2" s="430"/>
    </row>
    <row r="3" spans="1:6" ht="9.75" customHeight="1"/>
    <row r="4" spans="1:6" s="246" customFormat="1" ht="25.5" customHeight="1">
      <c r="A4" s="250" t="s">
        <v>0</v>
      </c>
      <c r="B4" s="250" t="s">
        <v>144</v>
      </c>
      <c r="C4" s="251" t="s">
        <v>145</v>
      </c>
      <c r="D4" s="252" t="s">
        <v>146</v>
      </c>
      <c r="E4" s="253" t="s">
        <v>147</v>
      </c>
      <c r="F4" s="253" t="s">
        <v>148</v>
      </c>
    </row>
    <row r="5" spans="1:6" s="258" customFormat="1" ht="17.25" customHeight="1">
      <c r="A5" s="254" t="s">
        <v>149</v>
      </c>
      <c r="B5" s="254"/>
      <c r="C5" s="255"/>
      <c r="D5" s="256" t="s">
        <v>150</v>
      </c>
      <c r="E5" s="257">
        <f>SUM(E6)</f>
        <v>12000</v>
      </c>
      <c r="F5" s="257">
        <f>SUM(F6)</f>
        <v>12000</v>
      </c>
    </row>
    <row r="6" spans="1:6" s="258" customFormat="1" ht="17.25" customHeight="1">
      <c r="A6" s="259"/>
      <c r="B6" s="259" t="s">
        <v>151</v>
      </c>
      <c r="C6" s="260"/>
      <c r="D6" s="261" t="s">
        <v>152</v>
      </c>
      <c r="E6" s="262">
        <f>SUM(E7)</f>
        <v>12000</v>
      </c>
      <c r="F6" s="262">
        <f>SUM(F8)</f>
        <v>12000</v>
      </c>
    </row>
    <row r="7" spans="1:6" s="258" customFormat="1" ht="50.25" customHeight="1">
      <c r="A7" s="263"/>
      <c r="B7" s="263"/>
      <c r="C7" s="264">
        <v>2110</v>
      </c>
      <c r="D7" s="265" t="s">
        <v>153</v>
      </c>
      <c r="E7" s="266">
        <v>12000</v>
      </c>
      <c r="F7" s="266"/>
    </row>
    <row r="8" spans="1:6" s="258" customFormat="1" ht="15.75" customHeight="1">
      <c r="A8" s="263"/>
      <c r="B8" s="263"/>
      <c r="C8" s="264">
        <v>4300</v>
      </c>
      <c r="D8" s="265" t="s">
        <v>154</v>
      </c>
      <c r="E8" s="266"/>
      <c r="F8" s="266">
        <v>12000</v>
      </c>
    </row>
    <row r="9" spans="1:6" s="258" customFormat="1" ht="17.25" customHeight="1">
      <c r="A9" s="254">
        <v>700</v>
      </c>
      <c r="B9" s="254"/>
      <c r="C9" s="255"/>
      <c r="D9" s="256" t="s">
        <v>155</v>
      </c>
      <c r="E9" s="257">
        <f>SUM(E10)</f>
        <v>291000</v>
      </c>
      <c r="F9" s="257">
        <f>SUM(F10)</f>
        <v>291000</v>
      </c>
    </row>
    <row r="10" spans="1:6" s="258" customFormat="1" ht="17.25" customHeight="1">
      <c r="A10" s="259"/>
      <c r="B10" s="259">
        <v>70005</v>
      </c>
      <c r="C10" s="260"/>
      <c r="D10" s="261" t="s">
        <v>156</v>
      </c>
      <c r="E10" s="262">
        <f>SUM(E11)</f>
        <v>291000</v>
      </c>
      <c r="F10" s="262">
        <f>SUM(F11:F26)</f>
        <v>291000</v>
      </c>
    </row>
    <row r="11" spans="1:6" s="258" customFormat="1" ht="47.25" customHeight="1">
      <c r="A11" s="263"/>
      <c r="B11" s="263"/>
      <c r="C11" s="264">
        <v>2110</v>
      </c>
      <c r="D11" s="265" t="s">
        <v>153</v>
      </c>
      <c r="E11" s="266">
        <v>291000</v>
      </c>
      <c r="F11" s="266"/>
    </row>
    <row r="12" spans="1:6" s="271" customFormat="1" ht="15.75" customHeight="1">
      <c r="A12" s="267"/>
      <c r="B12" s="267"/>
      <c r="C12" s="268">
        <v>4010</v>
      </c>
      <c r="D12" s="269" t="s">
        <v>157</v>
      </c>
      <c r="E12" s="270"/>
      <c r="F12" s="270">
        <v>52248</v>
      </c>
    </row>
    <row r="13" spans="1:6" s="271" customFormat="1" ht="15.75" customHeight="1">
      <c r="A13" s="267"/>
      <c r="B13" s="267"/>
      <c r="C13" s="268">
        <v>4110</v>
      </c>
      <c r="D13" s="269" t="s">
        <v>158</v>
      </c>
      <c r="E13" s="270"/>
      <c r="F13" s="270">
        <v>8982</v>
      </c>
    </row>
    <row r="14" spans="1:6" s="271" customFormat="1" ht="18" customHeight="1">
      <c r="A14" s="267"/>
      <c r="B14" s="267"/>
      <c r="C14" s="268">
        <v>4120</v>
      </c>
      <c r="D14" s="265" t="s">
        <v>159</v>
      </c>
      <c r="E14" s="270"/>
      <c r="F14" s="270">
        <v>1280</v>
      </c>
    </row>
    <row r="15" spans="1:6" s="271" customFormat="1" ht="15.75" customHeight="1">
      <c r="A15" s="267"/>
      <c r="B15" s="267"/>
      <c r="C15" s="268">
        <v>4170</v>
      </c>
      <c r="D15" s="269" t="s">
        <v>160</v>
      </c>
      <c r="E15" s="270"/>
      <c r="F15" s="270">
        <v>2000</v>
      </c>
    </row>
    <row r="16" spans="1:6" s="271" customFormat="1" ht="15.75" customHeight="1">
      <c r="A16" s="267"/>
      <c r="B16" s="267"/>
      <c r="C16" s="268">
        <v>4210</v>
      </c>
      <c r="D16" s="269" t="s">
        <v>161</v>
      </c>
      <c r="E16" s="270"/>
      <c r="F16" s="270">
        <v>435</v>
      </c>
    </row>
    <row r="17" spans="1:6" s="271" customFormat="1" ht="15.75" customHeight="1">
      <c r="A17" s="267"/>
      <c r="B17" s="267"/>
      <c r="C17" s="268">
        <v>4260</v>
      </c>
      <c r="D17" s="269" t="s">
        <v>162</v>
      </c>
      <c r="E17" s="270"/>
      <c r="F17" s="270">
        <v>10000</v>
      </c>
    </row>
    <row r="18" spans="1:6" s="271" customFormat="1" ht="15.75" customHeight="1">
      <c r="A18" s="267"/>
      <c r="B18" s="267"/>
      <c r="C18" s="268">
        <v>4270</v>
      </c>
      <c r="D18" s="269" t="s">
        <v>163</v>
      </c>
      <c r="E18" s="270"/>
      <c r="F18" s="270">
        <v>26000</v>
      </c>
    </row>
    <row r="19" spans="1:6" s="271" customFormat="1" ht="15.75" customHeight="1">
      <c r="A19" s="267"/>
      <c r="B19" s="267"/>
      <c r="C19" s="268">
        <v>4300</v>
      </c>
      <c r="D19" s="269" t="s">
        <v>154</v>
      </c>
      <c r="E19" s="270"/>
      <c r="F19" s="270">
        <v>60000</v>
      </c>
    </row>
    <row r="20" spans="1:6" s="271" customFormat="1" ht="15.75" customHeight="1">
      <c r="A20" s="267"/>
      <c r="B20" s="267"/>
      <c r="C20" s="268">
        <v>4390</v>
      </c>
      <c r="D20" s="269" t="s">
        <v>164</v>
      </c>
      <c r="E20" s="270"/>
      <c r="F20" s="270">
        <v>40000</v>
      </c>
    </row>
    <row r="21" spans="1:6" s="271" customFormat="1" ht="15.75" customHeight="1">
      <c r="A21" s="267"/>
      <c r="B21" s="267"/>
      <c r="C21" s="268">
        <v>4430</v>
      </c>
      <c r="D21" s="269" t="s">
        <v>165</v>
      </c>
      <c r="E21" s="270"/>
      <c r="F21" s="270">
        <v>4100</v>
      </c>
    </row>
    <row r="22" spans="1:6" s="271" customFormat="1" ht="15.75" customHeight="1">
      <c r="A22" s="267"/>
      <c r="B22" s="267"/>
      <c r="C22" s="268">
        <v>4480</v>
      </c>
      <c r="D22" s="269" t="s">
        <v>166</v>
      </c>
      <c r="E22" s="270"/>
      <c r="F22" s="270">
        <v>49000</v>
      </c>
    </row>
    <row r="23" spans="1:6" s="271" customFormat="1" ht="15.75" customHeight="1">
      <c r="A23" s="267"/>
      <c r="B23" s="267"/>
      <c r="C23" s="268">
        <v>4520</v>
      </c>
      <c r="D23" s="269" t="s">
        <v>167</v>
      </c>
      <c r="E23" s="270"/>
      <c r="F23" s="270">
        <v>10000</v>
      </c>
    </row>
    <row r="24" spans="1:6" s="271" customFormat="1" ht="15.75" customHeight="1">
      <c r="A24" s="267"/>
      <c r="B24" s="267"/>
      <c r="C24" s="268">
        <v>4580</v>
      </c>
      <c r="D24" s="269" t="s">
        <v>168</v>
      </c>
      <c r="E24" s="270"/>
      <c r="F24" s="270">
        <v>3955</v>
      </c>
    </row>
    <row r="25" spans="1:6" s="271" customFormat="1" ht="15.75" customHeight="1">
      <c r="A25" s="267"/>
      <c r="B25" s="267"/>
      <c r="C25" s="268">
        <v>4590</v>
      </c>
      <c r="D25" s="269" t="s">
        <v>169</v>
      </c>
      <c r="E25" s="270"/>
      <c r="F25" s="270">
        <v>6000</v>
      </c>
    </row>
    <row r="26" spans="1:6" s="271" customFormat="1" ht="15.75" customHeight="1">
      <c r="A26" s="267"/>
      <c r="B26" s="267"/>
      <c r="C26" s="268">
        <v>4610</v>
      </c>
      <c r="D26" s="269" t="s">
        <v>170</v>
      </c>
      <c r="E26" s="270"/>
      <c r="F26" s="270">
        <v>17000</v>
      </c>
    </row>
    <row r="27" spans="1:6" s="258" customFormat="1" ht="17.25" customHeight="1">
      <c r="A27" s="254">
        <v>710</v>
      </c>
      <c r="B27" s="254"/>
      <c r="C27" s="255"/>
      <c r="D27" s="256" t="s">
        <v>171</v>
      </c>
      <c r="E27" s="257">
        <f>SUM(E28,E34)</f>
        <v>1288000</v>
      </c>
      <c r="F27" s="257">
        <f>SUM(F28,F34)</f>
        <v>1288000</v>
      </c>
    </row>
    <row r="28" spans="1:6" s="258" customFormat="1" ht="17.25" customHeight="1">
      <c r="A28" s="259"/>
      <c r="B28" s="259" t="s">
        <v>172</v>
      </c>
      <c r="C28" s="260"/>
      <c r="D28" s="272" t="s">
        <v>173</v>
      </c>
      <c r="E28" s="262">
        <f>SUM(E29)</f>
        <v>331000</v>
      </c>
      <c r="F28" s="262">
        <f>SUM(F30:F33)</f>
        <v>331000</v>
      </c>
    </row>
    <row r="29" spans="1:6" s="258" customFormat="1" ht="42.75" customHeight="1">
      <c r="A29" s="263"/>
      <c r="B29" s="263"/>
      <c r="C29" s="264">
        <v>2110</v>
      </c>
      <c r="D29" s="265" t="s">
        <v>153</v>
      </c>
      <c r="E29" s="266">
        <v>331000</v>
      </c>
      <c r="F29" s="266"/>
    </row>
    <row r="30" spans="1:6" s="271" customFormat="1" ht="15.75" customHeight="1">
      <c r="A30" s="267"/>
      <c r="B30" s="267"/>
      <c r="C30" s="268">
        <v>4010</v>
      </c>
      <c r="D30" s="269" t="s">
        <v>157</v>
      </c>
      <c r="E30" s="270"/>
      <c r="F30" s="270">
        <v>205007</v>
      </c>
    </row>
    <row r="31" spans="1:6" s="271" customFormat="1" ht="15.75" customHeight="1">
      <c r="A31" s="267"/>
      <c r="B31" s="267"/>
      <c r="C31" s="268">
        <v>4110</v>
      </c>
      <c r="D31" s="269" t="s">
        <v>158</v>
      </c>
      <c r="E31" s="270"/>
      <c r="F31" s="270">
        <v>35241</v>
      </c>
    </row>
    <row r="32" spans="1:6" s="271" customFormat="1" ht="18" customHeight="1">
      <c r="A32" s="267"/>
      <c r="B32" s="267"/>
      <c r="C32" s="268">
        <v>4120</v>
      </c>
      <c r="D32" s="265" t="s">
        <v>159</v>
      </c>
      <c r="E32" s="270"/>
      <c r="F32" s="270">
        <v>5023</v>
      </c>
    </row>
    <row r="33" spans="1:6" s="271" customFormat="1" ht="15.75" customHeight="1">
      <c r="A33" s="267"/>
      <c r="B33" s="267"/>
      <c r="C33" s="268">
        <v>4300</v>
      </c>
      <c r="D33" s="269" t="s">
        <v>154</v>
      </c>
      <c r="E33" s="270"/>
      <c r="F33" s="270">
        <v>85729</v>
      </c>
    </row>
    <row r="34" spans="1:6" s="258" customFormat="1" ht="17.25" customHeight="1">
      <c r="A34" s="259"/>
      <c r="B34" s="259">
        <v>71015</v>
      </c>
      <c r="C34" s="260"/>
      <c r="D34" s="261" t="s">
        <v>174</v>
      </c>
      <c r="E34" s="262">
        <f>SUM(E35:E35)</f>
        <v>957000</v>
      </c>
      <c r="F34" s="262">
        <f>SUM(F36:F56)</f>
        <v>957000</v>
      </c>
    </row>
    <row r="35" spans="1:6" s="258" customFormat="1" ht="42.75" customHeight="1">
      <c r="A35" s="263"/>
      <c r="B35" s="263"/>
      <c r="C35" s="264">
        <v>2110</v>
      </c>
      <c r="D35" s="265" t="s">
        <v>153</v>
      </c>
      <c r="E35" s="266">
        <v>957000</v>
      </c>
      <c r="F35" s="266"/>
    </row>
    <row r="36" spans="1:6" s="258" customFormat="1" ht="15.75" customHeight="1">
      <c r="A36" s="263"/>
      <c r="B36" s="263"/>
      <c r="C36" s="264">
        <v>3020</v>
      </c>
      <c r="D36" s="265" t="s">
        <v>175</v>
      </c>
      <c r="E36" s="266"/>
      <c r="F36" s="266">
        <v>220</v>
      </c>
    </row>
    <row r="37" spans="1:6" s="258" customFormat="1" ht="15.75" customHeight="1">
      <c r="A37" s="263"/>
      <c r="B37" s="263"/>
      <c r="C37" s="264">
        <v>4010</v>
      </c>
      <c r="D37" s="265" t="s">
        <v>157</v>
      </c>
      <c r="E37" s="266"/>
      <c r="F37" s="266">
        <v>165986</v>
      </c>
    </row>
    <row r="38" spans="1:6" s="258" customFormat="1" ht="15.75" customHeight="1">
      <c r="A38" s="263"/>
      <c r="B38" s="263"/>
      <c r="C38" s="264">
        <v>4020</v>
      </c>
      <c r="D38" s="265" t="s">
        <v>176</v>
      </c>
      <c r="E38" s="266"/>
      <c r="F38" s="266">
        <v>449770</v>
      </c>
    </row>
    <row r="39" spans="1:6" s="258" customFormat="1" ht="15.75" customHeight="1">
      <c r="A39" s="263"/>
      <c r="B39" s="263"/>
      <c r="C39" s="264">
        <v>4040</v>
      </c>
      <c r="D39" s="265" t="s">
        <v>177</v>
      </c>
      <c r="E39" s="266"/>
      <c r="F39" s="266">
        <v>51983</v>
      </c>
    </row>
    <row r="40" spans="1:6" s="258" customFormat="1" ht="15.75" customHeight="1">
      <c r="A40" s="263"/>
      <c r="B40" s="263"/>
      <c r="C40" s="264">
        <v>4110</v>
      </c>
      <c r="D40" s="265" t="s">
        <v>158</v>
      </c>
      <c r="E40" s="266"/>
      <c r="F40" s="266">
        <v>113801</v>
      </c>
    </row>
    <row r="41" spans="1:6" s="258" customFormat="1" ht="18" customHeight="1">
      <c r="A41" s="263"/>
      <c r="B41" s="263"/>
      <c r="C41" s="264">
        <v>4120</v>
      </c>
      <c r="D41" s="265" t="s">
        <v>159</v>
      </c>
      <c r="E41" s="266"/>
      <c r="F41" s="266">
        <v>16305</v>
      </c>
    </row>
    <row r="42" spans="1:6" s="258" customFormat="1" ht="15.75" customHeight="1">
      <c r="A42" s="263"/>
      <c r="B42" s="263"/>
      <c r="C42" s="264">
        <v>4170</v>
      </c>
      <c r="D42" s="265" t="s">
        <v>160</v>
      </c>
      <c r="E42" s="266"/>
      <c r="F42" s="266">
        <v>1225</v>
      </c>
    </row>
    <row r="43" spans="1:6" s="258" customFormat="1" ht="15.75" customHeight="1">
      <c r="A43" s="263"/>
      <c r="B43" s="263"/>
      <c r="C43" s="264">
        <v>4210</v>
      </c>
      <c r="D43" s="265" t="s">
        <v>161</v>
      </c>
      <c r="E43" s="266"/>
      <c r="F43" s="266">
        <v>13316</v>
      </c>
    </row>
    <row r="44" spans="1:6" s="258" customFormat="1" ht="15.75" customHeight="1">
      <c r="A44" s="263"/>
      <c r="B44" s="263"/>
      <c r="C44" s="264">
        <v>4260</v>
      </c>
      <c r="D44" s="265" t="s">
        <v>162</v>
      </c>
      <c r="E44" s="266"/>
      <c r="F44" s="266">
        <v>18030</v>
      </c>
    </row>
    <row r="45" spans="1:6" s="258" customFormat="1" ht="15.75" customHeight="1">
      <c r="A45" s="263"/>
      <c r="B45" s="263"/>
      <c r="C45" s="264">
        <v>4270</v>
      </c>
      <c r="D45" s="265" t="s">
        <v>163</v>
      </c>
      <c r="E45" s="266"/>
      <c r="F45" s="266">
        <v>5050</v>
      </c>
    </row>
    <row r="46" spans="1:6" s="258" customFormat="1" ht="15.75" customHeight="1">
      <c r="A46" s="263"/>
      <c r="B46" s="263"/>
      <c r="C46" s="264">
        <v>4280</v>
      </c>
      <c r="D46" s="265" t="s">
        <v>178</v>
      </c>
      <c r="E46" s="266"/>
      <c r="F46" s="266">
        <v>964</v>
      </c>
    </row>
    <row r="47" spans="1:6" s="258" customFormat="1" ht="15.75" customHeight="1">
      <c r="A47" s="263"/>
      <c r="B47" s="263"/>
      <c r="C47" s="264">
        <v>4300</v>
      </c>
      <c r="D47" s="265" t="s">
        <v>154</v>
      </c>
      <c r="E47" s="266"/>
      <c r="F47" s="266">
        <v>86496</v>
      </c>
    </row>
    <row r="48" spans="1:6" s="258" customFormat="1" ht="15.75" customHeight="1">
      <c r="A48" s="263"/>
      <c r="B48" s="263"/>
      <c r="C48" s="264">
        <v>4360</v>
      </c>
      <c r="D48" s="265" t="s">
        <v>179</v>
      </c>
      <c r="E48" s="266"/>
      <c r="F48" s="266">
        <v>4251</v>
      </c>
    </row>
    <row r="49" spans="1:6" s="258" customFormat="1" ht="15.75" customHeight="1">
      <c r="A49" s="263"/>
      <c r="B49" s="263"/>
      <c r="C49" s="264">
        <v>4410</v>
      </c>
      <c r="D49" s="265" t="s">
        <v>180</v>
      </c>
      <c r="E49" s="266"/>
      <c r="F49" s="266">
        <v>512</v>
      </c>
    </row>
    <row r="50" spans="1:6" s="258" customFormat="1" ht="15.75" customHeight="1">
      <c r="A50" s="263"/>
      <c r="B50" s="263"/>
      <c r="C50" s="264">
        <v>4430</v>
      </c>
      <c r="D50" s="265" t="s">
        <v>165</v>
      </c>
      <c r="E50" s="266"/>
      <c r="F50" s="266">
        <v>4796</v>
      </c>
    </row>
    <row r="51" spans="1:6" s="258" customFormat="1" ht="15.75" customHeight="1">
      <c r="A51" s="263"/>
      <c r="B51" s="263"/>
      <c r="C51" s="264">
        <v>4440</v>
      </c>
      <c r="D51" s="265" t="s">
        <v>181</v>
      </c>
      <c r="E51" s="266"/>
      <c r="F51" s="266">
        <v>17441</v>
      </c>
    </row>
    <row r="52" spans="1:6" s="258" customFormat="1" ht="15.75" customHeight="1">
      <c r="A52" s="263"/>
      <c r="B52" s="263"/>
      <c r="C52" s="264">
        <v>4480</v>
      </c>
      <c r="D52" s="265" t="s">
        <v>166</v>
      </c>
      <c r="E52" s="266"/>
      <c r="F52" s="266">
        <v>1300</v>
      </c>
    </row>
    <row r="53" spans="1:6" s="258" customFormat="1" ht="15.75" customHeight="1">
      <c r="A53" s="263"/>
      <c r="B53" s="263"/>
      <c r="C53" s="264">
        <v>4550</v>
      </c>
      <c r="D53" s="265" t="s">
        <v>182</v>
      </c>
      <c r="E53" s="266"/>
      <c r="F53" s="266">
        <v>1171</v>
      </c>
    </row>
    <row r="54" spans="1:6" s="258" customFormat="1" ht="15.75" customHeight="1">
      <c r="A54" s="263"/>
      <c r="B54" s="263"/>
      <c r="C54" s="264">
        <v>4610</v>
      </c>
      <c r="D54" s="265" t="s">
        <v>170</v>
      </c>
      <c r="E54" s="266"/>
      <c r="F54" s="266">
        <v>1085</v>
      </c>
    </row>
    <row r="55" spans="1:6" s="258" customFormat="1" ht="27.75" customHeight="1">
      <c r="A55" s="263"/>
      <c r="B55" s="263"/>
      <c r="C55" s="264">
        <v>4700</v>
      </c>
      <c r="D55" s="265" t="s">
        <v>183</v>
      </c>
      <c r="E55" s="266"/>
      <c r="F55" s="266">
        <v>1171</v>
      </c>
    </row>
    <row r="56" spans="1:6" s="258" customFormat="1" ht="22.5" customHeight="1">
      <c r="A56" s="263"/>
      <c r="B56" s="263"/>
      <c r="C56" s="264">
        <v>4710</v>
      </c>
      <c r="D56" s="265" t="s">
        <v>184</v>
      </c>
      <c r="E56" s="266"/>
      <c r="F56" s="266">
        <v>2127</v>
      </c>
    </row>
    <row r="57" spans="1:6" s="258" customFormat="1" ht="16.5" customHeight="1">
      <c r="A57" s="254">
        <v>750</v>
      </c>
      <c r="B57" s="254"/>
      <c r="C57" s="255"/>
      <c r="D57" s="256" t="s">
        <v>185</v>
      </c>
      <c r="E57" s="257">
        <f>SUM(E58,E63)</f>
        <v>54450</v>
      </c>
      <c r="F57" s="257">
        <f>SUM(F58,F63)</f>
        <v>54450</v>
      </c>
    </row>
    <row r="58" spans="1:6" s="258" customFormat="1" ht="17.25" customHeight="1">
      <c r="A58" s="259"/>
      <c r="B58" s="259">
        <v>75011</v>
      </c>
      <c r="C58" s="260"/>
      <c r="D58" s="261" t="s">
        <v>186</v>
      </c>
      <c r="E58" s="262">
        <f>SUM(E59)</f>
        <v>34791</v>
      </c>
      <c r="F58" s="262">
        <f>SUM(F60:F62)</f>
        <v>34791</v>
      </c>
    </row>
    <row r="59" spans="1:6" s="258" customFormat="1" ht="42.75" customHeight="1">
      <c r="A59" s="263"/>
      <c r="B59" s="263"/>
      <c r="C59" s="264">
        <v>2110</v>
      </c>
      <c r="D59" s="265" t="s">
        <v>153</v>
      </c>
      <c r="E59" s="266">
        <v>34791</v>
      </c>
      <c r="F59" s="266"/>
    </row>
    <row r="60" spans="1:6" s="271" customFormat="1" ht="15.75" customHeight="1">
      <c r="A60" s="267"/>
      <c r="B60" s="267"/>
      <c r="C60" s="268">
        <v>4010</v>
      </c>
      <c r="D60" s="269" t="s">
        <v>157</v>
      </c>
      <c r="E60" s="270"/>
      <c r="F60" s="270">
        <v>29080</v>
      </c>
    </row>
    <row r="61" spans="1:6" s="271" customFormat="1" ht="15.75" customHeight="1">
      <c r="A61" s="267"/>
      <c r="B61" s="267"/>
      <c r="C61" s="268">
        <v>4110</v>
      </c>
      <c r="D61" s="269" t="s">
        <v>158</v>
      </c>
      <c r="E61" s="270"/>
      <c r="F61" s="270">
        <v>4999</v>
      </c>
    </row>
    <row r="62" spans="1:6" s="271" customFormat="1" ht="18" customHeight="1">
      <c r="A62" s="267"/>
      <c r="B62" s="267"/>
      <c r="C62" s="268">
        <v>4120</v>
      </c>
      <c r="D62" s="265" t="s">
        <v>159</v>
      </c>
      <c r="E62" s="270"/>
      <c r="F62" s="270">
        <v>712</v>
      </c>
    </row>
    <row r="63" spans="1:6" s="258" customFormat="1" ht="17.25" customHeight="1">
      <c r="A63" s="259"/>
      <c r="B63" s="259">
        <v>75045</v>
      </c>
      <c r="C63" s="260"/>
      <c r="D63" s="261" t="s">
        <v>187</v>
      </c>
      <c r="E63" s="262">
        <f>SUM(E64)</f>
        <v>19659</v>
      </c>
      <c r="F63" s="262">
        <f>SUM(F65:F68)</f>
        <v>19659</v>
      </c>
    </row>
    <row r="64" spans="1:6" s="258" customFormat="1" ht="42.75" customHeight="1">
      <c r="A64" s="263"/>
      <c r="B64" s="263"/>
      <c r="C64" s="264">
        <v>2110</v>
      </c>
      <c r="D64" s="265" t="s">
        <v>153</v>
      </c>
      <c r="E64" s="266">
        <v>19659</v>
      </c>
      <c r="F64" s="266"/>
    </row>
    <row r="65" spans="1:6" s="271" customFormat="1" ht="15.75" customHeight="1">
      <c r="A65" s="267"/>
      <c r="B65" s="267"/>
      <c r="C65" s="268">
        <v>4110</v>
      </c>
      <c r="D65" s="269" t="s">
        <v>158</v>
      </c>
      <c r="E65" s="270"/>
      <c r="F65" s="270">
        <v>2581</v>
      </c>
    </row>
    <row r="66" spans="1:6" s="271" customFormat="1" ht="18" customHeight="1">
      <c r="A66" s="267"/>
      <c r="B66" s="267"/>
      <c r="C66" s="268">
        <v>4120</v>
      </c>
      <c r="D66" s="265" t="s">
        <v>159</v>
      </c>
      <c r="E66" s="270"/>
      <c r="F66" s="270">
        <v>368</v>
      </c>
    </row>
    <row r="67" spans="1:6" s="271" customFormat="1" ht="15.75" customHeight="1">
      <c r="A67" s="267"/>
      <c r="B67" s="267"/>
      <c r="C67" s="268">
        <v>4170</v>
      </c>
      <c r="D67" s="269" t="s">
        <v>160</v>
      </c>
      <c r="E67" s="270"/>
      <c r="F67" s="270">
        <v>15010</v>
      </c>
    </row>
    <row r="68" spans="1:6" s="271" customFormat="1" ht="15.75" customHeight="1">
      <c r="A68" s="267"/>
      <c r="B68" s="267"/>
      <c r="C68" s="268">
        <v>4210</v>
      </c>
      <c r="D68" s="269" t="s">
        <v>161</v>
      </c>
      <c r="E68" s="270"/>
      <c r="F68" s="270">
        <v>1700</v>
      </c>
    </row>
    <row r="69" spans="1:6" s="258" customFormat="1" ht="18" customHeight="1">
      <c r="A69" s="254">
        <v>754</v>
      </c>
      <c r="B69" s="254"/>
      <c r="C69" s="255"/>
      <c r="D69" s="256" t="s">
        <v>188</v>
      </c>
      <c r="E69" s="257">
        <f>SUM(E70)</f>
        <v>8497200</v>
      </c>
      <c r="F69" s="257">
        <f>SUM(F70)</f>
        <v>8497200</v>
      </c>
    </row>
    <row r="70" spans="1:6" s="258" customFormat="1" ht="17.25" customHeight="1">
      <c r="A70" s="259"/>
      <c r="B70" s="259">
        <v>75411</v>
      </c>
      <c r="C70" s="260"/>
      <c r="D70" s="261" t="s">
        <v>189</v>
      </c>
      <c r="E70" s="262">
        <f>SUM(E71,J73)</f>
        <v>8497200</v>
      </c>
      <c r="F70" s="262">
        <f>SUM(F72:F99)</f>
        <v>8497200</v>
      </c>
    </row>
    <row r="71" spans="1:6" s="258" customFormat="1" ht="42.75" customHeight="1">
      <c r="A71" s="263"/>
      <c r="B71" s="263"/>
      <c r="C71" s="264">
        <v>2110</v>
      </c>
      <c r="D71" s="265" t="s">
        <v>153</v>
      </c>
      <c r="E71" s="266">
        <v>8497200</v>
      </c>
      <c r="F71" s="266"/>
    </row>
    <row r="72" spans="1:6" s="258" customFormat="1" ht="28.5" customHeight="1">
      <c r="A72" s="263"/>
      <c r="B72" s="263"/>
      <c r="C72" s="264">
        <v>3070</v>
      </c>
      <c r="D72" s="265" t="s">
        <v>190</v>
      </c>
      <c r="E72" s="266"/>
      <c r="F72" s="266">
        <v>305382</v>
      </c>
    </row>
    <row r="73" spans="1:6" s="258" customFormat="1" ht="15.75" customHeight="1">
      <c r="A73" s="263"/>
      <c r="B73" s="263"/>
      <c r="C73" s="264">
        <v>4010</v>
      </c>
      <c r="D73" s="265" t="s">
        <v>157</v>
      </c>
      <c r="E73" s="266"/>
      <c r="F73" s="266">
        <v>66662</v>
      </c>
    </row>
    <row r="74" spans="1:6" s="258" customFormat="1" ht="15.75" customHeight="1">
      <c r="A74" s="263"/>
      <c r="B74" s="263"/>
      <c r="C74" s="264">
        <v>4020</v>
      </c>
      <c r="D74" s="265" t="s">
        <v>176</v>
      </c>
      <c r="E74" s="266"/>
      <c r="F74" s="266">
        <v>143280</v>
      </c>
    </row>
    <row r="75" spans="1:6" s="258" customFormat="1" ht="15.75" customHeight="1">
      <c r="A75" s="263"/>
      <c r="B75" s="263"/>
      <c r="C75" s="264">
        <v>4040</v>
      </c>
      <c r="D75" s="265" t="s">
        <v>177</v>
      </c>
      <c r="E75" s="266"/>
      <c r="F75" s="266">
        <v>13597</v>
      </c>
    </row>
    <row r="76" spans="1:6" s="258" customFormat="1" ht="15.75" customHeight="1">
      <c r="A76" s="263"/>
      <c r="B76" s="263"/>
      <c r="C76" s="264">
        <v>4050</v>
      </c>
      <c r="D76" s="265" t="s">
        <v>191</v>
      </c>
      <c r="E76" s="266"/>
      <c r="F76" s="266">
        <v>6171917</v>
      </c>
    </row>
    <row r="77" spans="1:6" s="258" customFormat="1" ht="29.25" customHeight="1">
      <c r="A77" s="263"/>
      <c r="B77" s="263"/>
      <c r="C77" s="264">
        <v>4060</v>
      </c>
      <c r="D77" s="265" t="s">
        <v>192</v>
      </c>
      <c r="E77" s="266"/>
      <c r="F77" s="266">
        <v>14806</v>
      </c>
    </row>
    <row r="78" spans="1:6" s="258" customFormat="1" ht="29.25" customHeight="1">
      <c r="A78" s="263"/>
      <c r="B78" s="263"/>
      <c r="C78" s="264">
        <v>4070</v>
      </c>
      <c r="D78" s="265" t="s">
        <v>193</v>
      </c>
      <c r="E78" s="266"/>
      <c r="F78" s="266">
        <v>493331</v>
      </c>
    </row>
    <row r="79" spans="1:6" s="258" customFormat="1" ht="29.25" customHeight="1">
      <c r="A79" s="263"/>
      <c r="B79" s="263"/>
      <c r="C79" s="264">
        <v>4080</v>
      </c>
      <c r="D79" s="265" t="s">
        <v>194</v>
      </c>
      <c r="E79" s="266"/>
      <c r="F79" s="266">
        <v>20592</v>
      </c>
    </row>
    <row r="80" spans="1:6" s="258" customFormat="1" ht="15.75" customHeight="1">
      <c r="A80" s="263"/>
      <c r="B80" s="263"/>
      <c r="C80" s="264">
        <v>4110</v>
      </c>
      <c r="D80" s="265" t="s">
        <v>158</v>
      </c>
      <c r="E80" s="266"/>
      <c r="F80" s="266">
        <v>39260</v>
      </c>
    </row>
    <row r="81" spans="1:6" s="258" customFormat="1" ht="18" customHeight="1">
      <c r="A81" s="263"/>
      <c r="B81" s="263"/>
      <c r="C81" s="264">
        <v>4120</v>
      </c>
      <c r="D81" s="265" t="s">
        <v>159</v>
      </c>
      <c r="E81" s="266"/>
      <c r="F81" s="266">
        <v>5326</v>
      </c>
    </row>
    <row r="82" spans="1:6" s="258" customFormat="1" ht="15.75" customHeight="1">
      <c r="A82" s="263"/>
      <c r="B82" s="263"/>
      <c r="C82" s="264">
        <v>4170</v>
      </c>
      <c r="D82" s="265" t="s">
        <v>160</v>
      </c>
      <c r="E82" s="266"/>
      <c r="F82" s="266">
        <v>5458</v>
      </c>
    </row>
    <row r="83" spans="1:6" s="258" customFormat="1" ht="29.25" customHeight="1">
      <c r="A83" s="263"/>
      <c r="B83" s="263"/>
      <c r="C83" s="264">
        <v>4180</v>
      </c>
      <c r="D83" s="265" t="s">
        <v>195</v>
      </c>
      <c r="E83" s="266"/>
      <c r="F83" s="266">
        <v>649877</v>
      </c>
    </row>
    <row r="84" spans="1:6" s="258" customFormat="1" ht="15.75" customHeight="1">
      <c r="A84" s="263"/>
      <c r="B84" s="263"/>
      <c r="C84" s="264">
        <v>4210</v>
      </c>
      <c r="D84" s="265" t="s">
        <v>161</v>
      </c>
      <c r="E84" s="266"/>
      <c r="F84" s="266">
        <v>134777</v>
      </c>
    </row>
    <row r="85" spans="1:6" s="258" customFormat="1" ht="15.75" customHeight="1">
      <c r="A85" s="263"/>
      <c r="B85" s="263"/>
      <c r="C85" s="264">
        <v>4220</v>
      </c>
      <c r="D85" s="265" t="s">
        <v>196</v>
      </c>
      <c r="E85" s="266"/>
      <c r="F85" s="266">
        <v>5250</v>
      </c>
    </row>
    <row r="86" spans="1:6" s="258" customFormat="1" ht="15.75" customHeight="1">
      <c r="A86" s="263"/>
      <c r="B86" s="263"/>
      <c r="C86" s="264">
        <v>4230</v>
      </c>
      <c r="D86" s="265" t="s">
        <v>197</v>
      </c>
      <c r="E86" s="266"/>
      <c r="F86" s="266">
        <v>6701</v>
      </c>
    </row>
    <row r="87" spans="1:6" s="258" customFormat="1" ht="15.75" customHeight="1">
      <c r="A87" s="263"/>
      <c r="B87" s="263"/>
      <c r="C87" s="264">
        <v>4250</v>
      </c>
      <c r="D87" s="265" t="s">
        <v>198</v>
      </c>
      <c r="E87" s="266"/>
      <c r="F87" s="266">
        <v>4759</v>
      </c>
    </row>
    <row r="88" spans="1:6" s="258" customFormat="1" ht="15.75" customHeight="1">
      <c r="A88" s="263"/>
      <c r="B88" s="263"/>
      <c r="C88" s="264">
        <v>4260</v>
      </c>
      <c r="D88" s="265" t="s">
        <v>162</v>
      </c>
      <c r="E88" s="266"/>
      <c r="F88" s="266">
        <v>206302</v>
      </c>
    </row>
    <row r="89" spans="1:6" s="258" customFormat="1" ht="15.75" customHeight="1">
      <c r="A89" s="263"/>
      <c r="B89" s="263"/>
      <c r="C89" s="264">
        <v>4270</v>
      </c>
      <c r="D89" s="265" t="s">
        <v>163</v>
      </c>
      <c r="E89" s="266"/>
      <c r="F89" s="266">
        <v>78685</v>
      </c>
    </row>
    <row r="90" spans="1:6" s="258" customFormat="1" ht="15.75" customHeight="1">
      <c r="A90" s="263"/>
      <c r="B90" s="263"/>
      <c r="C90" s="264">
        <v>4280</v>
      </c>
      <c r="D90" s="265" t="s">
        <v>178</v>
      </c>
      <c r="E90" s="266"/>
      <c r="F90" s="266">
        <v>23000</v>
      </c>
    </row>
    <row r="91" spans="1:6" s="258" customFormat="1" ht="15.75" customHeight="1">
      <c r="A91" s="263"/>
      <c r="B91" s="263"/>
      <c r="C91" s="264">
        <v>4300</v>
      </c>
      <c r="D91" s="265" t="s">
        <v>154</v>
      </c>
      <c r="E91" s="266"/>
      <c r="F91" s="266">
        <v>63914</v>
      </c>
    </row>
    <row r="92" spans="1:6" s="258" customFormat="1" ht="15.75" customHeight="1">
      <c r="A92" s="263"/>
      <c r="B92" s="263"/>
      <c r="C92" s="264">
        <v>4360</v>
      </c>
      <c r="D92" s="265" t="s">
        <v>179</v>
      </c>
      <c r="E92" s="266"/>
      <c r="F92" s="266">
        <v>5580</v>
      </c>
    </row>
    <row r="93" spans="1:6" s="258" customFormat="1" ht="15.75" customHeight="1">
      <c r="A93" s="263"/>
      <c r="B93" s="263"/>
      <c r="C93" s="264">
        <v>4410</v>
      </c>
      <c r="D93" s="265" t="s">
        <v>180</v>
      </c>
      <c r="E93" s="266"/>
      <c r="F93" s="266">
        <v>10000</v>
      </c>
    </row>
    <row r="94" spans="1:6" s="258" customFormat="1" ht="15.75" customHeight="1">
      <c r="A94" s="263"/>
      <c r="B94" s="263"/>
      <c r="C94" s="264">
        <v>4430</v>
      </c>
      <c r="D94" s="265" t="s">
        <v>165</v>
      </c>
      <c r="E94" s="266"/>
      <c r="F94" s="266">
        <v>1936</v>
      </c>
    </row>
    <row r="95" spans="1:6" s="258" customFormat="1" ht="15.75" customHeight="1">
      <c r="A95" s="263"/>
      <c r="B95" s="263"/>
      <c r="C95" s="264">
        <v>4440</v>
      </c>
      <c r="D95" s="265" t="s">
        <v>181</v>
      </c>
      <c r="E95" s="266"/>
      <c r="F95" s="266">
        <v>6201</v>
      </c>
    </row>
    <row r="96" spans="1:6" s="258" customFormat="1" ht="15.75" customHeight="1">
      <c r="A96" s="263"/>
      <c r="B96" s="263"/>
      <c r="C96" s="264">
        <v>4480</v>
      </c>
      <c r="D96" s="265" t="s">
        <v>166</v>
      </c>
      <c r="E96" s="266"/>
      <c r="F96" s="266">
        <v>9510</v>
      </c>
    </row>
    <row r="97" spans="1:9" s="258" customFormat="1" ht="15.75" customHeight="1">
      <c r="A97" s="263"/>
      <c r="B97" s="263"/>
      <c r="C97" s="264">
        <v>4520</v>
      </c>
      <c r="D97" s="265" t="s">
        <v>167</v>
      </c>
      <c r="E97" s="266"/>
      <c r="F97" s="266">
        <v>4097</v>
      </c>
    </row>
    <row r="98" spans="1:9" s="258" customFormat="1" ht="15.75" customHeight="1">
      <c r="A98" s="263"/>
      <c r="B98" s="263"/>
      <c r="C98" s="264">
        <v>4550</v>
      </c>
      <c r="D98" s="265" t="s">
        <v>182</v>
      </c>
      <c r="E98" s="266"/>
      <c r="F98" s="266">
        <v>2000</v>
      </c>
    </row>
    <row r="99" spans="1:9" s="258" customFormat="1" ht="28.5" customHeight="1">
      <c r="A99" s="263"/>
      <c r="B99" s="263"/>
      <c r="C99" s="264">
        <v>4700</v>
      </c>
      <c r="D99" s="265" t="s">
        <v>183</v>
      </c>
      <c r="E99" s="266"/>
      <c r="F99" s="266">
        <v>5000</v>
      </c>
    </row>
    <row r="100" spans="1:9" s="258" customFormat="1" ht="17.25" customHeight="1">
      <c r="A100" s="254" t="s">
        <v>199</v>
      </c>
      <c r="B100" s="254"/>
      <c r="C100" s="255"/>
      <c r="D100" s="256" t="s">
        <v>200</v>
      </c>
      <c r="E100" s="257">
        <f>AVERAGE(E101)</f>
        <v>330000</v>
      </c>
      <c r="F100" s="257">
        <f>AVERAGE(F101)</f>
        <v>330000</v>
      </c>
    </row>
    <row r="101" spans="1:9" s="258" customFormat="1" ht="17.25" customHeight="1">
      <c r="A101" s="259"/>
      <c r="B101" s="259" t="s">
        <v>201</v>
      </c>
      <c r="C101" s="260"/>
      <c r="D101" s="261" t="s">
        <v>202</v>
      </c>
      <c r="E101" s="262">
        <f>SUM(E102)</f>
        <v>330000</v>
      </c>
      <c r="F101" s="262">
        <f>SUM(F102:F108)</f>
        <v>330000</v>
      </c>
    </row>
    <row r="102" spans="1:9" s="258" customFormat="1" ht="47.25" customHeight="1">
      <c r="A102" s="263"/>
      <c r="B102" s="263"/>
      <c r="C102" s="264">
        <v>2110</v>
      </c>
      <c r="D102" s="273" t="s">
        <v>153</v>
      </c>
      <c r="E102" s="266">
        <v>330000</v>
      </c>
      <c r="F102" s="266"/>
    </row>
    <row r="103" spans="1:9" s="258" customFormat="1" ht="59.25" customHeight="1">
      <c r="A103" s="263"/>
      <c r="B103" s="263"/>
      <c r="C103" s="274">
        <v>2360</v>
      </c>
      <c r="D103" s="275" t="s">
        <v>203</v>
      </c>
      <c r="E103" s="276"/>
      <c r="F103" s="266">
        <v>190080</v>
      </c>
    </row>
    <row r="104" spans="1:9" s="271" customFormat="1" ht="15.75" customHeight="1">
      <c r="A104" s="267"/>
      <c r="B104" s="267"/>
      <c r="C104" s="277">
        <v>4010</v>
      </c>
      <c r="D104" s="269" t="s">
        <v>157</v>
      </c>
      <c r="E104" s="278"/>
      <c r="F104" s="270">
        <v>5400</v>
      </c>
    </row>
    <row r="105" spans="1:9" s="271" customFormat="1" ht="15.75" customHeight="1">
      <c r="A105" s="267"/>
      <c r="B105" s="267"/>
      <c r="C105" s="277">
        <v>4110</v>
      </c>
      <c r="D105" s="269" t="s">
        <v>158</v>
      </c>
      <c r="E105" s="278"/>
      <c r="F105" s="270">
        <v>924</v>
      </c>
    </row>
    <row r="106" spans="1:9" s="271" customFormat="1" ht="18" customHeight="1">
      <c r="A106" s="267"/>
      <c r="B106" s="267"/>
      <c r="C106" s="277">
        <v>4120</v>
      </c>
      <c r="D106" s="265" t="s">
        <v>159</v>
      </c>
      <c r="E106" s="278"/>
      <c r="F106" s="270">
        <v>132</v>
      </c>
    </row>
    <row r="107" spans="1:9" s="271" customFormat="1" ht="15.75" customHeight="1">
      <c r="A107" s="267"/>
      <c r="B107" s="267"/>
      <c r="C107" s="268">
        <v>4210</v>
      </c>
      <c r="D107" s="279" t="s">
        <v>161</v>
      </c>
      <c r="E107" s="270"/>
      <c r="F107" s="270">
        <v>12344</v>
      </c>
    </row>
    <row r="108" spans="1:9" s="271" customFormat="1" ht="15.75" customHeight="1">
      <c r="A108" s="267"/>
      <c r="B108" s="267"/>
      <c r="C108" s="268">
        <v>4300</v>
      </c>
      <c r="D108" s="269" t="s">
        <v>154</v>
      </c>
      <c r="E108" s="270"/>
      <c r="F108" s="270">
        <v>121120</v>
      </c>
      <c r="I108" s="280"/>
    </row>
    <row r="109" spans="1:9" s="258" customFormat="1" ht="17.25" customHeight="1">
      <c r="A109" s="254">
        <v>851</v>
      </c>
      <c r="B109" s="254"/>
      <c r="C109" s="255"/>
      <c r="D109" s="256" t="s">
        <v>204</v>
      </c>
      <c r="E109" s="257">
        <f>SUM(E110)</f>
        <v>1754800</v>
      </c>
      <c r="F109" s="257">
        <f>SUM(F110)</f>
        <v>1754800</v>
      </c>
    </row>
    <row r="110" spans="1:9" s="258" customFormat="1" ht="33.75" customHeight="1">
      <c r="A110" s="259"/>
      <c r="B110" s="259">
        <v>85156</v>
      </c>
      <c r="C110" s="260"/>
      <c r="D110" s="261" t="s">
        <v>205</v>
      </c>
      <c r="E110" s="262">
        <f>E111</f>
        <v>1754800</v>
      </c>
      <c r="F110" s="262">
        <f>F112</f>
        <v>1754800</v>
      </c>
    </row>
    <row r="111" spans="1:9" s="258" customFormat="1" ht="42.75" customHeight="1">
      <c r="A111" s="263"/>
      <c r="B111" s="263"/>
      <c r="C111" s="264">
        <v>2110</v>
      </c>
      <c r="D111" s="265" t="s">
        <v>153</v>
      </c>
      <c r="E111" s="266">
        <v>1754800</v>
      </c>
      <c r="F111" s="266"/>
    </row>
    <row r="112" spans="1:9" s="258" customFormat="1" ht="15.75" customHeight="1">
      <c r="A112" s="263"/>
      <c r="B112" s="263"/>
      <c r="C112" s="264">
        <v>4130</v>
      </c>
      <c r="D112" s="265" t="s">
        <v>206</v>
      </c>
      <c r="E112" s="266"/>
      <c r="F112" s="266">
        <v>1754800</v>
      </c>
    </row>
    <row r="113" spans="1:6" s="258" customFormat="1" ht="17.25" customHeight="1">
      <c r="A113" s="254" t="s">
        <v>207</v>
      </c>
      <c r="B113" s="254"/>
      <c r="C113" s="255"/>
      <c r="D113" s="256" t="s">
        <v>208</v>
      </c>
      <c r="E113" s="257">
        <f>E114</f>
        <v>931200</v>
      </c>
      <c r="F113" s="257">
        <f>F114</f>
        <v>931200</v>
      </c>
    </row>
    <row r="114" spans="1:6" s="258" customFormat="1" ht="17.25" customHeight="1">
      <c r="A114" s="259"/>
      <c r="B114" s="259">
        <v>85203</v>
      </c>
      <c r="C114" s="260"/>
      <c r="D114" s="261" t="s">
        <v>209</v>
      </c>
      <c r="E114" s="262">
        <f>SUM(E115,)</f>
        <v>931200</v>
      </c>
      <c r="F114" s="262">
        <f>SUM(F116:F135)</f>
        <v>931200</v>
      </c>
    </row>
    <row r="115" spans="1:6" s="258" customFormat="1" ht="43.5" customHeight="1">
      <c r="A115" s="263"/>
      <c r="B115" s="263"/>
      <c r="C115" s="264">
        <v>2110</v>
      </c>
      <c r="D115" s="265" t="s">
        <v>153</v>
      </c>
      <c r="E115" s="266">
        <v>931200</v>
      </c>
      <c r="F115" s="266"/>
    </row>
    <row r="116" spans="1:6" s="258" customFormat="1" ht="15.75" customHeight="1">
      <c r="A116" s="263"/>
      <c r="B116" s="263"/>
      <c r="C116" s="268">
        <v>3020</v>
      </c>
      <c r="D116" s="265" t="s">
        <v>175</v>
      </c>
      <c r="E116" s="270"/>
      <c r="F116" s="270">
        <v>300</v>
      </c>
    </row>
    <row r="117" spans="1:6" s="271" customFormat="1" ht="15.75" customHeight="1">
      <c r="A117" s="267"/>
      <c r="B117" s="267"/>
      <c r="C117" s="268">
        <v>4010</v>
      </c>
      <c r="D117" s="269" t="s">
        <v>157</v>
      </c>
      <c r="E117" s="270"/>
      <c r="F117" s="270">
        <v>559006</v>
      </c>
    </row>
    <row r="118" spans="1:6" s="271" customFormat="1" ht="15.75" customHeight="1">
      <c r="A118" s="267"/>
      <c r="B118" s="267"/>
      <c r="C118" s="268">
        <v>4040</v>
      </c>
      <c r="D118" s="269" t="s">
        <v>177</v>
      </c>
      <c r="E118" s="270"/>
      <c r="F118" s="270">
        <v>40867</v>
      </c>
    </row>
    <row r="119" spans="1:6" s="271" customFormat="1" ht="15.75" customHeight="1">
      <c r="A119" s="267"/>
      <c r="B119" s="267"/>
      <c r="C119" s="268">
        <v>4110</v>
      </c>
      <c r="D119" s="269" t="s">
        <v>158</v>
      </c>
      <c r="E119" s="270"/>
      <c r="F119" s="270">
        <v>104737</v>
      </c>
    </row>
    <row r="120" spans="1:6" s="271" customFormat="1" ht="18" customHeight="1">
      <c r="A120" s="267"/>
      <c r="B120" s="267"/>
      <c r="C120" s="268">
        <v>4120</v>
      </c>
      <c r="D120" s="265" t="s">
        <v>159</v>
      </c>
      <c r="E120" s="270"/>
      <c r="F120" s="270">
        <v>11742</v>
      </c>
    </row>
    <row r="121" spans="1:6" s="271" customFormat="1" ht="15.75" customHeight="1">
      <c r="A121" s="267"/>
      <c r="B121" s="267"/>
      <c r="C121" s="268">
        <v>4170</v>
      </c>
      <c r="D121" s="269" t="s">
        <v>160</v>
      </c>
      <c r="E121" s="270"/>
      <c r="F121" s="270">
        <v>5640</v>
      </c>
    </row>
    <row r="122" spans="1:6" s="271" customFormat="1" ht="15.75" customHeight="1">
      <c r="A122" s="267"/>
      <c r="B122" s="267"/>
      <c r="C122" s="268">
        <v>4210</v>
      </c>
      <c r="D122" s="269" t="s">
        <v>161</v>
      </c>
      <c r="E122" s="270"/>
      <c r="F122" s="270">
        <v>40402</v>
      </c>
    </row>
    <row r="123" spans="1:6" s="271" customFormat="1" ht="15.75" customHeight="1">
      <c r="A123" s="267"/>
      <c r="B123" s="267"/>
      <c r="C123" s="268">
        <v>4220</v>
      </c>
      <c r="D123" s="269" t="s">
        <v>196</v>
      </c>
      <c r="E123" s="270"/>
      <c r="F123" s="270">
        <v>12689</v>
      </c>
    </row>
    <row r="124" spans="1:6" s="271" customFormat="1" ht="15.75" customHeight="1">
      <c r="A124" s="267"/>
      <c r="B124" s="267"/>
      <c r="C124" s="268">
        <v>4260</v>
      </c>
      <c r="D124" s="269" t="s">
        <v>162</v>
      </c>
      <c r="E124" s="270"/>
      <c r="F124" s="270">
        <v>9500</v>
      </c>
    </row>
    <row r="125" spans="1:6" s="271" customFormat="1" ht="15.75" customHeight="1">
      <c r="A125" s="267"/>
      <c r="B125" s="267"/>
      <c r="C125" s="268">
        <v>4270</v>
      </c>
      <c r="D125" s="269" t="s">
        <v>163</v>
      </c>
      <c r="E125" s="270"/>
      <c r="F125" s="270">
        <v>5000</v>
      </c>
    </row>
    <row r="126" spans="1:6" s="271" customFormat="1" ht="15.75" customHeight="1">
      <c r="A126" s="267"/>
      <c r="B126" s="267"/>
      <c r="C126" s="268">
        <v>4280</v>
      </c>
      <c r="D126" s="269" t="s">
        <v>178</v>
      </c>
      <c r="E126" s="270"/>
      <c r="F126" s="270">
        <v>450</v>
      </c>
    </row>
    <row r="127" spans="1:6" s="271" customFormat="1" ht="15.75" customHeight="1">
      <c r="A127" s="267"/>
      <c r="B127" s="267"/>
      <c r="C127" s="268">
        <v>4300</v>
      </c>
      <c r="D127" s="269" t="s">
        <v>154</v>
      </c>
      <c r="E127" s="270"/>
      <c r="F127" s="270">
        <v>92640</v>
      </c>
    </row>
    <row r="128" spans="1:6" s="271" customFormat="1" ht="15.75" customHeight="1">
      <c r="A128" s="267"/>
      <c r="B128" s="267"/>
      <c r="C128" s="268">
        <v>4360</v>
      </c>
      <c r="D128" s="269" t="s">
        <v>179</v>
      </c>
      <c r="E128" s="270"/>
      <c r="F128" s="270">
        <v>1975</v>
      </c>
    </row>
    <row r="129" spans="1:6" s="271" customFormat="1" ht="15.75" customHeight="1">
      <c r="A129" s="267"/>
      <c r="B129" s="267"/>
      <c r="C129" s="268">
        <v>4410</v>
      </c>
      <c r="D129" s="269" t="s">
        <v>180</v>
      </c>
      <c r="E129" s="270"/>
      <c r="F129" s="270">
        <v>2006</v>
      </c>
    </row>
    <row r="130" spans="1:6" s="271" customFormat="1" ht="15.75" customHeight="1">
      <c r="A130" s="267"/>
      <c r="B130" s="267"/>
      <c r="C130" s="268">
        <v>4430</v>
      </c>
      <c r="D130" s="269" t="s">
        <v>165</v>
      </c>
      <c r="E130" s="270"/>
      <c r="F130" s="270">
        <v>972</v>
      </c>
    </row>
    <row r="131" spans="1:6" s="271" customFormat="1" ht="15.75" customHeight="1">
      <c r="A131" s="267"/>
      <c r="B131" s="267"/>
      <c r="C131" s="268">
        <v>4440</v>
      </c>
      <c r="D131" s="269" t="s">
        <v>181</v>
      </c>
      <c r="E131" s="270"/>
      <c r="F131" s="270">
        <v>15521</v>
      </c>
    </row>
    <row r="132" spans="1:6" s="271" customFormat="1" ht="15.75" customHeight="1">
      <c r="A132" s="267"/>
      <c r="B132" s="267"/>
      <c r="C132" s="268">
        <v>4480</v>
      </c>
      <c r="D132" s="269" t="s">
        <v>166</v>
      </c>
      <c r="E132" s="270"/>
      <c r="F132" s="270">
        <v>3698</v>
      </c>
    </row>
    <row r="133" spans="1:6" s="271" customFormat="1" ht="15.75" customHeight="1">
      <c r="A133" s="267"/>
      <c r="B133" s="267"/>
      <c r="C133" s="268">
        <v>4520</v>
      </c>
      <c r="D133" s="269" t="s">
        <v>167</v>
      </c>
      <c r="E133" s="270"/>
      <c r="F133" s="270">
        <v>3057</v>
      </c>
    </row>
    <row r="134" spans="1:6" s="271" customFormat="1" ht="31.5" customHeight="1">
      <c r="A134" s="267"/>
      <c r="B134" s="267"/>
      <c r="C134" s="268">
        <v>4700</v>
      </c>
      <c r="D134" s="269" t="s">
        <v>183</v>
      </c>
      <c r="E134" s="270"/>
      <c r="F134" s="270">
        <v>12000</v>
      </c>
    </row>
    <row r="135" spans="1:6" s="271" customFormat="1" ht="31.5" customHeight="1">
      <c r="A135" s="267"/>
      <c r="B135" s="267"/>
      <c r="C135" s="268">
        <v>4710</v>
      </c>
      <c r="D135" s="269" t="s">
        <v>184</v>
      </c>
      <c r="E135" s="270"/>
      <c r="F135" s="270">
        <v>8998</v>
      </c>
    </row>
    <row r="136" spans="1:6" s="258" customFormat="1" ht="17.25" customHeight="1">
      <c r="A136" s="254">
        <v>853</v>
      </c>
      <c r="B136" s="254"/>
      <c r="C136" s="255"/>
      <c r="D136" s="256" t="s">
        <v>210</v>
      </c>
      <c r="E136" s="257">
        <f>SUM(E137)</f>
        <v>275000</v>
      </c>
      <c r="F136" s="257">
        <f>SUM(F137)</f>
        <v>275000</v>
      </c>
    </row>
    <row r="137" spans="1:6" s="258" customFormat="1" ht="17.25" customHeight="1">
      <c r="A137" s="259"/>
      <c r="B137" s="259">
        <v>85321</v>
      </c>
      <c r="C137" s="260"/>
      <c r="D137" s="261" t="s">
        <v>211</v>
      </c>
      <c r="E137" s="262">
        <f>SUM(E138)</f>
        <v>275000</v>
      </c>
      <c r="F137" s="262">
        <f>SUM(F138:F149)</f>
        <v>275000</v>
      </c>
    </row>
    <row r="138" spans="1:6" s="258" customFormat="1" ht="42.75" customHeight="1">
      <c r="A138" s="263"/>
      <c r="B138" s="263"/>
      <c r="C138" s="264">
        <v>2110</v>
      </c>
      <c r="D138" s="265" t="s">
        <v>153</v>
      </c>
      <c r="E138" s="266">
        <v>275000</v>
      </c>
      <c r="F138" s="266"/>
    </row>
    <row r="139" spans="1:6" s="258" customFormat="1" ht="15.75" customHeight="1">
      <c r="A139" s="263"/>
      <c r="B139" s="263"/>
      <c r="C139" s="264">
        <v>3020</v>
      </c>
      <c r="D139" s="265" t="s">
        <v>175</v>
      </c>
      <c r="E139" s="266"/>
      <c r="F139" s="266">
        <v>300</v>
      </c>
    </row>
    <row r="140" spans="1:6" s="271" customFormat="1" ht="15.75" customHeight="1">
      <c r="A140" s="267"/>
      <c r="B140" s="267"/>
      <c r="C140" s="268">
        <v>4010</v>
      </c>
      <c r="D140" s="269" t="s">
        <v>157</v>
      </c>
      <c r="E140" s="270"/>
      <c r="F140" s="270">
        <v>127593</v>
      </c>
    </row>
    <row r="141" spans="1:6" s="271" customFormat="1" ht="15.75" customHeight="1">
      <c r="A141" s="267"/>
      <c r="B141" s="267"/>
      <c r="C141" s="268">
        <v>4040</v>
      </c>
      <c r="D141" s="269" t="s">
        <v>177</v>
      </c>
      <c r="E141" s="270"/>
      <c r="F141" s="270">
        <v>8347</v>
      </c>
    </row>
    <row r="142" spans="1:6" s="271" customFormat="1" ht="15.75" customHeight="1">
      <c r="A142" s="267"/>
      <c r="B142" s="267"/>
      <c r="C142" s="268">
        <v>4110</v>
      </c>
      <c r="D142" s="269" t="s">
        <v>158</v>
      </c>
      <c r="E142" s="270"/>
      <c r="F142" s="270">
        <v>29472</v>
      </c>
    </row>
    <row r="143" spans="1:6" s="271" customFormat="1" ht="18" customHeight="1">
      <c r="A143" s="267"/>
      <c r="B143" s="267"/>
      <c r="C143" s="268">
        <v>4120</v>
      </c>
      <c r="D143" s="265" t="s">
        <v>159</v>
      </c>
      <c r="E143" s="270"/>
      <c r="F143" s="270">
        <v>3011</v>
      </c>
    </row>
    <row r="144" spans="1:6" s="271" customFormat="1" ht="15.75" customHeight="1">
      <c r="A144" s="267"/>
      <c r="B144" s="267"/>
      <c r="C144" s="268">
        <v>4170</v>
      </c>
      <c r="D144" s="269" t="s">
        <v>160</v>
      </c>
      <c r="E144" s="270"/>
      <c r="F144" s="270">
        <v>39210</v>
      </c>
    </row>
    <row r="145" spans="1:6" s="271" customFormat="1" ht="15.75" customHeight="1">
      <c r="A145" s="267"/>
      <c r="B145" s="267"/>
      <c r="C145" s="268">
        <v>4210</v>
      </c>
      <c r="D145" s="269" t="s">
        <v>161</v>
      </c>
      <c r="E145" s="270"/>
      <c r="F145" s="270">
        <v>1720</v>
      </c>
    </row>
    <row r="146" spans="1:6" s="271" customFormat="1" ht="15.75" customHeight="1">
      <c r="A146" s="267"/>
      <c r="B146" s="267"/>
      <c r="C146" s="268">
        <v>4280</v>
      </c>
      <c r="D146" s="269" t="s">
        <v>178</v>
      </c>
      <c r="E146" s="270"/>
      <c r="F146" s="270">
        <v>100</v>
      </c>
    </row>
    <row r="147" spans="1:6" s="271" customFormat="1" ht="15.75" customHeight="1">
      <c r="A147" s="267"/>
      <c r="B147" s="267"/>
      <c r="C147" s="268">
        <v>4300</v>
      </c>
      <c r="D147" s="269" t="s">
        <v>154</v>
      </c>
      <c r="E147" s="270"/>
      <c r="F147" s="270">
        <v>59303</v>
      </c>
    </row>
    <row r="148" spans="1:6" s="271" customFormat="1" ht="15.75" customHeight="1">
      <c r="A148" s="267"/>
      <c r="B148" s="267"/>
      <c r="C148" s="268">
        <v>4440</v>
      </c>
      <c r="D148" s="269" t="s">
        <v>181</v>
      </c>
      <c r="E148" s="270"/>
      <c r="F148" s="270">
        <v>3604</v>
      </c>
    </row>
    <row r="149" spans="1:6" s="271" customFormat="1" ht="15.75" customHeight="1">
      <c r="A149" s="267"/>
      <c r="B149" s="267"/>
      <c r="C149" s="268">
        <v>4710</v>
      </c>
      <c r="D149" s="269" t="s">
        <v>184</v>
      </c>
      <c r="E149" s="270"/>
      <c r="F149" s="270">
        <v>2340</v>
      </c>
    </row>
    <row r="150" spans="1:6" s="271" customFormat="1" ht="15.75" customHeight="1">
      <c r="A150" s="254" t="s">
        <v>212</v>
      </c>
      <c r="B150" s="254"/>
      <c r="C150" s="255"/>
      <c r="D150" s="256" t="s">
        <v>213</v>
      </c>
      <c r="E150" s="257">
        <f>E151+E155</f>
        <v>356000</v>
      </c>
      <c r="F150" s="257">
        <f>F151+F155</f>
        <v>356000</v>
      </c>
    </row>
    <row r="151" spans="1:6" s="258" customFormat="1" ht="17.25" customHeight="1">
      <c r="A151" s="259"/>
      <c r="B151" s="259" t="s">
        <v>214</v>
      </c>
      <c r="C151" s="260"/>
      <c r="D151" s="261" t="s">
        <v>215</v>
      </c>
      <c r="E151" s="262">
        <f>SUM(E152)</f>
        <v>197000</v>
      </c>
      <c r="F151" s="262">
        <f>SUM(F152:F154)</f>
        <v>197000</v>
      </c>
    </row>
    <row r="152" spans="1:6" s="271" customFormat="1" ht="60" customHeight="1">
      <c r="A152" s="267"/>
      <c r="B152" s="267"/>
      <c r="C152" s="268">
        <v>2160</v>
      </c>
      <c r="D152" s="281" t="s">
        <v>216</v>
      </c>
      <c r="E152" s="270">
        <v>197000</v>
      </c>
      <c r="F152" s="270"/>
    </row>
    <row r="153" spans="1:6" s="271" customFormat="1" ht="15.75" customHeight="1">
      <c r="A153" s="267"/>
      <c r="B153" s="267"/>
      <c r="C153" s="268">
        <v>3110</v>
      </c>
      <c r="D153" s="269" t="s">
        <v>217</v>
      </c>
      <c r="E153" s="270"/>
      <c r="F153" s="270">
        <v>195050</v>
      </c>
    </row>
    <row r="154" spans="1:6" s="271" customFormat="1" ht="15.75" customHeight="1">
      <c r="A154" s="267"/>
      <c r="B154" s="267"/>
      <c r="C154" s="268">
        <v>4010</v>
      </c>
      <c r="D154" s="269" t="s">
        <v>157</v>
      </c>
      <c r="E154" s="270"/>
      <c r="F154" s="270">
        <v>1950</v>
      </c>
    </row>
    <row r="155" spans="1:6" s="258" customFormat="1" ht="17.25" customHeight="1">
      <c r="A155" s="259"/>
      <c r="B155" s="259" t="s">
        <v>218</v>
      </c>
      <c r="C155" s="260"/>
      <c r="D155" s="261" t="s">
        <v>219</v>
      </c>
      <c r="E155" s="262">
        <f>SUM(E156:E157)</f>
        <v>159000</v>
      </c>
      <c r="F155" s="262">
        <f>SUM(F158:F159)</f>
        <v>159000</v>
      </c>
    </row>
    <row r="156" spans="1:6" s="258" customFormat="1" ht="52.9" customHeight="1">
      <c r="A156" s="263"/>
      <c r="B156" s="263"/>
      <c r="C156" s="264">
        <v>2110</v>
      </c>
      <c r="D156" s="265" t="s">
        <v>153</v>
      </c>
      <c r="E156" s="266">
        <v>5000</v>
      </c>
      <c r="F156" s="266"/>
    </row>
    <row r="157" spans="1:6" s="271" customFormat="1" ht="61.5" customHeight="1">
      <c r="A157" s="267"/>
      <c r="B157" s="267"/>
      <c r="C157" s="268">
        <v>2160</v>
      </c>
      <c r="D157" s="281" t="s">
        <v>216</v>
      </c>
      <c r="E157" s="270">
        <v>154000</v>
      </c>
      <c r="F157" s="270"/>
    </row>
    <row r="158" spans="1:6" s="271" customFormat="1" ht="15.75" customHeight="1">
      <c r="A158" s="267"/>
      <c r="B158" s="267"/>
      <c r="C158" s="268">
        <v>3110</v>
      </c>
      <c r="D158" s="269" t="s">
        <v>217</v>
      </c>
      <c r="E158" s="270"/>
      <c r="F158" s="270">
        <v>157475</v>
      </c>
    </row>
    <row r="159" spans="1:6" s="271" customFormat="1" ht="15.75" customHeight="1">
      <c r="A159" s="267"/>
      <c r="B159" s="267"/>
      <c r="C159" s="268">
        <v>4010</v>
      </c>
      <c r="D159" s="269" t="s">
        <v>157</v>
      </c>
      <c r="E159" s="270"/>
      <c r="F159" s="270">
        <v>1525</v>
      </c>
    </row>
    <row r="160" spans="1:6" s="258" customFormat="1" ht="20.25" customHeight="1">
      <c r="A160" s="431" t="s">
        <v>220</v>
      </c>
      <c r="B160" s="432"/>
      <c r="C160" s="432"/>
      <c r="D160" s="433"/>
      <c r="E160" s="282">
        <f>SUM(E5,E9,E27,E57,E69,E100,E109,E113,E136,E150,)</f>
        <v>13789650</v>
      </c>
      <c r="F160" s="282">
        <f>SUM(F5,F9,F27,F57,F69,F100,F109,F113,F136,F150,)</f>
        <v>13789650</v>
      </c>
    </row>
    <row r="161" spans="5:6" ht="15.75" customHeight="1"/>
    <row r="162" spans="5:6" ht="15.75" customHeight="1"/>
    <row r="163" spans="5:6" s="285" customFormat="1" ht="15.75" customHeight="1">
      <c r="E163" s="283"/>
      <c r="F163" s="284"/>
    </row>
    <row r="164" spans="5:6" s="285" customFormat="1" ht="15.75" customHeight="1">
      <c r="E164" s="284"/>
      <c r="F164" s="284"/>
    </row>
    <row r="165" spans="5:6" s="285" customFormat="1" ht="15.75" customHeight="1"/>
    <row r="166" spans="5:6" ht="15.75" customHeight="1"/>
    <row r="167" spans="5:6" ht="15.75" customHeight="1"/>
    <row r="168" spans="5:6" ht="15.75" customHeight="1"/>
    <row r="169" spans="5:6" ht="15.75" customHeight="1"/>
    <row r="170" spans="5:6" ht="15.75" customHeight="1"/>
    <row r="171" spans="5:6" ht="15.75" customHeight="1"/>
  </sheetData>
  <sheetProtection formatColumns="0" formatRows="0"/>
  <autoFilter ref="C1:C171" xr:uid="{00000000-0009-0000-0000-000005000000}"/>
  <mergeCells count="2">
    <mergeCell ref="A2:F2"/>
    <mergeCell ref="A160:D160"/>
  </mergeCells>
  <pageMargins left="0.86614173228346458" right="0.23622047244094491" top="1.299212598425197" bottom="0.9055118110236221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..................
Rady Powiatu  Otwockiego
z dnia ............................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C569-82DE-4DC7-BDDE-7F8BB267EC1B}">
  <sheetPr>
    <tabColor rgb="FF92D050"/>
  </sheetPr>
  <dimension ref="B1:G38"/>
  <sheetViews>
    <sheetView zoomScaleNormal="100" workbookViewId="0">
      <pane ySplit="4" topLeftCell="A29" activePane="bottomLeft" state="frozen"/>
      <selection activeCell="M10" sqref="M10"/>
      <selection pane="bottomLeft" activeCell="G18" sqref="G18"/>
    </sheetView>
  </sheetViews>
  <sheetFormatPr defaultColWidth="9.33203125" defaultRowHeight="12"/>
  <cols>
    <col min="1" max="1" width="3.6640625" style="289" customWidth="1"/>
    <col min="2" max="2" width="6.33203125" style="286" customWidth="1"/>
    <col min="3" max="4" width="10" style="286" customWidth="1"/>
    <col min="5" max="5" width="63.5" style="287" customWidth="1"/>
    <col min="6" max="7" width="16.6640625" style="288" customWidth="1"/>
    <col min="8" max="16384" width="9.33203125" style="289"/>
  </cols>
  <sheetData>
    <row r="1" spans="2:7" ht="16.5" customHeight="1"/>
    <row r="2" spans="2:7" ht="29.25" customHeight="1">
      <c r="B2" s="434" t="s">
        <v>266</v>
      </c>
      <c r="C2" s="434"/>
      <c r="D2" s="434"/>
      <c r="E2" s="434"/>
      <c r="F2" s="434"/>
      <c r="G2" s="434"/>
    </row>
    <row r="3" spans="2:7" ht="15.75" customHeight="1">
      <c r="B3" s="290"/>
      <c r="C3" s="290"/>
      <c r="D3" s="290"/>
      <c r="E3" s="290"/>
      <c r="F3" s="290"/>
      <c r="G3" s="290"/>
    </row>
    <row r="4" spans="2:7" s="294" customFormat="1" ht="42" customHeight="1">
      <c r="B4" s="291" t="s">
        <v>0</v>
      </c>
      <c r="C4" s="291" t="s">
        <v>144</v>
      </c>
      <c r="D4" s="291" t="s">
        <v>145</v>
      </c>
      <c r="E4" s="292" t="s">
        <v>146</v>
      </c>
      <c r="F4" s="293" t="s">
        <v>147</v>
      </c>
      <c r="G4" s="293" t="s">
        <v>148</v>
      </c>
    </row>
    <row r="5" spans="2:7" s="294" customFormat="1" ht="17.25" customHeight="1">
      <c r="B5" s="295">
        <v>600</v>
      </c>
      <c r="C5" s="295"/>
      <c r="D5" s="295"/>
      <c r="E5" s="296" t="s">
        <v>221</v>
      </c>
      <c r="F5" s="297">
        <f>SUM(F6,F8,)</f>
        <v>4300000</v>
      </c>
      <c r="G5" s="297">
        <f>SUM(G6,G8,)</f>
        <v>1780000</v>
      </c>
    </row>
    <row r="6" spans="2:7" s="301" customFormat="1" ht="17.25" customHeight="1">
      <c r="B6" s="298"/>
      <c r="C6" s="298">
        <v>60004</v>
      </c>
      <c r="D6" s="298"/>
      <c r="E6" s="299" t="s">
        <v>222</v>
      </c>
      <c r="F6" s="300"/>
      <c r="G6" s="300">
        <f>SUM(G7:G7)</f>
        <v>280000</v>
      </c>
    </row>
    <row r="7" spans="2:7" s="305" customFormat="1" ht="46.5" customHeight="1">
      <c r="B7" s="302"/>
      <c r="C7" s="302"/>
      <c r="D7" s="302">
        <v>2310</v>
      </c>
      <c r="E7" s="303" t="s">
        <v>223</v>
      </c>
      <c r="F7" s="304"/>
      <c r="G7" s="381">
        <f>260000+20000</f>
        <v>280000</v>
      </c>
    </row>
    <row r="8" spans="2:7" s="301" customFormat="1" ht="17.25" customHeight="1">
      <c r="B8" s="298"/>
      <c r="C8" s="298">
        <v>60014</v>
      </c>
      <c r="D8" s="298"/>
      <c r="E8" s="299" t="s">
        <v>224</v>
      </c>
      <c r="F8" s="300">
        <f>SUM(F9:F10)</f>
        <v>4300000</v>
      </c>
      <c r="G8" s="300">
        <f>SUM(G9:G10)</f>
        <v>1500000</v>
      </c>
    </row>
    <row r="9" spans="2:7" s="301" customFormat="1" ht="41.25" customHeight="1">
      <c r="B9" s="306"/>
      <c r="C9" s="306"/>
      <c r="D9" s="306">
        <v>6300</v>
      </c>
      <c r="E9" s="303" t="s">
        <v>225</v>
      </c>
      <c r="F9" s="307">
        <v>4300000</v>
      </c>
      <c r="G9" s="307"/>
    </row>
    <row r="10" spans="2:7" s="301" customFormat="1" ht="47.25" customHeight="1">
      <c r="B10" s="306"/>
      <c r="C10" s="306"/>
      <c r="D10" s="306">
        <v>6300</v>
      </c>
      <c r="E10" s="303" t="s">
        <v>226</v>
      </c>
      <c r="F10" s="307"/>
      <c r="G10" s="382">
        <v>1500000</v>
      </c>
    </row>
    <row r="11" spans="2:7" s="294" customFormat="1" ht="17.25" customHeight="1">
      <c r="B11" s="295">
        <v>710</v>
      </c>
      <c r="C11" s="295"/>
      <c r="D11" s="295"/>
      <c r="E11" s="296" t="s">
        <v>171</v>
      </c>
      <c r="F11" s="297">
        <f>F12</f>
        <v>0</v>
      </c>
      <c r="G11" s="297">
        <f>SUM(G12)</f>
        <v>53618</v>
      </c>
    </row>
    <row r="12" spans="2:7" s="301" customFormat="1" ht="17.25" customHeight="1">
      <c r="B12" s="298"/>
      <c r="C12" s="298">
        <v>71095</v>
      </c>
      <c r="D12" s="298"/>
      <c r="E12" s="299" t="s">
        <v>227</v>
      </c>
      <c r="F12" s="300">
        <f>F13</f>
        <v>0</v>
      </c>
      <c r="G12" s="300">
        <f>SUM(G13)</f>
        <v>53618</v>
      </c>
    </row>
    <row r="13" spans="2:7" s="301" customFormat="1" ht="51" customHeight="1">
      <c r="B13" s="306"/>
      <c r="C13" s="306"/>
      <c r="D13" s="306">
        <v>6639</v>
      </c>
      <c r="E13" s="308" t="s">
        <v>228</v>
      </c>
      <c r="F13" s="304"/>
      <c r="G13" s="381">
        <v>53618</v>
      </c>
    </row>
    <row r="14" spans="2:7" s="301" customFormat="1" ht="24" customHeight="1">
      <c r="B14" s="309">
        <v>750</v>
      </c>
      <c r="C14" s="309"/>
      <c r="D14" s="309"/>
      <c r="E14" s="310" t="s">
        <v>185</v>
      </c>
      <c r="F14" s="311">
        <f>F15</f>
        <v>30000</v>
      </c>
      <c r="G14" s="311">
        <f>G15+G17</f>
        <v>10000</v>
      </c>
    </row>
    <row r="15" spans="2:7" s="301" customFormat="1" ht="21" customHeight="1">
      <c r="B15" s="298"/>
      <c r="C15" s="298">
        <v>75020</v>
      </c>
      <c r="D15" s="298"/>
      <c r="E15" s="299" t="s">
        <v>229</v>
      </c>
      <c r="F15" s="312">
        <f>SUM(F16)</f>
        <v>30000</v>
      </c>
      <c r="G15" s="312"/>
    </row>
    <row r="16" spans="2:7" s="301" customFormat="1" ht="51" customHeight="1">
      <c r="B16" s="306"/>
      <c r="C16" s="306"/>
      <c r="D16" s="306">
        <v>2710</v>
      </c>
      <c r="E16" s="308" t="s">
        <v>230</v>
      </c>
      <c r="F16" s="304">
        <v>30000</v>
      </c>
      <c r="G16" s="304"/>
    </row>
    <row r="17" spans="2:7" s="301" customFormat="1" ht="23.25" customHeight="1">
      <c r="B17" s="298"/>
      <c r="C17" s="298">
        <v>75095</v>
      </c>
      <c r="D17" s="298"/>
      <c r="E17" s="299" t="s">
        <v>231</v>
      </c>
      <c r="F17" s="312"/>
      <c r="G17" s="312">
        <v>10000</v>
      </c>
    </row>
    <row r="18" spans="2:7" s="301" customFormat="1" ht="51" customHeight="1">
      <c r="B18" s="306"/>
      <c r="C18" s="306"/>
      <c r="D18" s="306">
        <v>2710</v>
      </c>
      <c r="E18" s="308" t="s">
        <v>230</v>
      </c>
      <c r="F18" s="304"/>
      <c r="G18" s="381">
        <v>10000</v>
      </c>
    </row>
    <row r="19" spans="2:7" s="294" customFormat="1" ht="17.25" customHeight="1">
      <c r="B19" s="295">
        <v>853</v>
      </c>
      <c r="C19" s="295"/>
      <c r="D19" s="295"/>
      <c r="E19" s="296" t="s">
        <v>210</v>
      </c>
      <c r="F19" s="297">
        <f>SUM(F20)</f>
        <v>16064</v>
      </c>
      <c r="G19" s="297">
        <f>SUM(G20)</f>
        <v>2700</v>
      </c>
    </row>
    <row r="20" spans="2:7" s="301" customFormat="1" ht="19.5" customHeight="1">
      <c r="B20" s="298"/>
      <c r="C20" s="298">
        <v>85311</v>
      </c>
      <c r="D20" s="298"/>
      <c r="E20" s="299" t="s">
        <v>232</v>
      </c>
      <c r="F20" s="300">
        <f>SUM(F21)</f>
        <v>16064</v>
      </c>
      <c r="G20" s="300">
        <f>SUM(G21:G22)</f>
        <v>2700</v>
      </c>
    </row>
    <row r="21" spans="2:7" s="342" customFormat="1" ht="47.25" customHeight="1">
      <c r="B21" s="339"/>
      <c r="C21" s="339"/>
      <c r="D21" s="339">
        <v>2320</v>
      </c>
      <c r="E21" s="340" t="s">
        <v>233</v>
      </c>
      <c r="F21" s="341">
        <v>16064</v>
      </c>
      <c r="G21" s="341"/>
    </row>
    <row r="22" spans="2:7" s="342" customFormat="1" ht="48" customHeight="1">
      <c r="B22" s="339"/>
      <c r="C22" s="339"/>
      <c r="D22" s="339">
        <v>2320</v>
      </c>
      <c r="E22" s="340" t="s">
        <v>234</v>
      </c>
      <c r="F22" s="341"/>
      <c r="G22" s="341">
        <v>2700</v>
      </c>
    </row>
    <row r="23" spans="2:7" s="294" customFormat="1" ht="17.25" customHeight="1">
      <c r="B23" s="295">
        <v>855</v>
      </c>
      <c r="C23" s="295"/>
      <c r="D23" s="295"/>
      <c r="E23" s="296" t="s">
        <v>213</v>
      </c>
      <c r="F23" s="297">
        <f>SUM(F24,F27,F29)</f>
        <v>592605</v>
      </c>
      <c r="G23" s="297">
        <f>SUM(G24,G27,G29)</f>
        <v>837457</v>
      </c>
    </row>
    <row r="24" spans="2:7" s="301" customFormat="1" ht="17.25" customHeight="1">
      <c r="B24" s="298"/>
      <c r="C24" s="298">
        <v>85508</v>
      </c>
      <c r="D24" s="298"/>
      <c r="E24" s="299" t="s">
        <v>215</v>
      </c>
      <c r="F24" s="300">
        <f>SUM(F25)</f>
        <v>392921</v>
      </c>
      <c r="G24" s="300">
        <f>SUM(G25:G26)</f>
        <v>585733</v>
      </c>
    </row>
    <row r="25" spans="2:7" s="305" customFormat="1" ht="50.25" customHeight="1">
      <c r="B25" s="302"/>
      <c r="C25" s="302"/>
      <c r="D25" s="302">
        <v>2320</v>
      </c>
      <c r="E25" s="303" t="s">
        <v>235</v>
      </c>
      <c r="F25" s="304">
        <v>392921</v>
      </c>
      <c r="G25" s="304"/>
    </row>
    <row r="26" spans="2:7" s="305" customFormat="1" ht="47.25" customHeight="1">
      <c r="B26" s="302"/>
      <c r="C26" s="302"/>
      <c r="D26" s="302">
        <v>2320</v>
      </c>
      <c r="E26" s="303" t="s">
        <v>234</v>
      </c>
      <c r="F26" s="304"/>
      <c r="G26" s="304">
        <v>585733</v>
      </c>
    </row>
    <row r="27" spans="2:7" s="301" customFormat="1" ht="17.25" customHeight="1">
      <c r="B27" s="298"/>
      <c r="C27" s="298">
        <v>85509</v>
      </c>
      <c r="D27" s="298"/>
      <c r="E27" s="299" t="s">
        <v>236</v>
      </c>
      <c r="F27" s="300"/>
      <c r="G27" s="300">
        <f>SUM(G28)</f>
        <v>88000</v>
      </c>
    </row>
    <row r="28" spans="2:7" s="305" customFormat="1" ht="52.5" customHeight="1">
      <c r="B28" s="302"/>
      <c r="C28" s="302"/>
      <c r="D28" s="302">
        <v>2330</v>
      </c>
      <c r="E28" s="303" t="s">
        <v>237</v>
      </c>
      <c r="F28" s="304"/>
      <c r="G28" s="304">
        <v>88000</v>
      </c>
    </row>
    <row r="29" spans="2:7" s="301" customFormat="1" ht="17.25" customHeight="1">
      <c r="B29" s="298"/>
      <c r="C29" s="298">
        <v>85510</v>
      </c>
      <c r="D29" s="298"/>
      <c r="E29" s="299" t="s">
        <v>219</v>
      </c>
      <c r="F29" s="300">
        <f>SUM(F30)</f>
        <v>199684</v>
      </c>
      <c r="G29" s="300">
        <f>SUM(G31:G31)</f>
        <v>163724</v>
      </c>
    </row>
    <row r="30" spans="2:7" s="305" customFormat="1" ht="48" customHeight="1">
      <c r="B30" s="302"/>
      <c r="C30" s="302"/>
      <c r="D30" s="302">
        <v>2320</v>
      </c>
      <c r="E30" s="303" t="s">
        <v>233</v>
      </c>
      <c r="F30" s="304">
        <v>199684</v>
      </c>
      <c r="G30" s="304"/>
    </row>
    <row r="31" spans="2:7" s="305" customFormat="1" ht="48.75" customHeight="1">
      <c r="B31" s="302"/>
      <c r="C31" s="302"/>
      <c r="D31" s="302">
        <v>2320</v>
      </c>
      <c r="E31" s="303" t="s">
        <v>234</v>
      </c>
      <c r="F31" s="304"/>
      <c r="G31" s="304">
        <v>163724</v>
      </c>
    </row>
    <row r="32" spans="2:7" s="294" customFormat="1" ht="17.25" customHeight="1">
      <c r="B32" s="295">
        <v>900</v>
      </c>
      <c r="C32" s="295"/>
      <c r="D32" s="295"/>
      <c r="E32" s="296" t="s">
        <v>238</v>
      </c>
      <c r="F32" s="297"/>
      <c r="G32" s="297">
        <f>SUM(G33)</f>
        <v>10000</v>
      </c>
    </row>
    <row r="33" spans="2:7" s="301" customFormat="1" ht="17.25" customHeight="1">
      <c r="B33" s="298"/>
      <c r="C33" s="298">
        <v>90095</v>
      </c>
      <c r="D33" s="298"/>
      <c r="E33" s="299" t="s">
        <v>227</v>
      </c>
      <c r="F33" s="300"/>
      <c r="G33" s="300">
        <f>SUM(G34)</f>
        <v>10000</v>
      </c>
    </row>
    <row r="34" spans="2:7" s="301" customFormat="1" ht="49.5" customHeight="1">
      <c r="B34" s="306"/>
      <c r="C34" s="306"/>
      <c r="D34" s="306">
        <v>2710</v>
      </c>
      <c r="E34" s="308" t="s">
        <v>230</v>
      </c>
      <c r="F34" s="307"/>
      <c r="G34" s="304">
        <v>10000</v>
      </c>
    </row>
    <row r="35" spans="2:7" s="294" customFormat="1" ht="17.25" customHeight="1">
      <c r="B35" s="295">
        <v>921</v>
      </c>
      <c r="C35" s="295"/>
      <c r="D35" s="295"/>
      <c r="E35" s="296" t="s">
        <v>239</v>
      </c>
      <c r="F35" s="297">
        <f>SUM(F36)</f>
        <v>140000</v>
      </c>
      <c r="G35" s="297">
        <f>SUM(G36)</f>
        <v>0</v>
      </c>
    </row>
    <row r="36" spans="2:7" s="301" customFormat="1" ht="17.25" customHeight="1">
      <c r="B36" s="298"/>
      <c r="C36" s="298">
        <v>92116</v>
      </c>
      <c r="D36" s="298"/>
      <c r="E36" s="299" t="s">
        <v>240</v>
      </c>
      <c r="F36" s="300">
        <f>SUM(F37)</f>
        <v>140000</v>
      </c>
      <c r="G36" s="300"/>
    </row>
    <row r="37" spans="2:7" s="305" customFormat="1" ht="48.75" customHeight="1">
      <c r="B37" s="302"/>
      <c r="C37" s="302"/>
      <c r="D37" s="302">
        <v>2710</v>
      </c>
      <c r="E37" s="303" t="s">
        <v>241</v>
      </c>
      <c r="F37" s="304">
        <v>140000</v>
      </c>
      <c r="G37" s="304"/>
    </row>
    <row r="38" spans="2:7" s="301" customFormat="1" ht="24.75" customHeight="1">
      <c r="B38" s="435" t="s">
        <v>220</v>
      </c>
      <c r="C38" s="436"/>
      <c r="D38" s="436"/>
      <c r="E38" s="437"/>
      <c r="F38" s="313">
        <f>F5+F11+F14+F19+F23+F32+F35</f>
        <v>5078669</v>
      </c>
      <c r="G38" s="313">
        <f>G5+G11+G14+G19+G23+G32+G35</f>
        <v>2693775</v>
      </c>
    </row>
  </sheetData>
  <sheetProtection formatColumns="0" formatRows="0"/>
  <mergeCells count="2">
    <mergeCell ref="B2:G2"/>
    <mergeCell ref="B38:E38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.................
Rady Powiatu  Otwockiego
z dnia .............................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A711-30AB-45DB-96EC-024EBCDB6214}">
  <sheetPr>
    <tabColor rgb="FF92D050"/>
  </sheetPr>
  <dimension ref="A1:L56"/>
  <sheetViews>
    <sheetView zoomScaleNormal="100" workbookViewId="0">
      <pane ySplit="5" topLeftCell="A15" activePane="bottomLeft" state="frozen"/>
      <selection activeCell="M10" sqref="M10"/>
      <selection pane="bottomLeft" activeCell="A2" sqref="A2:G2"/>
    </sheetView>
  </sheetViews>
  <sheetFormatPr defaultColWidth="9.33203125" defaultRowHeight="12"/>
  <cols>
    <col min="1" max="1" width="6.5" style="314" customWidth="1"/>
    <col min="2" max="2" width="10.83203125" style="314" customWidth="1"/>
    <col min="3" max="3" width="7.33203125" style="314" customWidth="1"/>
    <col min="4" max="4" width="61.33203125" style="285" customWidth="1"/>
    <col min="5" max="7" width="15.6640625" style="285" customWidth="1"/>
    <col min="8" max="8" width="20.5" style="285" customWidth="1"/>
    <col min="9" max="10" width="9.33203125" style="285"/>
    <col min="11" max="11" width="10.33203125" style="285" bestFit="1" customWidth="1"/>
    <col min="12" max="16384" width="9.33203125" style="285"/>
  </cols>
  <sheetData>
    <row r="1" spans="1:12" ht="9" customHeight="1"/>
    <row r="2" spans="1:12" s="316" customFormat="1" ht="33" customHeight="1">
      <c r="A2" s="442" t="s">
        <v>267</v>
      </c>
      <c r="B2" s="442"/>
      <c r="C2" s="442"/>
      <c r="D2" s="442"/>
      <c r="E2" s="442"/>
      <c r="F2" s="442"/>
      <c r="G2" s="442"/>
      <c r="H2" s="315"/>
    </row>
    <row r="3" spans="1:12" ht="10.5" customHeight="1"/>
    <row r="4" spans="1:12" ht="24" customHeight="1">
      <c r="A4" s="439" t="s">
        <v>0</v>
      </c>
      <c r="B4" s="439" t="s">
        <v>144</v>
      </c>
      <c r="C4" s="439" t="s">
        <v>31</v>
      </c>
      <c r="D4" s="439" t="s">
        <v>7</v>
      </c>
      <c r="E4" s="439" t="s">
        <v>242</v>
      </c>
      <c r="F4" s="439"/>
      <c r="G4" s="439"/>
    </row>
    <row r="5" spans="1:12" ht="24" customHeight="1">
      <c r="A5" s="439"/>
      <c r="B5" s="439"/>
      <c r="C5" s="439"/>
      <c r="D5" s="439"/>
      <c r="E5" s="317" t="s">
        <v>243</v>
      </c>
      <c r="F5" s="317" t="s">
        <v>244</v>
      </c>
      <c r="G5" s="317" t="s">
        <v>245</v>
      </c>
    </row>
    <row r="6" spans="1:12" s="319" customFormat="1" ht="12.75" customHeight="1">
      <c r="A6" s="318">
        <v>1</v>
      </c>
      <c r="B6" s="318">
        <v>2</v>
      </c>
      <c r="C6" s="318">
        <v>3</v>
      </c>
      <c r="D6" s="318">
        <v>4</v>
      </c>
      <c r="E6" s="318">
        <v>5</v>
      </c>
      <c r="F6" s="318">
        <v>6</v>
      </c>
      <c r="G6" s="318">
        <v>7</v>
      </c>
    </row>
    <row r="7" spans="1:12" ht="39" customHeight="1">
      <c r="A7" s="438" t="s">
        <v>246</v>
      </c>
      <c r="B7" s="438"/>
      <c r="C7" s="438"/>
      <c r="D7" s="320" t="s">
        <v>32</v>
      </c>
      <c r="E7" s="321" t="s">
        <v>247</v>
      </c>
      <c r="F7" s="321" t="s">
        <v>247</v>
      </c>
      <c r="G7" s="321" t="s">
        <v>247</v>
      </c>
    </row>
    <row r="8" spans="1:12" s="324" customFormat="1" ht="52.5" customHeight="1">
      <c r="A8" s="322">
        <v>600</v>
      </c>
      <c r="B8" s="322">
        <v>60004</v>
      </c>
      <c r="C8" s="322">
        <v>2310</v>
      </c>
      <c r="D8" s="303" t="s">
        <v>248</v>
      </c>
      <c r="E8" s="323"/>
      <c r="F8" s="323"/>
      <c r="G8" s="353">
        <v>280000</v>
      </c>
    </row>
    <row r="9" spans="1:12" s="324" customFormat="1" ht="57" customHeight="1">
      <c r="A9" s="325">
        <v>600</v>
      </c>
      <c r="B9" s="325">
        <v>60014</v>
      </c>
      <c r="C9" s="325">
        <v>6300</v>
      </c>
      <c r="D9" s="303" t="s">
        <v>226</v>
      </c>
      <c r="E9" s="326"/>
      <c r="F9" s="326"/>
      <c r="G9" s="354">
        <v>1500000</v>
      </c>
    </row>
    <row r="10" spans="1:12" s="324" customFormat="1" ht="57" customHeight="1">
      <c r="A10" s="325">
        <v>710</v>
      </c>
      <c r="B10" s="325">
        <v>71095</v>
      </c>
      <c r="C10" s="325">
        <v>6639</v>
      </c>
      <c r="D10" s="303" t="s">
        <v>249</v>
      </c>
      <c r="E10" s="326"/>
      <c r="F10" s="327"/>
      <c r="G10" s="354">
        <v>53618</v>
      </c>
    </row>
    <row r="11" spans="1:12" s="324" customFormat="1" ht="57" customHeight="1">
      <c r="A11" s="325">
        <v>750</v>
      </c>
      <c r="B11" s="325">
        <v>75095</v>
      </c>
      <c r="C11" s="325">
        <v>2710</v>
      </c>
      <c r="D11" s="328" t="s">
        <v>230</v>
      </c>
      <c r="E11" s="326"/>
      <c r="F11" s="327"/>
      <c r="G11" s="354">
        <v>10000</v>
      </c>
    </row>
    <row r="12" spans="1:12" s="347" customFormat="1" ht="44.25" customHeight="1">
      <c r="A12" s="343">
        <v>754</v>
      </c>
      <c r="B12" s="343">
        <v>75410</v>
      </c>
      <c r="C12" s="343">
        <v>6170</v>
      </c>
      <c r="D12" s="344" t="s">
        <v>268</v>
      </c>
      <c r="E12" s="345"/>
      <c r="F12" s="346"/>
      <c r="G12" s="355">
        <v>40000</v>
      </c>
    </row>
    <row r="13" spans="1:12" s="347" customFormat="1" ht="51.75" customHeight="1">
      <c r="A13" s="343">
        <v>853</v>
      </c>
      <c r="B13" s="343">
        <v>85311</v>
      </c>
      <c r="C13" s="343">
        <v>2320</v>
      </c>
      <c r="D13" s="344" t="s">
        <v>250</v>
      </c>
      <c r="E13" s="349"/>
      <c r="F13" s="349"/>
      <c r="G13" s="356">
        <v>2700</v>
      </c>
      <c r="H13" s="351"/>
      <c r="I13" s="351"/>
      <c r="J13" s="351"/>
      <c r="K13" s="351"/>
      <c r="L13" s="351"/>
    </row>
    <row r="14" spans="1:12" s="324" customFormat="1" ht="51.75" customHeight="1">
      <c r="A14" s="325">
        <v>855</v>
      </c>
      <c r="B14" s="325">
        <v>85508</v>
      </c>
      <c r="C14" s="325">
        <v>2320</v>
      </c>
      <c r="D14" s="328" t="s">
        <v>250</v>
      </c>
      <c r="E14" s="329"/>
      <c r="F14" s="329"/>
      <c r="G14" s="357">
        <v>585733</v>
      </c>
      <c r="H14" s="330"/>
      <c r="I14" s="330"/>
      <c r="J14" s="330"/>
      <c r="K14" s="330"/>
      <c r="L14" s="330"/>
    </row>
    <row r="15" spans="1:12" s="324" customFormat="1" ht="47.25" customHeight="1">
      <c r="A15" s="325">
        <v>855</v>
      </c>
      <c r="B15" s="325">
        <v>85509</v>
      </c>
      <c r="C15" s="325">
        <v>2330</v>
      </c>
      <c r="D15" s="328" t="s">
        <v>251</v>
      </c>
      <c r="E15" s="329"/>
      <c r="F15" s="329"/>
      <c r="G15" s="357">
        <v>88000</v>
      </c>
      <c r="H15" s="330"/>
      <c r="I15" s="330"/>
      <c r="J15" s="330"/>
      <c r="K15" s="330"/>
      <c r="L15" s="330"/>
    </row>
    <row r="16" spans="1:12" s="324" customFormat="1" ht="51.75" customHeight="1">
      <c r="A16" s="325">
        <v>855</v>
      </c>
      <c r="B16" s="325">
        <v>85510</v>
      </c>
      <c r="C16" s="325">
        <v>2320</v>
      </c>
      <c r="D16" s="328" t="s">
        <v>250</v>
      </c>
      <c r="E16" s="329"/>
      <c r="F16" s="329"/>
      <c r="G16" s="357">
        <v>163724</v>
      </c>
      <c r="H16" s="330"/>
      <c r="I16" s="330"/>
      <c r="J16" s="330"/>
      <c r="K16" s="330"/>
      <c r="L16" s="330"/>
    </row>
    <row r="17" spans="1:12" s="324" customFormat="1" ht="48" customHeight="1">
      <c r="A17" s="325">
        <v>900</v>
      </c>
      <c r="B17" s="325">
        <v>90095</v>
      </c>
      <c r="C17" s="325">
        <v>2710</v>
      </c>
      <c r="D17" s="328" t="s">
        <v>230</v>
      </c>
      <c r="E17" s="329"/>
      <c r="F17" s="329"/>
      <c r="G17" s="357">
        <v>10000</v>
      </c>
      <c r="H17" s="330"/>
      <c r="I17" s="330"/>
      <c r="J17" s="330"/>
      <c r="K17" s="330"/>
      <c r="L17" s="330"/>
    </row>
    <row r="18" spans="1:12" s="347" customFormat="1" ht="25.5" customHeight="1">
      <c r="A18" s="343">
        <v>921</v>
      </c>
      <c r="B18" s="343">
        <v>92116</v>
      </c>
      <c r="C18" s="343">
        <v>2480</v>
      </c>
      <c r="D18" s="344" t="s">
        <v>252</v>
      </c>
      <c r="E18" s="348">
        <v>754000</v>
      </c>
      <c r="F18" s="349"/>
      <c r="G18" s="352"/>
      <c r="H18" s="351"/>
      <c r="I18" s="351"/>
      <c r="J18" s="351"/>
      <c r="K18" s="351"/>
      <c r="L18" s="351"/>
    </row>
    <row r="19" spans="1:12" s="332" customFormat="1" ht="27" customHeight="1">
      <c r="A19" s="439" t="s">
        <v>253</v>
      </c>
      <c r="B19" s="439"/>
      <c r="C19" s="439"/>
      <c r="D19" s="439"/>
      <c r="E19" s="331">
        <f>SUM(E8:E18)</f>
        <v>754000</v>
      </c>
      <c r="F19" s="331">
        <f>SUM(F8:F18)</f>
        <v>0</v>
      </c>
      <c r="G19" s="331">
        <f>SUM(G8:G18)</f>
        <v>2733775</v>
      </c>
      <c r="I19" s="333"/>
    </row>
    <row r="20" spans="1:12" s="332" customFormat="1" ht="47.25" customHeight="1">
      <c r="A20" s="438" t="s">
        <v>254</v>
      </c>
      <c r="B20" s="438"/>
      <c r="C20" s="438"/>
      <c r="D20" s="320" t="s">
        <v>32</v>
      </c>
      <c r="E20" s="320" t="s">
        <v>247</v>
      </c>
      <c r="F20" s="320" t="s">
        <v>247</v>
      </c>
      <c r="G20" s="320" t="s">
        <v>247</v>
      </c>
      <c r="I20" s="333"/>
      <c r="K20" s="334"/>
    </row>
    <row r="21" spans="1:12" s="324" customFormat="1" ht="54" customHeight="1">
      <c r="A21" s="335" t="s">
        <v>149</v>
      </c>
      <c r="B21" s="335" t="s">
        <v>255</v>
      </c>
      <c r="C21" s="335" t="s">
        <v>256</v>
      </c>
      <c r="D21" s="328" t="s">
        <v>257</v>
      </c>
      <c r="E21" s="326"/>
      <c r="F21" s="326"/>
      <c r="G21" s="354">
        <v>70000</v>
      </c>
      <c r="I21" s="336"/>
      <c r="K21" s="314"/>
    </row>
    <row r="22" spans="1:12" s="324" customFormat="1" ht="59.25" customHeight="1">
      <c r="A22" s="325">
        <v>630</v>
      </c>
      <c r="B22" s="325">
        <v>63003</v>
      </c>
      <c r="C22" s="325">
        <v>2360</v>
      </c>
      <c r="D22" s="328" t="s">
        <v>203</v>
      </c>
      <c r="E22" s="326"/>
      <c r="F22" s="326"/>
      <c r="G22" s="354">
        <v>8000</v>
      </c>
      <c r="I22" s="336"/>
      <c r="K22" s="314"/>
    </row>
    <row r="23" spans="1:12" s="324" customFormat="1" ht="63.75" customHeight="1">
      <c r="A23" s="325">
        <v>754</v>
      </c>
      <c r="B23" s="325">
        <v>75495</v>
      </c>
      <c r="C23" s="325">
        <v>2360</v>
      </c>
      <c r="D23" s="328" t="s">
        <v>203</v>
      </c>
      <c r="E23" s="326"/>
      <c r="F23" s="326"/>
      <c r="G23" s="354">
        <v>10000</v>
      </c>
      <c r="I23" s="336"/>
      <c r="K23" s="314"/>
    </row>
    <row r="24" spans="1:12" s="324" customFormat="1" ht="63.75" customHeight="1">
      <c r="A24" s="325">
        <v>755</v>
      </c>
      <c r="B24" s="325">
        <v>75515</v>
      </c>
      <c r="C24" s="325">
        <v>2360</v>
      </c>
      <c r="D24" s="328" t="s">
        <v>203</v>
      </c>
      <c r="E24" s="326"/>
      <c r="F24" s="326"/>
      <c r="G24" s="354">
        <v>190080</v>
      </c>
      <c r="I24" s="336"/>
      <c r="K24" s="314"/>
    </row>
    <row r="25" spans="1:12" s="324" customFormat="1" ht="24.95" customHeight="1">
      <c r="A25" s="325">
        <v>801</v>
      </c>
      <c r="B25" s="325">
        <v>80102</v>
      </c>
      <c r="C25" s="325">
        <v>2540</v>
      </c>
      <c r="D25" s="328" t="s">
        <v>258</v>
      </c>
      <c r="E25" s="359">
        <v>5073235</v>
      </c>
      <c r="F25" s="360"/>
      <c r="G25" s="358"/>
      <c r="I25" s="336"/>
      <c r="K25" s="314"/>
    </row>
    <row r="26" spans="1:12" s="324" customFormat="1" ht="24.95" customHeight="1">
      <c r="A26" s="325">
        <v>801</v>
      </c>
      <c r="B26" s="325">
        <v>80105</v>
      </c>
      <c r="C26" s="325">
        <v>2540</v>
      </c>
      <c r="D26" s="328" t="s">
        <v>258</v>
      </c>
      <c r="E26" s="359">
        <v>1217915</v>
      </c>
      <c r="F26" s="360"/>
      <c r="G26" s="358"/>
      <c r="I26" s="336"/>
      <c r="K26" s="314"/>
    </row>
    <row r="27" spans="1:12" s="324" customFormat="1" ht="24.95" customHeight="1">
      <c r="A27" s="325">
        <v>801</v>
      </c>
      <c r="B27" s="325">
        <v>80116</v>
      </c>
      <c r="C27" s="325">
        <v>2540</v>
      </c>
      <c r="D27" s="328" t="s">
        <v>258</v>
      </c>
      <c r="E27" s="359">
        <v>2606874</v>
      </c>
      <c r="F27" s="360"/>
      <c r="G27" s="358"/>
      <c r="I27" s="336"/>
      <c r="K27" s="314"/>
    </row>
    <row r="28" spans="1:12" s="324" customFormat="1" ht="24.95" customHeight="1">
      <c r="A28" s="325">
        <v>801</v>
      </c>
      <c r="B28" s="325">
        <v>80120</v>
      </c>
      <c r="C28" s="325">
        <v>2540</v>
      </c>
      <c r="D28" s="328" t="s">
        <v>258</v>
      </c>
      <c r="E28" s="359">
        <v>1780206</v>
      </c>
      <c r="F28" s="361"/>
      <c r="G28" s="362"/>
    </row>
    <row r="29" spans="1:12" s="324" customFormat="1" ht="24.95" customHeight="1">
      <c r="A29" s="325">
        <v>801</v>
      </c>
      <c r="B29" s="325">
        <v>80150</v>
      </c>
      <c r="C29" s="325">
        <v>2540</v>
      </c>
      <c r="D29" s="328" t="s">
        <v>258</v>
      </c>
      <c r="E29" s="359">
        <v>5000</v>
      </c>
      <c r="F29" s="361"/>
      <c r="G29" s="362"/>
    </row>
    <row r="30" spans="1:12" s="324" customFormat="1" ht="24.95" customHeight="1">
      <c r="A30" s="325">
        <v>801</v>
      </c>
      <c r="B30" s="325">
        <v>80152</v>
      </c>
      <c r="C30" s="325">
        <v>2540</v>
      </c>
      <c r="D30" s="328" t="s">
        <v>258</v>
      </c>
      <c r="E30" s="359">
        <v>497451</v>
      </c>
      <c r="F30" s="361"/>
      <c r="G30" s="362"/>
    </row>
    <row r="31" spans="1:12" s="347" customFormat="1" ht="52.5" customHeight="1">
      <c r="A31" s="343">
        <v>851</v>
      </c>
      <c r="B31" s="343">
        <v>85111</v>
      </c>
      <c r="C31" s="343">
        <v>6230</v>
      </c>
      <c r="D31" s="344" t="s">
        <v>259</v>
      </c>
      <c r="E31" s="364"/>
      <c r="F31" s="365"/>
      <c r="G31" s="364">
        <v>4295224</v>
      </c>
    </row>
    <row r="32" spans="1:12" s="324" customFormat="1" ht="36.75" customHeight="1">
      <c r="A32" s="325">
        <v>852</v>
      </c>
      <c r="B32" s="325">
        <v>85202</v>
      </c>
      <c r="C32" s="325">
        <v>2820</v>
      </c>
      <c r="D32" s="328" t="s">
        <v>260</v>
      </c>
      <c r="E32" s="361"/>
      <c r="F32" s="361"/>
      <c r="G32" s="359">
        <v>280000</v>
      </c>
    </row>
    <row r="33" spans="1:11" s="324" customFormat="1" ht="36.75" customHeight="1">
      <c r="A33" s="325">
        <v>852</v>
      </c>
      <c r="B33" s="325">
        <v>85220</v>
      </c>
      <c r="C33" s="325">
        <v>2820</v>
      </c>
      <c r="D33" s="328" t="s">
        <v>260</v>
      </c>
      <c r="E33" s="361"/>
      <c r="F33" s="361"/>
      <c r="G33" s="359">
        <v>165400</v>
      </c>
    </row>
    <row r="34" spans="1:11" s="324" customFormat="1" ht="36.75" customHeight="1">
      <c r="A34" s="325">
        <v>852</v>
      </c>
      <c r="B34" s="325">
        <v>85295</v>
      </c>
      <c r="C34" s="325">
        <v>2827</v>
      </c>
      <c r="D34" s="328" t="s">
        <v>260</v>
      </c>
      <c r="E34" s="361"/>
      <c r="F34" s="361"/>
      <c r="G34" s="359">
        <v>24300</v>
      </c>
    </row>
    <row r="35" spans="1:11" s="347" customFormat="1" ht="34.5" customHeight="1">
      <c r="A35" s="343">
        <v>853</v>
      </c>
      <c r="B35" s="343">
        <v>85311</v>
      </c>
      <c r="C35" s="343">
        <v>2580</v>
      </c>
      <c r="D35" s="344" t="s">
        <v>261</v>
      </c>
      <c r="E35" s="348">
        <v>297185</v>
      </c>
      <c r="F35" s="349"/>
      <c r="G35" s="350"/>
    </row>
    <row r="36" spans="1:11" s="324" customFormat="1" ht="25.5" customHeight="1">
      <c r="A36" s="325">
        <v>854</v>
      </c>
      <c r="B36" s="325">
        <v>85404</v>
      </c>
      <c r="C36" s="325">
        <v>2540</v>
      </c>
      <c r="D36" s="328" t="s">
        <v>258</v>
      </c>
      <c r="E36" s="359">
        <v>459873</v>
      </c>
      <c r="F36" s="361"/>
      <c r="G36" s="362"/>
    </row>
    <row r="37" spans="1:11" s="324" customFormat="1" ht="25.5" customHeight="1">
      <c r="A37" s="325">
        <v>854</v>
      </c>
      <c r="B37" s="325">
        <v>85410</v>
      </c>
      <c r="C37" s="325">
        <v>2540</v>
      </c>
      <c r="D37" s="328" t="s">
        <v>258</v>
      </c>
      <c r="E37" s="359">
        <v>93709</v>
      </c>
      <c r="F37" s="361"/>
      <c r="G37" s="362"/>
    </row>
    <row r="38" spans="1:11" s="324" customFormat="1" ht="60.75" customHeight="1">
      <c r="A38" s="325">
        <v>921</v>
      </c>
      <c r="B38" s="325">
        <v>92105</v>
      </c>
      <c r="C38" s="325">
        <v>2360</v>
      </c>
      <c r="D38" s="328" t="s">
        <v>203</v>
      </c>
      <c r="E38" s="362"/>
      <c r="F38" s="361"/>
      <c r="G38" s="359">
        <v>90000</v>
      </c>
    </row>
    <row r="39" spans="1:11" s="324" customFormat="1" ht="60.75" customHeight="1">
      <c r="A39" s="325">
        <v>921</v>
      </c>
      <c r="B39" s="325">
        <v>92120</v>
      </c>
      <c r="C39" s="325">
        <v>2720</v>
      </c>
      <c r="D39" s="328" t="s">
        <v>262</v>
      </c>
      <c r="E39" s="362"/>
      <c r="F39" s="361"/>
      <c r="G39" s="359">
        <v>60000</v>
      </c>
    </row>
    <row r="40" spans="1:11" s="324" customFormat="1" ht="60.75" customHeight="1">
      <c r="A40" s="325">
        <v>926</v>
      </c>
      <c r="B40" s="325">
        <v>92605</v>
      </c>
      <c r="C40" s="325">
        <v>2360</v>
      </c>
      <c r="D40" s="328" t="s">
        <v>203</v>
      </c>
      <c r="E40" s="363"/>
      <c r="F40" s="361"/>
      <c r="G40" s="359">
        <v>30000</v>
      </c>
      <c r="I40" s="336"/>
      <c r="K40" s="336"/>
    </row>
    <row r="41" spans="1:11" s="324" customFormat="1" ht="22.5" customHeight="1">
      <c r="A41" s="440" t="s">
        <v>263</v>
      </c>
      <c r="B41" s="440"/>
      <c r="C41" s="440"/>
      <c r="D41" s="440"/>
      <c r="E41" s="331">
        <f>SUM(E21:E40)</f>
        <v>12031448</v>
      </c>
      <c r="F41" s="331">
        <f>SUM(F21:F40)</f>
        <v>0</v>
      </c>
      <c r="G41" s="331">
        <f>SUM(G21:G40)</f>
        <v>5223004</v>
      </c>
    </row>
    <row r="42" spans="1:11" s="338" customFormat="1" ht="26.25" customHeight="1">
      <c r="A42" s="441" t="s">
        <v>264</v>
      </c>
      <c r="B42" s="441"/>
      <c r="C42" s="441"/>
      <c r="D42" s="441"/>
      <c r="E42" s="441"/>
      <c r="F42" s="441"/>
      <c r="G42" s="337">
        <f>SUM(E19,G19,E41,G41)</f>
        <v>20742227</v>
      </c>
    </row>
    <row r="43" spans="1:11" ht="15.75" customHeight="1"/>
    <row r="44" spans="1:11" ht="15.75" customHeight="1"/>
    <row r="45" spans="1:11" ht="15.75" customHeight="1"/>
    <row r="46" spans="1:11" ht="15.75" customHeight="1">
      <c r="A46" s="285"/>
      <c r="B46" s="285"/>
      <c r="C46" s="285"/>
    </row>
    <row r="47" spans="1:11" ht="15.75" customHeight="1">
      <c r="A47" s="285"/>
      <c r="B47" s="285"/>
      <c r="C47" s="285"/>
    </row>
    <row r="48" spans="1:11" ht="15.75" customHeight="1">
      <c r="A48" s="285"/>
      <c r="B48" s="285"/>
      <c r="C48" s="28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sheetProtection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19:D19"/>
    <mergeCell ref="A20:C20"/>
    <mergeCell ref="A41:D41"/>
    <mergeCell ref="A42:F42"/>
  </mergeCells>
  <pageMargins left="0.59055118110236227" right="0.31496062992125984" top="1.4173228346456694" bottom="0.62992125984251968" header="0.51181102362204722" footer="0.47244094488188981"/>
  <pageSetup paperSize="9" scale="85" orientation="portrait" horizontalDpi="4294967295" verticalDpi="300" r:id="rId1"/>
  <headerFooter differentFirst="1" alignWithMargins="0">
    <oddFooter>&amp;C&amp;P</oddFooter>
    <firstHeader>&amp;R&amp;10Załącznik Nr 1 
do uchwały Nr .................
Rady Powiatu  Otwockiego
z dnia ..............................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Tab.2a </vt:lpstr>
      <vt:lpstr>Tab.3</vt:lpstr>
      <vt:lpstr>Tab.5 </vt:lpstr>
      <vt:lpstr>Tab.7</vt:lpstr>
      <vt:lpstr>Zał.1</vt:lpstr>
      <vt:lpstr>'Tab.2a '!Obszar_wydruku</vt:lpstr>
      <vt:lpstr>Tab.3!Obszar_wydruku</vt:lpstr>
      <vt:lpstr>'Tab.5 '!Obszar_wydruku</vt:lpstr>
      <vt:lpstr>Zał.1!Obszar_wydruku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2022-02-11T10:25:32Z</cp:lastPrinted>
  <dcterms:created xsi:type="dcterms:W3CDTF">2015-10-09T11:05:37Z</dcterms:created>
  <dcterms:modified xsi:type="dcterms:W3CDTF">2022-02-14T09:33:17Z</dcterms:modified>
</cp:coreProperties>
</file>