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rada zm. grudzień 2021\"/>
    </mc:Choice>
  </mc:AlternateContent>
  <bookViews>
    <workbookView xWindow="-105" yWindow="-105" windowWidth="23250" windowHeight="12570" tabRatio="821" activeTab="2"/>
  </bookViews>
  <sheets>
    <sheet name="Tab.2a  " sheetId="45" r:id="rId1"/>
    <sheet name="Tab.3" sheetId="21" r:id="rId2"/>
    <sheet name="Tab.5" sheetId="33" r:id="rId3"/>
  </sheets>
  <definedNames>
    <definedName name="__xlnm.Print_Area_1" localSheetId="0">#REF!</definedName>
    <definedName name="__xlnm.Print_Area_1" localSheetId="1">#REF!</definedName>
    <definedName name="__xlnm.Print_Area_1">#REF!</definedName>
    <definedName name="_xlnm._FilterDatabase" localSheetId="2" hidden="1">Tab.5!$D$1:$D$181</definedName>
    <definedName name="Inwestycje" localSheetId="0">#REF!</definedName>
    <definedName name="Inwestycje">#REF!</definedName>
    <definedName name="_xlnm.Print_Area" localSheetId="0">'Tab.2a  '!$A$2:$K$145</definedName>
    <definedName name="_xlnm.Print_Area" localSheetId="1">Tab.3!$A$2:$D$25</definedName>
    <definedName name="_xlnm.Print_Area" localSheetId="2">Tab.5!$B$2:$G$179</definedName>
    <definedName name="t" localSheetId="0">#REF!</definedName>
    <definedName name="t" localSheetId="1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45" l="1"/>
  <c r="G57" i="45"/>
  <c r="G69" i="45"/>
  <c r="G70" i="45"/>
  <c r="D22" i="21" l="1"/>
  <c r="G103" i="45" l="1"/>
  <c r="H103" i="45"/>
  <c r="I103" i="45"/>
  <c r="J103" i="45"/>
  <c r="K103" i="45"/>
  <c r="F103" i="45"/>
  <c r="F102" i="45"/>
  <c r="F10" i="45" l="1"/>
  <c r="F46" i="45"/>
  <c r="G10" i="45" l="1"/>
  <c r="G46" i="45"/>
  <c r="G45" i="45"/>
  <c r="D18" i="21" l="1"/>
  <c r="F70" i="45"/>
  <c r="J66" i="45"/>
  <c r="G118" i="45"/>
  <c r="H118" i="45"/>
  <c r="H96" i="45"/>
  <c r="H13" i="45"/>
  <c r="G129" i="45"/>
  <c r="J37" i="45"/>
  <c r="I37" i="45"/>
  <c r="F49" i="45"/>
  <c r="J140" i="45" l="1"/>
  <c r="I140" i="45"/>
  <c r="H140" i="45"/>
  <c r="F139" i="45"/>
  <c r="G138" i="45"/>
  <c r="G140" i="45" s="1"/>
  <c r="J137" i="45"/>
  <c r="I137" i="45"/>
  <c r="H137" i="45"/>
  <c r="G137" i="45"/>
  <c r="F137" i="45"/>
  <c r="F136" i="45"/>
  <c r="J135" i="45"/>
  <c r="I135" i="45"/>
  <c r="H135" i="45"/>
  <c r="G135" i="45"/>
  <c r="F134" i="45"/>
  <c r="F133" i="45"/>
  <c r="F135" i="45" s="1"/>
  <c r="J132" i="45"/>
  <c r="I132" i="45"/>
  <c r="H132" i="45"/>
  <c r="G131" i="45"/>
  <c r="F131" i="45" s="1"/>
  <c r="F132" i="45" s="1"/>
  <c r="J130" i="45"/>
  <c r="I130" i="45"/>
  <c r="H130" i="45"/>
  <c r="G130" i="45"/>
  <c r="F129" i="45"/>
  <c r="F128" i="45"/>
  <c r="F130" i="45" s="1"/>
  <c r="H127" i="45"/>
  <c r="G127" i="45"/>
  <c r="F126" i="45"/>
  <c r="F127" i="45" s="1"/>
  <c r="I125" i="45"/>
  <c r="H125" i="45"/>
  <c r="F124" i="45"/>
  <c r="G123" i="45"/>
  <c r="G125" i="45" s="1"/>
  <c r="I122" i="45"/>
  <c r="F121" i="45"/>
  <c r="G120" i="45"/>
  <c r="F120" i="45" s="1"/>
  <c r="H122" i="45"/>
  <c r="F118" i="45"/>
  <c r="J117" i="45"/>
  <c r="H117" i="45"/>
  <c r="G117" i="45"/>
  <c r="F116" i="45"/>
  <c r="F115" i="45"/>
  <c r="F117" i="45" s="1"/>
  <c r="H114" i="45"/>
  <c r="G114" i="45"/>
  <c r="F113" i="45"/>
  <c r="F112" i="45"/>
  <c r="F114" i="45" s="1"/>
  <c r="H111" i="45"/>
  <c r="G110" i="45"/>
  <c r="F110" i="45" s="1"/>
  <c r="F111" i="45" s="1"/>
  <c r="G108" i="45"/>
  <c r="F108" i="45" s="1"/>
  <c r="F109" i="45" s="1"/>
  <c r="G107" i="45"/>
  <c r="F106" i="45"/>
  <c r="F107" i="45" s="1"/>
  <c r="G104" i="45"/>
  <c r="G105" i="45" s="1"/>
  <c r="F104" i="45"/>
  <c r="F105" i="45" s="1"/>
  <c r="F101" i="45"/>
  <c r="G100" i="45"/>
  <c r="H99" i="45"/>
  <c r="F99" i="45" s="1"/>
  <c r="F98" i="45"/>
  <c r="F97" i="45"/>
  <c r="F96" i="45"/>
  <c r="H95" i="45"/>
  <c r="G95" i="45"/>
  <c r="F94" i="45"/>
  <c r="F95" i="45" s="1"/>
  <c r="H93" i="45"/>
  <c r="G93" i="45"/>
  <c r="F92" i="45"/>
  <c r="F93" i="45" s="1"/>
  <c r="G90" i="45"/>
  <c r="F90" i="45" s="1"/>
  <c r="F91" i="45" s="1"/>
  <c r="H89" i="45"/>
  <c r="G88" i="45"/>
  <c r="F88" i="45" s="1"/>
  <c r="G87" i="45"/>
  <c r="F87" i="45"/>
  <c r="G86" i="45"/>
  <c r="F85" i="45"/>
  <c r="F86" i="45" s="1"/>
  <c r="G83" i="45"/>
  <c r="F83" i="45" s="1"/>
  <c r="J82" i="45"/>
  <c r="I82" i="45"/>
  <c r="H82" i="45"/>
  <c r="F81" i="45"/>
  <c r="F80" i="45"/>
  <c r="G79" i="45"/>
  <c r="F79" i="45" s="1"/>
  <c r="H78" i="45"/>
  <c r="G78" i="45"/>
  <c r="F78" i="45"/>
  <c r="G77" i="45"/>
  <c r="F77" i="45" s="1"/>
  <c r="F76" i="45"/>
  <c r="G75" i="45"/>
  <c r="F75" i="45" s="1"/>
  <c r="G74" i="45"/>
  <c r="F74" i="45" s="1"/>
  <c r="J73" i="45"/>
  <c r="I73" i="45"/>
  <c r="H73" i="45"/>
  <c r="F72" i="45"/>
  <c r="F71" i="45"/>
  <c r="F69" i="45"/>
  <c r="G68" i="45"/>
  <c r="F68" i="45" s="1"/>
  <c r="G67" i="45"/>
  <c r="F67" i="45"/>
  <c r="I66" i="45"/>
  <c r="H66" i="45"/>
  <c r="F65" i="45"/>
  <c r="F62" i="45"/>
  <c r="J61" i="45"/>
  <c r="I61" i="45"/>
  <c r="H61" i="45"/>
  <c r="G61" i="45"/>
  <c r="F61" i="45" s="1"/>
  <c r="G60" i="45"/>
  <c r="F60" i="45"/>
  <c r="H59" i="45"/>
  <c r="H50" i="45" s="1"/>
  <c r="F58" i="45"/>
  <c r="F57" i="45"/>
  <c r="G56" i="45"/>
  <c r="F56" i="45" s="1"/>
  <c r="G55" i="45"/>
  <c r="F55" i="45"/>
  <c r="G54" i="45"/>
  <c r="F54" i="45" s="1"/>
  <c r="F53" i="45"/>
  <c r="F52" i="45"/>
  <c r="F51" i="45"/>
  <c r="J50" i="45"/>
  <c r="I50" i="45"/>
  <c r="H48" i="45"/>
  <c r="F48" i="45" s="1"/>
  <c r="H47" i="45"/>
  <c r="F47" i="45"/>
  <c r="F45" i="45"/>
  <c r="G44" i="45"/>
  <c r="G37" i="45" s="1"/>
  <c r="F44" i="45"/>
  <c r="F42" i="45"/>
  <c r="F41" i="45"/>
  <c r="F40" i="45"/>
  <c r="F39" i="45"/>
  <c r="F38" i="45"/>
  <c r="F36" i="45"/>
  <c r="F34" i="45"/>
  <c r="F32" i="45"/>
  <c r="F31" i="45"/>
  <c r="F30" i="45"/>
  <c r="G29" i="45"/>
  <c r="F29" i="45" s="1"/>
  <c r="H28" i="45"/>
  <c r="F28" i="45"/>
  <c r="F26" i="45"/>
  <c r="H25" i="45"/>
  <c r="F25" i="45"/>
  <c r="F23" i="45"/>
  <c r="J22" i="45"/>
  <c r="I22" i="45"/>
  <c r="H22" i="45"/>
  <c r="F21" i="45"/>
  <c r="F20" i="45"/>
  <c r="H19" i="45"/>
  <c r="F19" i="45"/>
  <c r="F18" i="45"/>
  <c r="H17" i="45"/>
  <c r="F17" i="45"/>
  <c r="G16" i="45"/>
  <c r="F16" i="45" s="1"/>
  <c r="H15" i="45"/>
  <c r="H14" i="45" s="1"/>
  <c r="I14" i="45"/>
  <c r="F13" i="45"/>
  <c r="F12" i="45"/>
  <c r="H11" i="45"/>
  <c r="F11" i="45"/>
  <c r="G9" i="45"/>
  <c r="F9" i="45" s="1"/>
  <c r="F8" i="45"/>
  <c r="J7" i="45"/>
  <c r="I7" i="45"/>
  <c r="I84" i="45" s="1"/>
  <c r="I141" i="45" s="1"/>
  <c r="G50" i="45" l="1"/>
  <c r="F50" i="45" s="1"/>
  <c r="F89" i="45"/>
  <c r="F122" i="45"/>
  <c r="H37" i="45"/>
  <c r="F37" i="45" s="1"/>
  <c r="G66" i="45"/>
  <c r="F66" i="45" s="1"/>
  <c r="G89" i="45"/>
  <c r="G7" i="45"/>
  <c r="F7" i="45" s="1"/>
  <c r="F15" i="45"/>
  <c r="J84" i="45"/>
  <c r="J141" i="45" s="1"/>
  <c r="F59" i="45"/>
  <c r="G82" i="45"/>
  <c r="F82" i="45" s="1"/>
  <c r="G91" i="45"/>
  <c r="F123" i="45"/>
  <c r="F125" i="45" s="1"/>
  <c r="G122" i="45"/>
  <c r="G132" i="45"/>
  <c r="H7" i="45"/>
  <c r="H84" i="45" s="1"/>
  <c r="H141" i="45" s="1"/>
  <c r="G22" i="45"/>
  <c r="F22" i="45" s="1"/>
  <c r="G73" i="45"/>
  <c r="F73" i="45" s="1"/>
  <c r="G14" i="45"/>
  <c r="F14" i="45" s="1"/>
  <c r="G109" i="45"/>
  <c r="G111" i="45"/>
  <c r="F100" i="45"/>
  <c r="F138" i="45"/>
  <c r="F140" i="45" s="1"/>
  <c r="F84" i="45" l="1"/>
  <c r="F141" i="45" s="1"/>
  <c r="G84" i="45"/>
  <c r="G141" i="45" s="1"/>
  <c r="D15" i="21" l="1"/>
  <c r="D14" i="21" l="1"/>
  <c r="D10" i="21"/>
  <c r="D7" i="21"/>
  <c r="D13" i="21" l="1"/>
</calcChain>
</file>

<file path=xl/sharedStrings.xml><?xml version="1.0" encoding="utf-8"?>
<sst xmlns="http://schemas.openxmlformats.org/spreadsheetml/2006/main" count="1091" uniqueCount="467">
  <si>
    <t>Dział</t>
  </si>
  <si>
    <t>Rozdział</t>
  </si>
  <si>
    <t>010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</si>
  <si>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</si>
  <si>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</si>
  <si>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</si>
  <si>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</si>
  <si>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</si>
  <si>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</si>
  <si>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</si>
  <si>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</si>
  <si>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</si>
  <si>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</si>
  <si>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</si>
  <si>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</si>
  <si>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</si>
  <si>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</si>
  <si>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</si>
  <si>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</si>
  <si>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</si>
  <si>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</si>
  <si>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</si>
  <si>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</si>
  <si>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</si>
  <si>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</si>
  <si>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</si>
  <si>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</si>
  <si>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</si>
  <si>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</si>
  <si>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</si>
  <si>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</si>
  <si>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</si>
  <si>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</si>
  <si>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</si>
  <si>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</si>
  <si>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2830</t>
  </si>
  <si>
    <t>Dotacja celowa z budżetu na finansowanie lub dofinansowanie zadań zleconych do realizacji pozostałym jednostkom nie zaliczanym do sektora finansów publicznych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</si>
  <si>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</si>
  <si>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</si>
  <si>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</si>
  <si>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</si>
  <si>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</si>
  <si>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</si>
  <si>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Przychody ze sprzedaży innych papierów wartościowych</t>
  </si>
  <si>
    <t>§ 931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</si>
  <si>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</si>
  <si>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</si>
  <si>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</si>
  <si>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</si>
  <si>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</si>
  <si>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</si>
  <si>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</si>
  <si>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</si>
  <si>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</si>
  <si>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</si>
  <si>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</si>
  <si>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</si>
  <si>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</si>
  <si>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</si>
  <si>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</si>
  <si>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</si>
  <si>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</si>
  <si>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</si>
  <si>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</si>
  <si>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</si>
  <si>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</si>
  <si>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</si>
  <si>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</si>
  <si>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</si>
  <si>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</si>
  <si>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</si>
  <si>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</si>
  <si>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</si>
  <si>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</si>
  <si>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</si>
  <si>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</si>
  <si>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</si>
  <si>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</si>
  <si>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</si>
  <si>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</si>
  <si>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</si>
  <si>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</si>
  <si>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</si>
  <si>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</si>
  <si>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</si>
  <si>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</si>
  <si>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</si>
  <si>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</si>
  <si>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</si>
  <si>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</si>
  <si>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</si>
  <si>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</si>
  <si>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</si>
  <si>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</si>
  <si>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</si>
  <si>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</si>
  <si>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</si>
  <si>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</si>
  <si>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</si>
  <si>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</si>
  <si>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</si>
  <si>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</si>
  <si>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</si>
  <si>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</si>
  <si>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</si>
  <si>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</si>
  <si>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</si>
  <si>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</si>
  <si>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</si>
  <si>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</si>
  <si>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</si>
  <si>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</si>
  <si>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</si>
  <si>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</si>
  <si>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</si>
  <si>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</si>
  <si>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</si>
  <si>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</si>
  <si>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</si>
  <si>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</si>
  <si>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</si>
  <si>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</si>
  <si>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</si>
  <si>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</si>
  <si>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</si>
  <si>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</si>
  <si>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</si>
  <si>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</si>
  <si>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</si>
  <si>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</si>
  <si>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</si>
  <si>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</si>
  <si>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</si>
  <si>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</si>
  <si>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</si>
  <si>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</si>
  <si>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</si>
  <si>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</si>
  <si>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</si>
  <si>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</si>
  <si>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</si>
  <si>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</si>
  <si>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</si>
  <si>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</si>
  <si>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</si>
  <si>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</si>
  <si>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</si>
  <si>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</si>
  <si>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</si>
  <si>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</si>
  <si>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</si>
  <si>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</si>
  <si>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</si>
  <si>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</si>
  <si>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</si>
  <si>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</si>
  <si>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</si>
  <si>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</si>
  <si>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</si>
  <si>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</si>
  <si>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</si>
  <si>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</si>
  <si>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</si>
  <si>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</si>
  <si>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</si>
  <si>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</si>
  <si>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</si>
  <si>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</si>
  <si>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Razem:</t>
  </si>
  <si>
    <t>Przychody i rozchody budżetu w 2021 roku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</si>
  <si>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</si>
  <si>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Pozostała działalność</t>
  </si>
  <si>
    <t>85395</t>
  </si>
  <si>
    <t>Paragraf</t>
  </si>
  <si>
    <t>Wyszczególnienie</t>
  </si>
  <si>
    <t>Dochody</t>
  </si>
  <si>
    <t>Wydatki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</si>
  <si>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</si>
  <si>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</si>
  <si>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</si>
  <si>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</si>
  <si>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4240</t>
  </si>
  <si>
    <t>Zakup środków dydaktycznych i książek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</si>
  <si>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</si>
  <si>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</si>
  <si>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</si>
  <si>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</si>
  <si>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</si>
  <si>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</si>
  <si>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</si>
  <si>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</si>
  <si>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</si>
  <si>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</si>
  <si>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</si>
  <si>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</si>
  <si>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</si>
  <si>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</si>
  <si>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</si>
  <si>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</si>
  <si>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</si>
  <si>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Rozbudowa drogi powiatowej Nr 2713W w miejscowościach Stara Wieś, Dąbrówka i Celestynów</t>
  </si>
  <si>
    <t>C. 1000 000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</si>
  <si>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</si>
  <si>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</si>
  <si>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</si>
  <si>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Doświetlenie przejścia dla pieszych w drodze powiatowej Nr 2766W -                                    ul. 3 Maja  przy skrzyżowaniu z ul. Leśną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</si>
  <si>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</si>
  <si>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</si>
  <si>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</si>
  <si>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</si>
  <si>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12.</t>
  </si>
  <si>
    <t>Poprawa bezpieczeństwa ruchu drogowego na przejściu dla pieszych w Józefowie na ul. Granicznej na drodze nr 2768W</t>
  </si>
  <si>
    <t>A. 50 000</t>
  </si>
  <si>
    <t>Gmina Otwock</t>
  </si>
  <si>
    <t>13.</t>
  </si>
  <si>
    <t>14.</t>
  </si>
  <si>
    <t>Projekt i budowa  brakującego ciągu pieszo-rowerowego i odwodnienia w drodze powiatowej Nr 2759W - ul. Narutowicza w Otwocku na wysokości OSP Jabłonna</t>
  </si>
  <si>
    <t>15.</t>
  </si>
  <si>
    <t>Rozbudowa drogi powiatowej Nr 2765W - ul. Staszica i ul. Kołłątaja w Otwocku na odcinku od ul. Karczewskiej do mostu na rzece Świder</t>
  </si>
  <si>
    <t>16.</t>
  </si>
  <si>
    <t xml:space="preserve">Przedłużenie ul. Narutowicza w Otwocku na odcinku od ul. Andriollego w Otwocku do ul. Ciepłowniczej w Karczewie i dalej  do drogi wojewódzkiej   nr 801 </t>
  </si>
  <si>
    <t>dokumentacja projektowa                      100.000 zł dotacja z gminy Karczew</t>
  </si>
  <si>
    <t>17.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</si>
  <si>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</si>
  <si>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18.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</si>
  <si>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</si>
  <si>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19.</t>
  </si>
  <si>
    <t>Przebudowa drogi powiatowej Nr 2765W ul. Karczewskiej na odcinku Otwock – Karczew</t>
  </si>
  <si>
    <t>20.</t>
  </si>
  <si>
    <t>Droga 2765W - przebudowa chodnika w ul. Karczewskiej w m. Otwock na odcinku od ul. Batorego do ul. Bema</t>
  </si>
  <si>
    <t>21.</t>
  </si>
  <si>
    <t>Poprawa bezpieczeństwa ruchu poprzez budowę ciągów pieszych i rowerowych na ul. Warszawskiej, ul. Jana Pawła II i ul. Poniatowskiego</t>
  </si>
  <si>
    <t>D. 200 000</t>
  </si>
  <si>
    <t>22.</t>
  </si>
  <si>
    <t xml:space="preserve">Dokumentacja projektowa na przebudowę ul. Staszica/ Kołłątaja wraz z przebudową skrzyżowania z ul. Świderską </t>
  </si>
  <si>
    <t>Gmina Karczew</t>
  </si>
  <si>
    <t>23.</t>
  </si>
  <si>
    <t>Przebudowa drogi powiatowej Nr 2724W Karczew - Janów</t>
  </si>
  <si>
    <t>B. 339 768         A. 1 528 539</t>
  </si>
  <si>
    <t>24.</t>
  </si>
  <si>
    <t xml:space="preserve">Wymiana nawierzchni jezdni w drodze powiatowej Nr 2724W ul. Żaboklickiego w Karczewie na odc. od ronda do ul. Częstochowskiej </t>
  </si>
  <si>
    <t>25.</t>
  </si>
  <si>
    <t>Wykonanie nakładki asfaltobetonowej na drodze powiatowej Nr 2728W w Ostrówcu</t>
  </si>
  <si>
    <t>26.</t>
  </si>
  <si>
    <t>Wykonanie nakładki asfaltobetonowej na drodze powiatowej Nr 2726W przez Sobiekursk</t>
  </si>
  <si>
    <t>wpf</t>
  </si>
  <si>
    <t>27.</t>
  </si>
  <si>
    <t>Modernizacja drogi powiatowej w Glinkach</t>
  </si>
  <si>
    <t>28.</t>
  </si>
  <si>
    <t>Modernizacja drogi powiatowej Nr 2730W w Kępie Nadbrzeskiej</t>
  </si>
  <si>
    <t>29.</t>
  </si>
  <si>
    <t>30.</t>
  </si>
  <si>
    <t>Droga Nr 2772W - Przebudowa ul. Świderskiej w Karczewie polegająca na budowie chodnika na odcinku od ul. Kościelnej do ul. Ordona</t>
  </si>
  <si>
    <t>31.</t>
  </si>
  <si>
    <t>Droga Nr 2772W - Modernizacja ul. Świderskiej polegająca na wymianie nawierzchni parkingu zlokalizowanego w pasie drogowym</t>
  </si>
  <si>
    <t>Gmina Kołbiel</t>
  </si>
  <si>
    <t>32.</t>
  </si>
  <si>
    <t xml:space="preserve">Przebudowa drogi powiatowej Nr 2245W m. Dobrzyniec gmina Kołbiel </t>
  </si>
  <si>
    <t>C. 140 000                 B. 100 000</t>
  </si>
  <si>
    <t>33.</t>
  </si>
  <si>
    <t>Modernizacja  drogi powiatowej Nr 2739W w Radachówce</t>
  </si>
  <si>
    <t>34.</t>
  </si>
  <si>
    <t>Modernizacja drogi powiatowej Nr 2737W Anielinek-Sępochów-Rudno</t>
  </si>
  <si>
    <t>35.</t>
  </si>
  <si>
    <t>36.</t>
  </si>
  <si>
    <t>37.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</si>
  <si>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</si>
  <si>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38.</t>
  </si>
  <si>
    <t xml:space="preserve">Nakładka na drodze Sufczyn - Wola Sufczyńska  </t>
  </si>
  <si>
    <t>Gmina Osieck</t>
  </si>
  <si>
    <t>39.</t>
  </si>
  <si>
    <t>Budowa drogi powiatowej Nr 1311W w Natolinie</t>
  </si>
  <si>
    <t>40.</t>
  </si>
  <si>
    <t>Modernizacja drogi powiatowej Nr 2745W  ul. Kobielskiej w Osiecku od działki 994/28 do przejazdu kolejowego</t>
  </si>
  <si>
    <t>C. 50 000</t>
  </si>
  <si>
    <t>41.</t>
  </si>
  <si>
    <t>Wykonanie nakładki asfaltowej na drodze powiatowej Nr 2747W  -  Nowe Kościeliska</t>
  </si>
  <si>
    <t>42.</t>
  </si>
  <si>
    <t>Modernizacja drogi powiatowej Nr 2746W Grabianka - Górki - Osieck</t>
  </si>
  <si>
    <t>Gmina Sobienie Jeziory</t>
  </si>
  <si>
    <t>43.</t>
  </si>
  <si>
    <t>Modernizacja drogi powiatowej Nr 2750W na odcinku  od DW805 do cmentarza w miejsc. Warszawice</t>
  </si>
  <si>
    <t>44.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</si>
  <si>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</si>
  <si>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45.</t>
  </si>
  <si>
    <t>Modernizacja drogi powiatowej Nr 2751W Sobienie Kiełczewski-Zuzanów-Czarnowiec</t>
  </si>
  <si>
    <t>B. 200 000</t>
  </si>
  <si>
    <t>46.</t>
  </si>
  <si>
    <t>Modernizacja drogi powiatowej Nr 2752W Władysławów-Zambrzyków Stary-Sobienie Kiełczewskie</t>
  </si>
  <si>
    <t>Gmina Wiązowna</t>
  </si>
  <si>
    <t>47.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</si>
  <si>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</si>
  <si>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</si>
  <si>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48.</t>
  </si>
  <si>
    <t>Budowa chodnika przy drodze powiatowej Nr 2709W w Czarnówce od skrzyżowania w Gliniance</t>
  </si>
  <si>
    <t>49.</t>
  </si>
  <si>
    <t>Budowa chodnika w drodze powiatowej Nr 2709W w Bolesławowie</t>
  </si>
  <si>
    <t xml:space="preserve"> dokumentacja  projektowo - kosztorysowa</t>
  </si>
  <si>
    <t>50.</t>
  </si>
  <si>
    <t>51.</t>
  </si>
  <si>
    <t>Wykonanie przejść dla pieszych do przystanków komunikacji zbiorowej w miejsc. Żanęcin, Dziechciniec i Malcanów (projekt i wykonanie)</t>
  </si>
  <si>
    <t>52.</t>
  </si>
  <si>
    <t>Budowa chodników w drogach powiatowych na terenie gminy Wiązowna - Majdan   ul. Widoczna</t>
  </si>
  <si>
    <t>53.</t>
  </si>
  <si>
    <t>54.</t>
  </si>
  <si>
    <t>55.</t>
  </si>
  <si>
    <t>Zakupy inwestycyjne w Zarządzie Dróg Powiatowych</t>
  </si>
  <si>
    <t>Razem Rozdział 60014</t>
  </si>
  <si>
    <t>56.</t>
  </si>
  <si>
    <t xml:space="preserve">Dotacja dla Miasta Otwocka na realizację zadania pn. "Wykonanie pomostów/przystani do wodowania i cumowania kajaków na rzece Świder”                  </t>
  </si>
  <si>
    <t>Razem Rozdział 63003</t>
  </si>
  <si>
    <t>57.</t>
  </si>
  <si>
    <t>Ploter ze skanerem - PODGIK</t>
  </si>
  <si>
    <t>58.</t>
  </si>
  <si>
    <t>Serwer dla potrzeb PODGIK</t>
  </si>
  <si>
    <t>Razem Rozdział 71012</t>
  </si>
  <si>
    <t>59.</t>
  </si>
  <si>
    <t>Regionalne partnerstwo samorządów Mazowsza dla aktywizacji społeczeństwa informacyjnego w zakresie e-administracji i geoinformacji</t>
  </si>
  <si>
    <t>Razem Rozdział 71095</t>
  </si>
  <si>
    <t>60.</t>
  </si>
  <si>
    <t>Zakup miernika poziomu dźwięku do pomiaru hałasu w środowisku oraz stacji meteorologicznej ze świadectwem wzorcowania na potrzeby Wydziału Ochrony Środowiska</t>
  </si>
  <si>
    <t>Razem Rozdział 75011</t>
  </si>
  <si>
    <t>61.</t>
  </si>
  <si>
    <t>Dostosowanie pomieszczeń w budynku Starostwa przy ul. Górnej 13 pod salę konferencyjną dla potrzeb posiedzeń Sesji Rady Powiatu</t>
  </si>
  <si>
    <t>Razem Rozdział 75019</t>
  </si>
  <si>
    <t>62.</t>
  </si>
  <si>
    <t>Przebudowa i rozbudowa budynku w Otwocku przy ul. Komunardów wraz z towarzyszącą infrastrukturą na potrzeby siedziby Starostwa i jednostek organizacyjnych powiatu</t>
  </si>
  <si>
    <t>63.</t>
  </si>
  <si>
    <t>64.</t>
  </si>
  <si>
    <t>Wykonanie nowego przyłącza energetycznego do serwerowni w budynku Starostwa Powiatowego w Otwocku przy ul. Górnej 13</t>
  </si>
  <si>
    <t>65.</t>
  </si>
  <si>
    <t>Zakup klimatyzatora wraz z  montażem do pomieszczenia  serwerowni w budynku Starostwa Powiatowego w Otwocku przy ul. Górnej 13</t>
  </si>
  <si>
    <t xml:space="preserve">  Razem Rozdział 75020</t>
  </si>
  <si>
    <t>66.</t>
  </si>
  <si>
    <t>Rozwój elektronicznej administracji w samorządach województwa mazowieckiego wspomagającej niwelowanie dwudzielności potencjału województwa (EA)</t>
  </si>
  <si>
    <t>Razem Rozdział 75095</t>
  </si>
  <si>
    <t>67.</t>
  </si>
  <si>
    <t>Dotacja na dofinansowanie wykonania dokumentacji projektowej wraz z nadzorem autorskim    przebudowy budynku Komendy Powiatowej Policji                                                    w Otwocku</t>
  </si>
  <si>
    <t>Razem Rozdział 75404</t>
  </si>
  <si>
    <t>68.</t>
  </si>
  <si>
    <t>Dotacja dla Komendy Powiatowej Państwowej Straży Pożarnej w Otwocku na remont i modernizację budynku strażnicy</t>
  </si>
  <si>
    <t>Razem Rozdział 75410</t>
  </si>
  <si>
    <t>69.</t>
  </si>
  <si>
    <t>Rezerwa na inwestycje i zakupy inwestycyjne</t>
  </si>
  <si>
    <t>Razem rozdział 75818</t>
  </si>
  <si>
    <t>70.</t>
  </si>
  <si>
    <t>Rewitalizacja parkingu przed budynkiem Liceum Ogólnokształcącego Nr I w Otwocku</t>
  </si>
  <si>
    <t>C. 620 000</t>
  </si>
  <si>
    <t>71.</t>
  </si>
  <si>
    <t>A. 90 000</t>
  </si>
  <si>
    <t>Razem Rozdział 80120</t>
  </si>
  <si>
    <t>72.</t>
  </si>
  <si>
    <t>Wniesienie wkładu pieniężnego - zwiększenie udziału w Powiatowym Centrum Zdrowia Sp. z o.o.</t>
  </si>
  <si>
    <t>73.</t>
  </si>
  <si>
    <t>D. 5 700 000</t>
  </si>
  <si>
    <t>74.</t>
  </si>
  <si>
    <t>Zakup sprzętu i aparatury medycznej na potrzeby Powiatowego Centrum Zdrowia   Sp. z o.o. w restrukturyzacji</t>
  </si>
  <si>
    <t>75.</t>
  </si>
  <si>
    <t>Zakup sprzętu i aparatury medycznej na potrzeby Powiatowego Centrum Zdrowia  Sp. z o.o. w restrukturyzacji</t>
  </si>
  <si>
    <t>Razem Rozdział 85111</t>
  </si>
  <si>
    <t>76.</t>
  </si>
  <si>
    <t>77.</t>
  </si>
  <si>
    <t xml:space="preserve">Budowa Domu Pomocy Społecznej "Wrzos" </t>
  </si>
  <si>
    <t>Razem Rozdział 85202</t>
  </si>
  <si>
    <t>`</t>
  </si>
  <si>
    <t>78.</t>
  </si>
  <si>
    <t>Zakup samochodu do przewozu uczestników ŚDS - wkład własny Powiatu do środków PFRON</t>
  </si>
  <si>
    <t>Razem Rozdział 85203</t>
  </si>
  <si>
    <t>79.</t>
  </si>
  <si>
    <t>Razem Rozdział 85311</t>
  </si>
  <si>
    <t>80.</t>
  </si>
  <si>
    <t>Zakup kontenera biurowego na archiwizację dokumentów w Powiatowym Urzędzie Pracy</t>
  </si>
  <si>
    <t>Razem Rozdział 85333</t>
  </si>
  <si>
    <t>81.</t>
  </si>
  <si>
    <t>Modernizacja budynku Specjalnego Ośrodka Szkolno-Wychowawczego Nr 1 - wzmocnienie stropów, dostosowanie budynku do zaleceń  ppoż.</t>
  </si>
  <si>
    <t>82.</t>
  </si>
  <si>
    <t>Zakup pieca konwekcyjnego na potrzeby Specjalnego Ośrodka Szkolno-Wychowawczego Nr 2</t>
  </si>
  <si>
    <t>Razem Rozdział 85403</t>
  </si>
  <si>
    <t>83.</t>
  </si>
  <si>
    <t>Budowa ogrodzenia w Powiatowej Poradni Psychologiczno-Pedagogicznej w Otwocku</t>
  </si>
  <si>
    <t>Razem Rozdział 85406</t>
  </si>
  <si>
    <t>84.</t>
  </si>
  <si>
    <t>Modernizacja systemu cieplnego RDD Podbiel</t>
  </si>
  <si>
    <t>Razem Rozdział 85510</t>
  </si>
  <si>
    <t>Ogółem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</si>
  <si>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</si>
  <si>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</si>
  <si>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</si>
  <si>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</si>
  <si>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Doświetlanie przejść dla pieszych na drogach powiatowych na terenie gminy Kołbiel w drodze  Nr 2743W w miejsc. Człekówka przy szkole podstawowej</t>
  </si>
  <si>
    <t>Doświetlanie przejść dla pieszych na drogach powiatowych na terenie gminy Sobienie-Jeziory w drodze Nr 2753W w miejsc. Sobienie-Jeziory - ul. Garwolińska przy szkole podstawowej</t>
  </si>
  <si>
    <t xml:space="preserve">Dotacja na sfinansowanie wymaganego wkładu własnego dla placówki prowadzącej  Warsztaty Terapii Zajęciowej  przez  Polskie Stowarzyszenie na Rzecz Osób  z Niepełnosprawnością Intelektualną   w Otwocku, ul. Moniuszki 41  na modernizację budynku w związku z koniecznością wykonania  zaleceń pokontrolnych Państwowej Straży Pożarnej                                  </t>
  </si>
  <si>
    <t>Wykonanie ogrodu sensorycznego – placu zabaw na terenie Rodzinnego Domu Dziecka w Podbieli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</si>
  <si>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                                                          3. Nr 2773W ul. Warszawska w Karczewie przy ul. Przechodniej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</si>
  <si>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</si>
  <si>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</si>
  <si>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</si>
  <si>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</si>
  <si>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</si>
  <si>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</si>
  <si>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</si>
  <si>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</si>
  <si>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</si>
  <si>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</si>
  <si>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</si>
  <si>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 xml:space="preserve">Termomodernizacja  budynku użyteczności  publicznej przy ul. Górnej 13  w Otwocku </t>
  </si>
  <si>
    <t>Poprawa bezpieczeństwa ruchu drogowego na  przejściu dla pieszych w Pogorzeli na ul. Warszawskiej na drodze Nr 2715W</t>
  </si>
  <si>
    <t xml:space="preserve">Poprawa bezpieczeństwa ruchu drogowego na  przejściu dla pieszych w Otwocku na ul. Narutowicza na drodze Nr 2759W
</t>
  </si>
  <si>
    <t>A. 830</t>
  </si>
  <si>
    <t>A. 910</t>
  </si>
  <si>
    <t>Poprawa bezpieczeństwa ruchu drogowego na przejściu dla pieszych w Sobiekursku na drodze Nr 2726W</t>
  </si>
  <si>
    <t>Poprawa bezpieczeństwa ruchu drogowego na  przejściu dla pieszych w  Kątach na ul. Królewskiej na drodze Nr 2745W</t>
  </si>
  <si>
    <t>Poprawa bezpieczeństwa ruchu drogowego na  przejściu dla pieszych w Siedzowie na drodze Nr 1302W</t>
  </si>
  <si>
    <t>A. 680 293,85             C. 696 284,15</t>
  </si>
  <si>
    <t>C. 0</t>
  </si>
  <si>
    <t>Przebudowa drogi powiatowej Nr 2765W ul. Karczewskiej na odcinku Otwock - Karczew - chodnik</t>
  </si>
  <si>
    <t>A. 271 918,15            C. 792 715,85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</si>
  <si>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   Nr 2706W,                                                                                                                                          2.  Nr 271W przy skrzyżowaniu z drogą powiatową Nr 2709W  w rejonie szkoły podstawowej</t>
  </si>
  <si>
    <t>96.</t>
  </si>
  <si>
    <t>C. 186 287</t>
  </si>
  <si>
    <t>C. 73 713</t>
  </si>
  <si>
    <t>B. 0</t>
  </si>
  <si>
    <t>C. 161 600</t>
  </si>
  <si>
    <t>B. 20 000</t>
  </si>
  <si>
    <t>C. 100 000                B. 50 000</t>
  </si>
  <si>
    <t>C. 150 000</t>
  </si>
  <si>
    <t xml:space="preserve">Modernizacja chodnika na drodze powiatowej Nr 2741W w miejscowości Kołbiel </t>
  </si>
  <si>
    <t>97.</t>
  </si>
  <si>
    <t>98.</t>
  </si>
  <si>
    <t>99.</t>
  </si>
  <si>
    <t>Budowa budynku siedziby Starostwa Powiatowego w Otwocku oraz wybranych powiatowych jednostek organizacyjnych i wybranych służb powiatowych wraz z zagospodarowaniem terenu</t>
  </si>
  <si>
    <t>Zakup programu komputerowego firmy INFO-SYSTEM dla potrzeb kierowników wydziałów Starostwa Powiatowego w Otwocku</t>
  </si>
  <si>
    <t>C. 56.953</t>
  </si>
  <si>
    <t>Projekt i budowa  brakującego ciągu pieszo-rowerowego i odwodnienia w drodze powiatowej Nr 2759W - ul. Narutowicza w Otwocku na wysokości OSP Jabłonna i dalej w kierunku Świerku</t>
  </si>
  <si>
    <t>100.</t>
  </si>
  <si>
    <t>Montaż instalacji fotowoltaicznej w Zespole Szkół Nr 2 w Otwocku</t>
  </si>
  <si>
    <t>Razem Rozdział 80115</t>
  </si>
  <si>
    <t>101.</t>
  </si>
  <si>
    <t>102.</t>
  </si>
  <si>
    <t>Montaż instalacji fotowoltaicznej w Zespole Szkół Ekonomiczno-Gastronomicznych w Otwocku</t>
  </si>
  <si>
    <t>A. 6 900</t>
  </si>
  <si>
    <t>Przebudowa drogi powiatowej Nr 2759W – ul. Poniatowskiego w Otwocku wraz   z wykonaniem odwodnienia na wysokości Zakładu Ubezpieczeń Społecznych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</si>
  <si>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Nr 2756W ul. Orla przy skrzyżowaniu z ul. Pod Zegarem,                                                                              2. Nr 2764W ul. Żeromskiego między ul. Prusa i Kopernika,                        3. Nr 2759W ul. Narutowicza przy skrzyżowaniu z ul. Tatrzańską w Otwocku (naprzeciwko posesji nr 80)</t>
  </si>
  <si>
    <t>Poprawa bezpieczeństwa ruchu drogowego w obszarze oddziaływania przejścia dla pieszych w Karczewie na ul. Mickiewicza na drodze nr 2771W</t>
  </si>
  <si>
    <t>A. 500</t>
  </si>
  <si>
    <t>103.</t>
  </si>
  <si>
    <t>Modernizacja zaplecza kuchennego w Domu Pomocy Społecznej w Otwocku,  w tym: instalacji wodno - kanalizacyjnej, podłogi, zasobnika ciepłej wody</t>
  </si>
  <si>
    <t>Dotacja dla Powiatowego Centrum Zdrowia Sp. z o.o. w Otwocku na przebudowę i modernizację podziemia szpitala oraz modernizację przychodni specjalistycznej</t>
  </si>
  <si>
    <t>Doświetlanie przejść dla pieszych na drogach powiatowych na terenie gminy Karczew w drogach:                                                                                                                                   1. Nr 2729W ul. Częstochowska przy skrzyżowaniu z ul. Żaboklickiego,                                                                                                                2. Nr 2773W ul. Warszawska w Karczewie przy ul. Przechodniej</t>
  </si>
  <si>
    <t>A. 0</t>
  </si>
  <si>
    <t>Dotacja celowa otrzymana z budżetu państwa na zadania bieżące z zakresu administracji rządowej oraz inne zadania zlecone ustawami realizowane przez powiat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</si>
  <si>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</si>
  <si>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6410</t>
  </si>
  <si>
    <t>Dotacja celowa otrzymana z budżetu państwa na inwestycje i zakupy inwestycyjne z zakresu administracji rządowej oraz inne zadania zlecone ustawami realizowane przez powiat</t>
  </si>
  <si>
    <t>6060</t>
  </si>
  <si>
    <t>Wydatki na zakupy inwestycyjne jednostek budżetowych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</si>
  <si>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</si>
  <si>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Remont i prace konserwatorskie schodów w Liceum Ogólnokształcącym Nr I  w Otwocku</t>
  </si>
  <si>
    <t>Droga 2715W i Droga 2722W - modernizacja ciągów pieszych                       w ul. Głównej  i ul. Brzozowej w m. Pogorzel Warszawska</t>
  </si>
  <si>
    <t xml:space="preserve"> aktualizacja dokumentacji projektowej</t>
  </si>
  <si>
    <t>Wykonanie projektu ZRID ciągu  pieszo - rowerowego w drodze powiatowej   Nr 2709W w m. Żanęcin oraz wzdłuż ul. Majowej w m. Dziechciniec od drogi krajowej S17 do posesji Sali weselnej "Raj"</t>
  </si>
  <si>
    <t>Wykonanie projektu ZRID ciągu pieszo - rowerowego w drodze powiatowej Nr 2709W ul. Mazowiecka w Malcanowie, ul. Armii Krajowej w Lipowie  od ul. Kotliny w Malcanowie do ul. Wypoczynkowej w Lipowie</t>
  </si>
  <si>
    <t xml:space="preserve">Projekt i budowa ciągu pieszo – rowerowego w drodze powiatowej  Nr 2741W   w miejsc. Wola Sufczyńska </t>
  </si>
  <si>
    <t>Projekt i budowa ciągu pieszo – rowerowego w drodze powiatowej Nr  2739W    w miejsc. Gadka</t>
  </si>
  <si>
    <t>Zakup samochodu dostawczego na potrzeby Starostwa Powiatowego w Otwocku</t>
  </si>
  <si>
    <t>104.</t>
  </si>
  <si>
    <t xml:space="preserve">Dotacja na dofinansowanie  zakupu   schodołazu dla placówki prowadzącej  Warsztaty Terapii Zajęciowej  przez  Polskie Stowarzyszenie na Rzecz Osób    z Niepełnosprawnością Intelektualną   w Otwocku, ul. Moniuszki 41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</si>
</sst>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4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i/>
      <sz val="8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/>
    <xf numFmtId="164" fontId="9" fillId="0" borderId="0"/>
    <xf numFmtId="0" fontId="4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16" fillId="0" borderId="0"/>
    <xf numFmtId="0" fontId="18" fillId="0" borderId="0"/>
    <xf numFmtId="0" fontId="20" fillId="0" borderId="0"/>
    <xf numFmtId="0" fontId="24" fillId="0" borderId="0"/>
    <xf numFmtId="0" fontId="25" fillId="0" borderId="0"/>
    <xf numFmtId="0" fontId="40" fillId="0" borderId="0"/>
    <xf numFmtId="0" fontId="16" fillId="0" borderId="0"/>
  </cellStyleXfs>
  <cellXfs count="356">
    <xf numFmtId="0" fontId="0" fillId="0" borderId="0" xfId="0" applyAlignment="1"/>
    <xf numFmtId="0" fontId="10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right" vertical="top"/>
    </xf>
    <xf numFmtId="0" fontId="8" fillId="3" borderId="4" xfId="9" applyFont="1" applyFill="1" applyBorder="1" applyAlignment="1">
      <alignment horizontal="center" vertical="center"/>
    </xf>
    <xf numFmtId="0" fontId="8" fillId="3" borderId="1" xfId="9" applyFont="1" applyFill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/>
    </xf>
    <xf numFmtId="0" fontId="8" fillId="0" borderId="4" xfId="9" applyFont="1" applyBorder="1" applyAlignment="1">
      <alignment horizontal="left" vertical="center"/>
    </xf>
    <xf numFmtId="3" fontId="8" fillId="0" borderId="4" xfId="9" applyNumberFormat="1" applyFont="1" applyBorder="1" applyAlignment="1">
      <alignment horizontal="right"/>
    </xf>
    <xf numFmtId="0" fontId="8" fillId="0" borderId="0" xfId="9" applyFont="1" applyAlignment="1">
      <alignment vertical="center"/>
    </xf>
    <xf numFmtId="0" fontId="11" fillId="0" borderId="4" xfId="9" applyFont="1" applyBorder="1" applyAlignment="1">
      <alignment horizontal="center" vertical="center"/>
    </xf>
    <xf numFmtId="0" fontId="11" fillId="0" borderId="4" xfId="9" applyFont="1" applyBorder="1" applyAlignment="1">
      <alignment horizontal="left" vertical="center"/>
    </xf>
    <xf numFmtId="3" fontId="11" fillId="0" borderId="4" xfId="9" applyNumberFormat="1" applyFont="1" applyFill="1" applyBorder="1" applyAlignment="1">
      <alignment horizontal="right"/>
    </xf>
    <xf numFmtId="0" fontId="11" fillId="0" borderId="0" xfId="9" applyFont="1" applyAlignment="1">
      <alignment vertical="center"/>
    </xf>
    <xf numFmtId="3" fontId="11" fillId="0" borderId="4" xfId="9" applyNumberFormat="1" applyFont="1" applyBorder="1" applyAlignment="1">
      <alignment horizontal="right"/>
    </xf>
    <xf numFmtId="3" fontId="8" fillId="0" borderId="4" xfId="9" applyNumberFormat="1" applyFont="1" applyBorder="1" applyAlignment="1"/>
    <xf numFmtId="3" fontId="11" fillId="0" borderId="4" xfId="9" applyNumberFormat="1" applyFont="1" applyFill="1" applyBorder="1" applyAlignment="1"/>
    <xf numFmtId="3" fontId="11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0" fontId="6" fillId="3" borderId="4" xfId="9" applyFont="1" applyFill="1" applyBorder="1" applyAlignment="1">
      <alignment vertical="center"/>
    </xf>
    <xf numFmtId="3" fontId="8" fillId="3" borderId="4" xfId="9" applyNumberFormat="1" applyFont="1" applyFill="1" applyBorder="1" applyAlignment="1"/>
    <xf numFmtId="0" fontId="6" fillId="0" borderId="4" xfId="9" applyFont="1" applyBorder="1" applyAlignment="1">
      <alignment horizontal="center" vertical="center"/>
    </xf>
    <xf numFmtId="0" fontId="6" fillId="0" borderId="1" xfId="9" applyFont="1" applyBorder="1" applyAlignment="1">
      <alignment vertical="center"/>
    </xf>
    <xf numFmtId="3" fontId="6" fillId="0" borderId="4" xfId="9" applyNumberFormat="1" applyFont="1" applyBorder="1" applyAlignment="1"/>
    <xf numFmtId="0" fontId="6" fillId="0" borderId="4" xfId="9" applyFont="1" applyBorder="1" applyAlignment="1">
      <alignment vertical="center"/>
    </xf>
    <xf numFmtId="3" fontId="6" fillId="0" borderId="3" xfId="9" applyNumberFormat="1" applyFont="1" applyBorder="1" applyAlignment="1"/>
    <xf numFmtId="0" fontId="6" fillId="3" borderId="4" xfId="9" applyFont="1" applyFill="1" applyBorder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vertical="center"/>
    </xf>
    <xf numFmtId="3" fontId="6" fillId="0" borderId="0" xfId="9" applyNumberFormat="1" applyFont="1" applyBorder="1" applyAlignment="1"/>
    <xf numFmtId="0" fontId="12" fillId="0" borderId="0" xfId="9" applyFont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4" xfId="9" applyFont="1" applyFill="1" applyBorder="1" applyAlignment="1">
      <alignment horizontal="center" vertical="center" wrapText="1"/>
    </xf>
    <xf numFmtId="0" fontId="6" fillId="0" borderId="6" xfId="9" applyFont="1" applyBorder="1" applyAlignment="1">
      <alignment vertical="center" wrapText="1"/>
    </xf>
    <xf numFmtId="0" fontId="6" fillId="0" borderId="0" xfId="9" applyFont="1" applyFill="1" applyAlignment="1">
      <alignment vertical="center"/>
    </xf>
    <xf numFmtId="3" fontId="6" fillId="0" borderId="4" xfId="9" applyNumberFormat="1" applyFont="1" applyFill="1" applyBorder="1" applyAlignment="1"/>
    <xf numFmtId="0" fontId="6" fillId="0" borderId="4" xfId="9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 readingOrder="1"/>
    </xf>
    <xf numFmtId="49" fontId="6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4" xfId="23" applyFont="1" applyFill="1" applyBorder="1" applyAlignment="1">
      <alignment horizontal="center" vertical="center" wrapText="1"/>
    </xf>
    <xf numFmtId="0" fontId="26" fillId="8" borderId="4" xfId="23" applyFont="1" applyFill="1" applyBorder="1" applyAlignment="1">
      <alignment horizontal="center" vertical="center" wrapText="1"/>
    </xf>
    <xf numFmtId="3" fontId="6" fillId="0" borderId="0" xfId="9" applyNumberFormat="1" applyFont="1" applyAlignment="1">
      <alignment vertical="center"/>
    </xf>
    <xf numFmtId="0" fontId="6" fillId="0" borderId="0" xfId="7" applyFont="1" applyFill="1" applyProtection="1">
      <protection locked="0"/>
    </xf>
    <xf numFmtId="0" fontId="6" fillId="0" borderId="0" xfId="7" applyFont="1" applyProtection="1">
      <protection locked="0"/>
    </xf>
    <xf numFmtId="0" fontId="6" fillId="0" borderId="0" xfId="7" applyFont="1" applyAlignment="1" applyProtection="1">
      <alignment horizontal="center" vertical="center"/>
      <protection locked="0"/>
    </xf>
    <xf numFmtId="4" fontId="6" fillId="0" borderId="0" xfId="7" applyNumberFormat="1" applyFont="1" applyProtection="1">
      <protection locked="0"/>
    </xf>
    <xf numFmtId="0" fontId="6" fillId="0" borderId="0" xfId="7" applyFont="1" applyFill="1" applyProtection="1"/>
    <xf numFmtId="0" fontId="6" fillId="0" borderId="0" xfId="7" applyFont="1" applyProtection="1"/>
    <xf numFmtId="0" fontId="6" fillId="0" borderId="0" xfId="7" applyFont="1" applyAlignment="1" applyProtection="1">
      <alignment horizontal="center" vertical="center"/>
    </xf>
    <xf numFmtId="0" fontId="27" fillId="0" borderId="13" xfId="7" applyFont="1" applyFill="1" applyBorder="1" applyAlignment="1" applyProtection="1">
      <alignment horizontal="center" vertical="center"/>
    </xf>
    <xf numFmtId="0" fontId="8" fillId="0" borderId="13" xfId="7" applyFont="1" applyFill="1" applyBorder="1" applyAlignment="1" applyProtection="1">
      <alignment horizontal="center" vertical="center"/>
    </xf>
    <xf numFmtId="4" fontId="27" fillId="0" borderId="0" xfId="7" applyNumberFormat="1" applyFont="1" applyFill="1" applyProtection="1">
      <protection locked="0"/>
    </xf>
    <xf numFmtId="0" fontId="27" fillId="0" borderId="0" xfId="7" applyFont="1" applyFill="1" applyProtection="1">
      <protection locked="0"/>
    </xf>
    <xf numFmtId="3" fontId="8" fillId="10" borderId="9" xfId="7" applyNumberFormat="1" applyFont="1" applyFill="1" applyBorder="1" applyAlignment="1" applyProtection="1">
      <alignment vertical="center" wrapText="1"/>
    </xf>
    <xf numFmtId="4" fontId="6" fillId="0" borderId="0" xfId="7" applyNumberFormat="1" applyFont="1" applyAlignment="1" applyProtection="1">
      <alignment vertical="center"/>
      <protection locked="0"/>
    </xf>
    <xf numFmtId="0" fontId="6" fillId="0" borderId="0" xfId="7" applyFont="1" applyAlignment="1" applyProtection="1">
      <alignment vertical="center"/>
      <protection locked="0"/>
    </xf>
    <xf numFmtId="0" fontId="6" fillId="0" borderId="14" xfId="7" applyFont="1" applyFill="1" applyBorder="1" applyAlignment="1" applyProtection="1">
      <alignment horizontal="center" vertical="center"/>
    </xf>
    <xf numFmtId="0" fontId="6" fillId="0" borderId="10" xfId="7" applyFont="1" applyFill="1" applyBorder="1" applyAlignment="1" applyProtection="1">
      <alignment horizontal="center" vertical="center" wrapText="1"/>
    </xf>
    <xf numFmtId="0" fontId="6" fillId="11" borderId="10" xfId="7" applyFont="1" applyFill="1" applyBorder="1" applyAlignment="1" applyProtection="1">
      <alignment horizontal="center" vertical="center" wrapText="1"/>
    </xf>
    <xf numFmtId="0" fontId="6" fillId="11" borderId="14" xfId="16" applyFont="1" applyFill="1" applyBorder="1" applyAlignment="1" applyProtection="1">
      <alignment vertical="center" wrapText="1"/>
    </xf>
    <xf numFmtId="3" fontId="6" fillId="11" borderId="15" xfId="7" applyNumberFormat="1" applyFont="1" applyFill="1" applyBorder="1" applyAlignment="1" applyProtection="1">
      <alignment vertical="center" wrapText="1"/>
    </xf>
    <xf numFmtId="3" fontId="6" fillId="11" borderId="9" xfId="7" applyNumberFormat="1" applyFont="1" applyFill="1" applyBorder="1" applyAlignment="1" applyProtection="1">
      <alignment vertical="center"/>
    </xf>
    <xf numFmtId="0" fontId="6" fillId="11" borderId="9" xfId="7" applyFont="1" applyFill="1" applyBorder="1" applyAlignment="1" applyProtection="1">
      <alignment vertical="center" wrapText="1"/>
    </xf>
    <xf numFmtId="0" fontId="6" fillId="11" borderId="9" xfId="7" applyFont="1" applyFill="1" applyBorder="1" applyAlignment="1" applyProtection="1">
      <alignment horizontal="right" vertical="center" wrapText="1"/>
    </xf>
    <xf numFmtId="4" fontId="6" fillId="0" borderId="0" xfId="7" applyNumberFormat="1" applyFont="1" applyFill="1" applyAlignment="1" applyProtection="1">
      <alignment vertical="center"/>
      <protection locked="0"/>
    </xf>
    <xf numFmtId="0" fontId="6" fillId="0" borderId="0" xfId="7" applyFont="1" applyFill="1" applyAlignment="1" applyProtection="1">
      <alignment vertical="center"/>
      <protection locked="0"/>
    </xf>
    <xf numFmtId="0" fontId="6" fillId="0" borderId="9" xfId="7" applyFont="1" applyFill="1" applyBorder="1" applyAlignment="1" applyProtection="1">
      <alignment horizontal="center" vertical="center"/>
    </xf>
    <xf numFmtId="0" fontId="6" fillId="0" borderId="9" xfId="7" applyFont="1" applyFill="1" applyBorder="1" applyAlignment="1" applyProtection="1">
      <alignment horizontal="center" vertical="center" wrapText="1"/>
    </xf>
    <xf numFmtId="0" fontId="6" fillId="0" borderId="9" xfId="16" applyFont="1" applyFill="1" applyBorder="1" applyAlignment="1" applyProtection="1">
      <alignment vertical="center" wrapText="1"/>
      <protection locked="0"/>
    </xf>
    <xf numFmtId="3" fontId="6" fillId="0" borderId="15" xfId="7" applyNumberFormat="1" applyFont="1" applyFill="1" applyBorder="1" applyAlignment="1" applyProtection="1">
      <alignment vertical="center" wrapText="1"/>
    </xf>
    <xf numFmtId="3" fontId="6" fillId="0" borderId="9" xfId="7" applyNumberFormat="1" applyFont="1" applyFill="1" applyBorder="1" applyAlignment="1" applyProtection="1">
      <alignment vertical="center"/>
    </xf>
    <xf numFmtId="0" fontId="6" fillId="0" borderId="9" xfId="7" applyFont="1" applyFill="1" applyBorder="1" applyAlignment="1" applyProtection="1">
      <alignment vertical="center" wrapText="1"/>
    </xf>
    <xf numFmtId="0" fontId="6" fillId="0" borderId="9" xfId="7" applyFont="1" applyFill="1" applyBorder="1" applyAlignment="1" applyProtection="1">
      <alignment horizontal="right" vertical="center" wrapText="1"/>
    </xf>
    <xf numFmtId="0" fontId="6" fillId="11" borderId="16" xfId="7" applyFont="1" applyFill="1" applyBorder="1" applyAlignment="1" applyProtection="1">
      <alignment horizontal="center" vertical="center"/>
    </xf>
    <xf numFmtId="0" fontId="6" fillId="11" borderId="9" xfId="7" applyFont="1" applyFill="1" applyBorder="1" applyAlignment="1" applyProtection="1">
      <alignment horizontal="center" vertical="center" wrapText="1"/>
    </xf>
    <xf numFmtId="0" fontId="6" fillId="11" borderId="9" xfId="16" applyFont="1" applyFill="1" applyBorder="1" applyAlignment="1" applyProtection="1">
      <alignment vertical="center" wrapText="1"/>
      <protection locked="0"/>
    </xf>
    <xf numFmtId="0" fontId="6" fillId="11" borderId="11" xfId="7" applyFont="1" applyFill="1" applyBorder="1" applyAlignment="1" applyProtection="1">
      <alignment horizontal="right" vertical="center" wrapText="1"/>
    </xf>
    <xf numFmtId="0" fontId="29" fillId="11" borderId="14" xfId="7" applyFont="1" applyFill="1" applyBorder="1" applyAlignment="1" applyProtection="1">
      <alignment horizontal="center" vertical="center" wrapText="1"/>
    </xf>
    <xf numFmtId="0" fontId="6" fillId="0" borderId="9" xfId="7" applyFont="1" applyFill="1" applyBorder="1" applyAlignment="1" applyProtection="1">
      <alignment horizontal="left" vertical="center" wrapText="1"/>
    </xf>
    <xf numFmtId="3" fontId="6" fillId="0" borderId="9" xfId="7" applyNumberFormat="1" applyFont="1" applyFill="1" applyBorder="1" applyAlignment="1" applyProtection="1">
      <alignment vertical="center" wrapText="1"/>
    </xf>
    <xf numFmtId="0" fontId="32" fillId="0" borderId="9" xfId="7" applyFont="1" applyFill="1" applyBorder="1" applyAlignment="1" applyProtection="1">
      <alignment vertical="center" wrapText="1"/>
    </xf>
    <xf numFmtId="0" fontId="8" fillId="12" borderId="17" xfId="7" applyFont="1" applyFill="1" applyBorder="1" applyAlignment="1" applyProtection="1">
      <alignment horizontal="center" vertical="center" wrapText="1"/>
      <protection locked="0"/>
    </xf>
    <xf numFmtId="4" fontId="32" fillId="0" borderId="0" xfId="7" applyNumberFormat="1" applyFont="1" applyAlignment="1" applyProtection="1">
      <alignment vertical="center"/>
      <protection locked="0"/>
    </xf>
    <xf numFmtId="0" fontId="32" fillId="0" borderId="0" xfId="7" applyFont="1" applyAlignment="1" applyProtection="1">
      <alignment vertical="center"/>
      <protection locked="0"/>
    </xf>
    <xf numFmtId="3" fontId="8" fillId="10" borderId="9" xfId="7" applyNumberFormat="1" applyFont="1" applyFill="1" applyBorder="1" applyAlignment="1" applyProtection="1">
      <alignment horizontal="right" vertical="center" wrapText="1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0" fontId="32" fillId="0" borderId="9" xfId="7" applyFont="1" applyFill="1" applyBorder="1" applyAlignment="1" applyProtection="1">
      <alignment horizontal="right" vertical="center" wrapText="1"/>
    </xf>
    <xf numFmtId="3" fontId="6" fillId="11" borderId="9" xfId="7" applyNumberFormat="1" applyFont="1" applyFill="1" applyBorder="1" applyAlignment="1" applyProtection="1">
      <alignment vertical="center" wrapText="1"/>
    </xf>
    <xf numFmtId="41" fontId="8" fillId="10" borderId="9" xfId="7" applyNumberFormat="1" applyFont="1" applyFill="1" applyBorder="1" applyAlignment="1" applyProtection="1">
      <alignment horizontal="right"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3" fontId="6" fillId="0" borderId="9" xfId="7" applyNumberFormat="1" applyFont="1" applyFill="1" applyBorder="1" applyAlignment="1" applyProtection="1">
      <alignment horizontal="center" vertical="center"/>
    </xf>
    <xf numFmtId="0" fontId="6" fillId="0" borderId="9" xfId="7" applyNumberFormat="1" applyFont="1" applyFill="1" applyBorder="1" applyAlignment="1" applyProtection="1">
      <alignment horizontal="center" vertical="center"/>
    </xf>
    <xf numFmtId="0" fontId="6" fillId="0" borderId="9" xfId="16" applyFont="1" applyFill="1" applyBorder="1" applyAlignment="1">
      <alignment vertical="center" wrapText="1"/>
    </xf>
    <xf numFmtId="3" fontId="6" fillId="0" borderId="9" xfId="7" applyNumberFormat="1" applyFont="1" applyFill="1" applyBorder="1" applyAlignment="1" applyProtection="1">
      <alignment horizontal="right" vertical="center" wrapText="1"/>
    </xf>
    <xf numFmtId="3" fontId="6" fillId="0" borderId="0" xfId="7" applyNumberFormat="1" applyFont="1" applyFill="1" applyAlignment="1" applyProtection="1">
      <alignment vertical="center"/>
      <protection locked="0"/>
    </xf>
    <xf numFmtId="0" fontId="6" fillId="11" borderId="9" xfId="7" applyNumberFormat="1" applyFont="1" applyFill="1" applyBorder="1" applyAlignment="1" applyProtection="1">
      <alignment horizontal="center" vertical="center"/>
    </xf>
    <xf numFmtId="4" fontId="11" fillId="0" borderId="0" xfId="7" applyNumberFormat="1" applyFont="1" applyFill="1" applyAlignment="1" applyProtection="1">
      <alignment vertical="center"/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6" fillId="0" borderId="22" xfId="7" applyFont="1" applyFill="1" applyBorder="1" applyAlignment="1">
      <alignment vertical="center" wrapText="1"/>
    </xf>
    <xf numFmtId="0" fontId="6" fillId="0" borderId="9" xfId="7" applyFont="1" applyFill="1" applyBorder="1" applyAlignment="1">
      <alignment vertical="center" wrapText="1"/>
    </xf>
    <xf numFmtId="4" fontId="35" fillId="0" borderId="0" xfId="7" applyNumberFormat="1" applyFont="1" applyAlignment="1" applyProtection="1">
      <alignment vertical="center"/>
      <protection locked="0"/>
    </xf>
    <xf numFmtId="0" fontId="35" fillId="0" borderId="0" xfId="7" applyFont="1" applyAlignment="1" applyProtection="1">
      <alignment vertical="center"/>
      <protection locked="0"/>
    </xf>
    <xf numFmtId="0" fontId="6" fillId="0" borderId="9" xfId="7" applyFont="1" applyFill="1" applyBorder="1" applyAlignment="1" applyProtection="1">
      <alignment horizontal="left" vertical="center" wrapText="1"/>
      <protection locked="0"/>
    </xf>
    <xf numFmtId="1" fontId="8" fillId="10" borderId="9" xfId="7" applyNumberFormat="1" applyFont="1" applyFill="1" applyBorder="1" applyAlignment="1" applyProtection="1">
      <alignment horizontal="right" vertical="center" wrapText="1"/>
    </xf>
    <xf numFmtId="4" fontId="37" fillId="0" borderId="0" xfId="7" applyNumberFormat="1" applyFont="1" applyAlignment="1" applyProtection="1">
      <alignment vertical="center"/>
      <protection locked="0"/>
    </xf>
    <xf numFmtId="0" fontId="37" fillId="0" borderId="0" xfId="7" applyFont="1" applyAlignment="1" applyProtection="1">
      <alignment vertical="center"/>
      <protection locked="0"/>
    </xf>
    <xf numFmtId="3" fontId="32" fillId="0" borderId="9" xfId="7" applyNumberFormat="1" applyFont="1" applyFill="1" applyBorder="1" applyAlignment="1" applyProtection="1">
      <alignment vertical="center"/>
    </xf>
    <xf numFmtId="0" fontId="36" fillId="0" borderId="9" xfId="16" applyFont="1" applyFill="1" applyBorder="1" applyAlignment="1" applyProtection="1">
      <alignment vertical="center" wrapText="1"/>
      <protection locked="0"/>
    </xf>
    <xf numFmtId="2" fontId="6" fillId="0" borderId="9" xfId="16" applyNumberFormat="1" applyFont="1" applyFill="1" applyBorder="1" applyAlignment="1" applyProtection="1">
      <alignment vertical="center" wrapText="1"/>
      <protection locked="0"/>
    </xf>
    <xf numFmtId="2" fontId="22" fillId="0" borderId="9" xfId="16" applyNumberFormat="1" applyFont="1" applyFill="1" applyBorder="1" applyAlignment="1" applyProtection="1">
      <alignment vertical="center" wrapText="1"/>
      <protection locked="0"/>
    </xf>
    <xf numFmtId="2" fontId="22" fillId="11" borderId="9" xfId="16" applyNumberFormat="1" applyFont="1" applyFill="1" applyBorder="1" applyAlignment="1" applyProtection="1">
      <alignment vertical="center" wrapText="1"/>
      <protection locked="0"/>
    </xf>
    <xf numFmtId="0" fontId="32" fillId="11" borderId="9" xfId="7" applyFont="1" applyFill="1" applyBorder="1" applyAlignment="1" applyProtection="1">
      <alignment vertical="center" wrapText="1"/>
    </xf>
    <xf numFmtId="3" fontId="8" fillId="2" borderId="10" xfId="7" applyNumberFormat="1" applyFont="1" applyFill="1" applyBorder="1" applyAlignment="1" applyProtection="1">
      <alignment vertical="center" wrapText="1"/>
    </xf>
    <xf numFmtId="3" fontId="35" fillId="0" borderId="0" xfId="7" applyNumberFormat="1" applyFont="1" applyFill="1" applyAlignment="1" applyProtection="1">
      <alignment vertical="center"/>
      <protection locked="0"/>
    </xf>
    <xf numFmtId="0" fontId="6" fillId="0" borderId="23" xfId="7" applyFont="1" applyFill="1" applyBorder="1" applyAlignment="1" applyProtection="1">
      <alignment horizontal="center" vertical="center" wrapText="1"/>
    </xf>
    <xf numFmtId="0" fontId="6" fillId="0" borderId="24" xfId="7" applyFont="1" applyFill="1" applyBorder="1" applyAlignment="1" applyProtection="1">
      <alignment horizontal="center" vertical="center" wrapText="1"/>
    </xf>
    <xf numFmtId="0" fontId="6" fillId="0" borderId="25" xfId="7" applyFont="1" applyFill="1" applyBorder="1" applyAlignment="1" applyProtection="1">
      <alignment horizontal="center" vertical="center" wrapText="1"/>
    </xf>
    <xf numFmtId="3" fontId="6" fillId="0" borderId="27" xfId="7" applyNumberFormat="1" applyFont="1" applyFill="1" applyBorder="1" applyAlignment="1" applyProtection="1">
      <alignment vertical="center" wrapText="1"/>
    </xf>
    <xf numFmtId="3" fontId="6" fillId="0" borderId="28" xfId="7" applyNumberFormat="1" applyFont="1" applyFill="1" applyBorder="1" applyAlignment="1" applyProtection="1">
      <alignment vertical="center" wrapText="1"/>
    </xf>
    <xf numFmtId="3" fontId="8" fillId="2" borderId="33" xfId="7" applyNumberFormat="1" applyFont="1" applyFill="1" applyBorder="1" applyAlignment="1" applyProtection="1">
      <alignment vertical="center" wrapText="1"/>
    </xf>
    <xf numFmtId="3" fontId="8" fillId="2" borderId="34" xfId="7" applyNumberFormat="1" applyFont="1" applyFill="1" applyBorder="1" applyAlignment="1" applyProtection="1">
      <alignment vertical="center" wrapText="1"/>
    </xf>
    <xf numFmtId="0" fontId="6" fillId="0" borderId="13" xfId="7" applyFont="1" applyFill="1" applyBorder="1" applyAlignment="1" applyProtection="1">
      <alignment horizontal="center" vertical="center" wrapText="1"/>
    </xf>
    <xf numFmtId="0" fontId="6" fillId="0" borderId="13" xfId="7" applyFont="1" applyFill="1" applyBorder="1" applyAlignment="1" applyProtection="1">
      <alignment vertical="center" wrapText="1"/>
    </xf>
    <xf numFmtId="3" fontId="6" fillId="0" borderId="13" xfId="7" applyNumberFormat="1" applyFont="1" applyFill="1" applyBorder="1" applyAlignment="1" applyProtection="1">
      <alignment vertical="center" wrapText="1"/>
    </xf>
    <xf numFmtId="4" fontId="38" fillId="0" borderId="0" xfId="7" applyNumberFormat="1" applyFont="1" applyFill="1" applyAlignment="1" applyProtection="1">
      <alignment vertical="center"/>
      <protection locked="0"/>
    </xf>
    <xf numFmtId="0" fontId="38" fillId="0" borderId="0" xfId="7" applyFont="1" applyFill="1" applyAlignment="1" applyProtection="1">
      <alignment vertical="center"/>
      <protection locked="0"/>
    </xf>
    <xf numFmtId="3" fontId="8" fillId="2" borderId="9" xfId="7" applyNumberFormat="1" applyFont="1" applyFill="1" applyBorder="1" applyAlignment="1" applyProtection="1">
      <alignment vertical="center" wrapText="1"/>
    </xf>
    <xf numFmtId="3" fontId="6" fillId="2" borderId="10" xfId="7" applyNumberFormat="1" applyFont="1" applyFill="1" applyBorder="1" applyAlignment="1" applyProtection="1">
      <alignment vertical="center" wrapText="1"/>
    </xf>
    <xf numFmtId="0" fontId="6" fillId="0" borderId="11" xfId="7" applyFont="1" applyFill="1" applyBorder="1" applyAlignment="1" applyProtection="1">
      <alignment horizontal="center" vertical="center" wrapText="1"/>
    </xf>
    <xf numFmtId="3" fontId="8" fillId="2" borderId="13" xfId="7" applyNumberFormat="1" applyFont="1" applyFill="1" applyBorder="1" applyAlignment="1" applyProtection="1">
      <alignment vertical="center" wrapText="1"/>
    </xf>
    <xf numFmtId="3" fontId="8" fillId="2" borderId="18" xfId="7" applyNumberFormat="1" applyFont="1" applyFill="1" applyBorder="1" applyAlignment="1" applyProtection="1">
      <alignment vertical="center" wrapText="1"/>
    </xf>
    <xf numFmtId="0" fontId="27" fillId="2" borderId="14" xfId="7" applyFont="1" applyFill="1" applyBorder="1" applyAlignment="1" applyProtection="1">
      <alignment horizontal="center" vertical="center" wrapText="1"/>
    </xf>
    <xf numFmtId="0" fontId="8" fillId="2" borderId="9" xfId="7" applyFont="1" applyFill="1" applyBorder="1" applyAlignment="1" applyProtection="1">
      <alignment vertical="center" wrapText="1"/>
    </xf>
    <xf numFmtId="4" fontId="38" fillId="0" borderId="0" xfId="7" applyNumberFormat="1" applyFont="1" applyFill="1" applyBorder="1" applyAlignment="1" applyProtection="1">
      <alignment vertical="center"/>
      <protection locked="0"/>
    </xf>
    <xf numFmtId="0" fontId="38" fillId="0" borderId="0" xfId="7" applyFont="1" applyFill="1" applyBorder="1" applyAlignment="1" applyProtection="1">
      <alignment vertical="center"/>
      <protection locked="0"/>
    </xf>
    <xf numFmtId="0" fontId="8" fillId="12" borderId="40" xfId="7" applyFont="1" applyFill="1" applyBorder="1" applyAlignment="1" applyProtection="1">
      <alignment horizontal="center" vertical="center" wrapText="1"/>
      <protection locked="0"/>
    </xf>
    <xf numFmtId="4" fontId="8" fillId="11" borderId="0" xfId="7" applyNumberFormat="1" applyFont="1" applyFill="1" applyAlignment="1" applyProtection="1">
      <alignment vertical="center"/>
      <protection locked="0"/>
    </xf>
    <xf numFmtId="0" fontId="8" fillId="11" borderId="0" xfId="7" applyFont="1" applyFill="1" applyAlignment="1" applyProtection="1">
      <alignment vertical="center"/>
      <protection locked="0"/>
    </xf>
    <xf numFmtId="3" fontId="8" fillId="11" borderId="0" xfId="7" applyNumberFormat="1" applyFont="1" applyFill="1" applyAlignment="1" applyProtection="1">
      <alignment vertical="center"/>
      <protection locked="0"/>
    </xf>
    <xf numFmtId="4" fontId="6" fillId="11" borderId="0" xfId="7" applyNumberFormat="1" applyFont="1" applyFill="1" applyAlignment="1" applyProtection="1">
      <alignment vertical="center"/>
      <protection locked="0"/>
    </xf>
    <xf numFmtId="0" fontId="6" fillId="11" borderId="0" xfId="7" applyFont="1" applyFill="1" applyAlignment="1" applyProtection="1">
      <alignment vertical="center"/>
      <protection locked="0"/>
    </xf>
    <xf numFmtId="0" fontId="8" fillId="2" borderId="10" xfId="7" applyFont="1" applyFill="1" applyBorder="1" applyAlignment="1" applyProtection="1">
      <alignment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3" fontId="6" fillId="0" borderId="14" xfId="7" applyNumberFormat="1" applyFont="1" applyFill="1" applyBorder="1" applyAlignment="1" applyProtection="1">
      <alignment vertical="center" wrapText="1"/>
    </xf>
    <xf numFmtId="0" fontId="6" fillId="0" borderId="14" xfId="7" applyFont="1" applyFill="1" applyBorder="1" applyAlignment="1" applyProtection="1">
      <alignment vertical="center" wrapText="1"/>
    </xf>
    <xf numFmtId="0" fontId="29" fillId="0" borderId="14" xfId="7" applyFont="1" applyFill="1" applyBorder="1" applyAlignment="1" applyProtection="1">
      <alignment horizontal="center" vertical="center" wrapText="1"/>
    </xf>
    <xf numFmtId="3" fontId="8" fillId="2" borderId="14" xfId="7" applyNumberFormat="1" applyFont="1" applyFill="1" applyBorder="1" applyAlignment="1" applyProtection="1">
      <alignment vertical="center" wrapText="1"/>
    </xf>
    <xf numFmtId="3" fontId="8" fillId="2" borderId="43" xfId="7" applyNumberFormat="1" applyFont="1" applyFill="1" applyBorder="1" applyAlignment="1" applyProtection="1">
      <alignment vertical="center" wrapText="1"/>
    </xf>
    <xf numFmtId="3" fontId="6" fillId="0" borderId="10" xfId="7" applyNumberFormat="1" applyFont="1" applyFill="1" applyBorder="1" applyAlignment="1" applyProtection="1">
      <alignment vertical="center" wrapText="1"/>
    </xf>
    <xf numFmtId="0" fontId="6" fillId="0" borderId="10" xfId="7" applyFont="1" applyFill="1" applyBorder="1" applyAlignment="1" applyProtection="1">
      <alignment vertical="center" wrapText="1"/>
    </xf>
    <xf numFmtId="0" fontId="6" fillId="0" borderId="10" xfId="7" applyFont="1" applyFill="1" applyBorder="1" applyAlignment="1" applyProtection="1">
      <alignment horizontal="right" vertical="center" wrapText="1"/>
    </xf>
    <xf numFmtId="4" fontId="8" fillId="11" borderId="0" xfId="7" applyNumberFormat="1" applyFont="1" applyFill="1" applyBorder="1" applyAlignment="1" applyProtection="1">
      <alignment vertical="center"/>
      <protection locked="0"/>
    </xf>
    <xf numFmtId="3" fontId="8" fillId="11" borderId="0" xfId="7" applyNumberFormat="1" applyFont="1" applyFill="1" applyBorder="1" applyAlignment="1" applyProtection="1">
      <alignment vertical="center"/>
      <protection locked="0"/>
    </xf>
    <xf numFmtId="0" fontId="8" fillId="11" borderId="0" xfId="7" applyFont="1" applyFill="1" applyBorder="1" applyAlignment="1" applyProtection="1">
      <alignment vertical="center"/>
      <protection locked="0"/>
    </xf>
    <xf numFmtId="0" fontId="27" fillId="0" borderId="0" xfId="9" applyFont="1" applyProtection="1"/>
    <xf numFmtId="0" fontId="27" fillId="0" borderId="0" xfId="7" applyFont="1" applyProtection="1"/>
    <xf numFmtId="0" fontId="8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Protection="1"/>
    <xf numFmtId="0" fontId="29" fillId="0" borderId="0" xfId="7" applyFont="1" applyAlignment="1" applyProtection="1">
      <alignment horizontal="center" vertical="center"/>
    </xf>
    <xf numFmtId="0" fontId="8" fillId="0" borderId="0" xfId="7" applyFont="1" applyFill="1" applyProtection="1"/>
    <xf numFmtId="3" fontId="6" fillId="0" borderId="0" xfId="7" applyNumberFormat="1" applyFont="1" applyProtection="1"/>
    <xf numFmtId="3" fontId="6" fillId="0" borderId="0" xfId="7" applyNumberFormat="1" applyFont="1" applyAlignment="1" applyProtection="1">
      <alignment horizontal="center" vertical="center"/>
    </xf>
    <xf numFmtId="3" fontId="6" fillId="0" borderId="0" xfId="7" applyNumberFormat="1" applyFont="1" applyProtection="1">
      <protection locked="0"/>
    </xf>
    <xf numFmtId="4" fontId="29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6" fillId="0" borderId="9" xfId="16" applyFont="1" applyFill="1" applyBorder="1" applyAlignment="1" applyProtection="1">
      <alignment vertical="top" wrapText="1"/>
      <protection locked="0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0" fontId="8" fillId="9" borderId="13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/>
      <protection locked="0"/>
    </xf>
    <xf numFmtId="0" fontId="28" fillId="10" borderId="15" xfId="7" applyFont="1" applyFill="1" applyBorder="1" applyAlignment="1" applyProtection="1">
      <alignment horizontal="center" vertical="center" wrapText="1"/>
      <protection locked="0"/>
    </xf>
    <xf numFmtId="0" fontId="8" fillId="12" borderId="15" xfId="7" applyFont="1" applyFill="1" applyBorder="1" applyAlignment="1" applyProtection="1">
      <alignment horizontal="center" vertical="center" wrapText="1"/>
      <protection locked="0"/>
    </xf>
    <xf numFmtId="0" fontId="8" fillId="0" borderId="37" xfId="7" applyFont="1" applyFill="1" applyBorder="1" applyAlignment="1" applyProtection="1">
      <alignment horizontal="center" vertical="center" wrapText="1"/>
      <protection locked="0"/>
    </xf>
    <xf numFmtId="0" fontId="6" fillId="0" borderId="37" xfId="7" applyFont="1" applyFill="1" applyBorder="1" applyAlignment="1" applyProtection="1">
      <alignment horizontal="center" vertical="center" wrapText="1"/>
      <protection locked="0"/>
    </xf>
    <xf numFmtId="0" fontId="6" fillId="12" borderId="45" xfId="7" applyFont="1" applyFill="1" applyBorder="1" applyAlignment="1" applyProtection="1">
      <alignment horizontal="center"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  <protection locked="0"/>
    </xf>
    <xf numFmtId="0" fontId="6" fillId="0" borderId="15" xfId="7" applyFont="1" applyFill="1" applyBorder="1" applyAlignment="1" applyProtection="1">
      <alignment horizontal="center" vertical="center" wrapText="1"/>
      <protection locked="0"/>
    </xf>
    <xf numFmtId="0" fontId="6" fillId="12" borderId="15" xfId="7" applyFont="1" applyFill="1" applyBorder="1" applyAlignment="1" applyProtection="1">
      <alignment horizontal="center" vertical="center" wrapText="1"/>
      <protection locked="0"/>
    </xf>
    <xf numFmtId="0" fontId="35" fillId="10" borderId="15" xfId="7" applyFont="1" applyFill="1" applyBorder="1" applyAlignment="1" applyProtection="1">
      <alignment horizontal="center" vertical="center" wrapText="1"/>
      <protection locked="0"/>
    </xf>
    <xf numFmtId="0" fontId="30" fillId="0" borderId="15" xfId="7" applyFont="1" applyFill="1" applyBorder="1" applyAlignment="1" applyProtection="1">
      <alignment horizontal="center" vertical="center" wrapText="1"/>
      <protection locked="0"/>
    </xf>
    <xf numFmtId="0" fontId="8" fillId="10" borderId="15" xfId="7" applyFont="1" applyFill="1" applyBorder="1" applyAlignment="1" applyProtection="1">
      <alignment horizontal="center" vertical="center" wrapText="1"/>
      <protection locked="0"/>
    </xf>
    <xf numFmtId="0" fontId="30" fillId="12" borderId="15" xfId="7" applyFont="1" applyFill="1" applyBorder="1" applyAlignment="1" applyProtection="1">
      <alignment horizontal="center" vertical="center" wrapText="1"/>
      <protection locked="0"/>
    </xf>
    <xf numFmtId="0" fontId="30" fillId="10" borderId="15" xfId="7" applyFont="1" applyFill="1" applyBorder="1" applyAlignment="1" applyProtection="1">
      <alignment horizontal="center" vertical="center" wrapText="1"/>
      <protection locked="0"/>
    </xf>
    <xf numFmtId="0" fontId="35" fillId="0" borderId="37" xfId="7" applyFont="1" applyFill="1" applyBorder="1" applyAlignment="1" applyProtection="1">
      <alignment horizontal="center" vertical="center" wrapText="1"/>
      <protection locked="0"/>
    </xf>
    <xf numFmtId="0" fontId="38" fillId="0" borderId="46" xfId="7" applyFont="1" applyFill="1" applyBorder="1" applyAlignment="1" applyProtection="1">
      <alignment horizontal="center" vertical="center" wrapText="1"/>
      <protection locked="0"/>
    </xf>
    <xf numFmtId="0" fontId="35" fillId="0" borderId="47" xfId="7" applyFont="1" applyFill="1" applyBorder="1" applyAlignment="1" applyProtection="1">
      <alignment horizontal="center" vertical="center" wrapText="1"/>
      <protection locked="0"/>
    </xf>
    <xf numFmtId="0" fontId="6" fillId="0" borderId="40" xfId="7" applyFont="1" applyFill="1" applyBorder="1" applyAlignment="1" applyProtection="1">
      <alignment horizontal="center" vertical="center" wrapText="1"/>
      <protection locked="0"/>
    </xf>
    <xf numFmtId="0" fontId="30" fillId="0" borderId="40" xfId="7" applyFont="1" applyFill="1" applyBorder="1" applyAlignment="1" applyProtection="1">
      <alignment horizontal="center" vertical="center" wrapText="1"/>
      <protection locked="0"/>
    </xf>
    <xf numFmtId="0" fontId="6" fillId="12" borderId="40" xfId="7" applyFont="1" applyFill="1" applyBorder="1" applyAlignment="1" applyProtection="1">
      <alignment horizontal="center" vertical="center" wrapText="1"/>
      <protection locked="0"/>
    </xf>
    <xf numFmtId="0" fontId="27" fillId="0" borderId="54" xfId="7" applyFont="1" applyFill="1" applyBorder="1" applyAlignment="1" applyProtection="1">
      <alignment horizontal="center" vertical="center"/>
    </xf>
    <xf numFmtId="0" fontId="27" fillId="0" borderId="35" xfId="7" applyFont="1" applyFill="1" applyBorder="1" applyAlignment="1" applyProtection="1">
      <alignment horizontal="center" vertical="center"/>
    </xf>
    <xf numFmtId="0" fontId="27" fillId="10" borderId="39" xfId="7" applyFont="1" applyFill="1" applyBorder="1" applyAlignment="1" applyProtection="1">
      <alignment horizontal="center" vertical="center" wrapText="1"/>
    </xf>
    <xf numFmtId="0" fontId="29" fillId="11" borderId="39" xfId="7" applyFont="1" applyFill="1" applyBorder="1" applyAlignment="1" applyProtection="1">
      <alignment horizontal="center" vertical="center" wrapText="1"/>
    </xf>
    <xf numFmtId="0" fontId="29" fillId="0" borderId="41" xfId="7" applyFont="1" applyFill="1" applyBorder="1" applyAlignment="1" applyProtection="1">
      <alignment horizontal="center" vertical="center" wrapText="1"/>
    </xf>
    <xf numFmtId="0" fontId="6" fillId="0" borderId="53" xfId="7" applyFont="1" applyFill="1" applyBorder="1" applyAlignment="1" applyProtection="1">
      <alignment horizontal="center" vertical="center"/>
    </xf>
    <xf numFmtId="0" fontId="33" fillId="0" borderId="35" xfId="7" applyFont="1" applyFill="1" applyBorder="1" applyAlignment="1" applyProtection="1">
      <alignment horizontal="center" vertical="center" wrapText="1"/>
    </xf>
    <xf numFmtId="0" fontId="29" fillId="0" borderId="39" xfId="7" applyFont="1" applyFill="1" applyBorder="1" applyAlignment="1" applyProtection="1">
      <alignment horizontal="center" vertical="center" wrapText="1"/>
    </xf>
    <xf numFmtId="0" fontId="34" fillId="10" borderId="39" xfId="7" applyFont="1" applyFill="1" applyBorder="1" applyAlignment="1" applyProtection="1">
      <alignment horizontal="center" vertical="center" wrapText="1"/>
    </xf>
    <xf numFmtId="0" fontId="33" fillId="0" borderId="39" xfId="7" applyFont="1" applyFill="1" applyBorder="1" applyAlignment="1" applyProtection="1">
      <alignment horizontal="center" vertical="center" wrapText="1"/>
    </xf>
    <xf numFmtId="0" fontId="33" fillId="11" borderId="39" xfId="7" applyFont="1" applyFill="1" applyBorder="1" applyAlignment="1" applyProtection="1">
      <alignment horizontal="center" vertical="center" wrapText="1"/>
    </xf>
    <xf numFmtId="41" fontId="27" fillId="10" borderId="39" xfId="7" applyNumberFormat="1" applyFont="1" applyFill="1" applyBorder="1" applyAlignment="1" applyProtection="1">
      <alignment horizontal="right" vertical="center" wrapText="1"/>
    </xf>
    <xf numFmtId="0" fontId="33" fillId="10" borderId="39" xfId="7" applyFont="1" applyFill="1" applyBorder="1" applyAlignment="1" applyProtection="1">
      <alignment horizontal="center" vertical="center" wrapText="1"/>
    </xf>
    <xf numFmtId="0" fontId="27" fillId="2" borderId="41" xfId="7" applyFont="1" applyFill="1" applyBorder="1" applyAlignment="1" applyProtection="1">
      <alignment horizontal="center" vertical="center" wrapText="1"/>
    </xf>
    <xf numFmtId="0" fontId="29" fillId="0" borderId="29" xfId="7" applyFont="1" applyFill="1" applyBorder="1" applyAlignment="1" applyProtection="1">
      <alignment horizontal="center" vertical="center" wrapText="1"/>
    </xf>
    <xf numFmtId="0" fontId="27" fillId="2" borderId="59" xfId="7" applyFont="1" applyFill="1" applyBorder="1" applyAlignment="1" applyProtection="1">
      <alignment horizontal="center" vertical="center" wrapText="1"/>
    </xf>
    <xf numFmtId="0" fontId="6" fillId="0" borderId="54" xfId="7" applyFont="1" applyFill="1" applyBorder="1" applyAlignment="1" applyProtection="1">
      <alignment horizontal="center" vertical="center" wrapText="1"/>
    </xf>
    <xf numFmtId="0" fontId="29" fillId="0" borderId="35" xfId="7" applyFont="1" applyFill="1" applyBorder="1" applyAlignment="1" applyProtection="1">
      <alignment horizontal="center" vertical="center" wrapText="1"/>
    </xf>
    <xf numFmtId="0" fontId="6" fillId="0" borderId="53" xfId="7" applyFont="1" applyFill="1" applyBorder="1" applyAlignment="1" applyProtection="1">
      <alignment horizontal="center" vertical="center" wrapText="1"/>
    </xf>
    <xf numFmtId="0" fontId="27" fillId="2" borderId="39" xfId="7" applyFont="1" applyFill="1" applyBorder="1" applyAlignment="1" applyProtection="1">
      <alignment horizontal="center" vertical="center" wrapText="1"/>
    </xf>
    <xf numFmtId="0" fontId="6" fillId="0" borderId="39" xfId="7" applyFont="1" applyFill="1" applyBorder="1" applyAlignment="1" applyProtection="1">
      <alignment horizontal="center" vertical="center" wrapText="1"/>
    </xf>
    <xf numFmtId="3" fontId="8" fillId="2" borderId="39" xfId="7" applyNumberFormat="1" applyFont="1" applyFill="1" applyBorder="1" applyAlignment="1" applyProtection="1">
      <alignment vertical="center" wrapText="1"/>
    </xf>
    <xf numFmtId="0" fontId="36" fillId="0" borderId="53" xfId="7" applyFont="1" applyFill="1" applyBorder="1" applyAlignment="1" applyProtection="1">
      <alignment horizontal="center" vertical="center"/>
    </xf>
    <xf numFmtId="0" fontId="29" fillId="0" borderId="61" xfId="7" applyFont="1" applyFill="1" applyBorder="1" applyAlignment="1" applyProtection="1">
      <alignment horizontal="center" vertical="center" wrapText="1"/>
    </xf>
    <xf numFmtId="0" fontId="6" fillId="11" borderId="53" xfId="7" applyFont="1" applyFill="1" applyBorder="1" applyAlignment="1" applyProtection="1">
      <alignment horizontal="center" vertical="center" wrapText="1"/>
    </xf>
    <xf numFmtId="0" fontId="6" fillId="11" borderId="39" xfId="7" applyFont="1" applyFill="1" applyBorder="1" applyAlignment="1" applyProtection="1">
      <alignment horizontal="center" vertical="center" wrapText="1"/>
    </xf>
    <xf numFmtId="0" fontId="27" fillId="2" borderId="35" xfId="7" applyFont="1" applyFill="1" applyBorder="1" applyAlignment="1" applyProtection="1">
      <alignment horizontal="center" vertical="center" wrapText="1"/>
    </xf>
    <xf numFmtId="3" fontId="8" fillId="13" borderId="34" xfId="7" applyNumberFormat="1" applyFont="1" applyFill="1" applyBorder="1" applyAlignment="1" applyProtection="1">
      <alignment vertical="center" wrapText="1"/>
    </xf>
    <xf numFmtId="3" fontId="27" fillId="13" borderId="59" xfId="7" applyNumberFormat="1" applyFont="1" applyFill="1" applyBorder="1" applyAlignment="1" applyProtection="1">
      <alignment horizontal="center" vertical="center" wrapText="1"/>
    </xf>
    <xf numFmtId="0" fontId="8" fillId="0" borderId="0" xfId="7" applyFont="1" applyFill="1" applyAlignment="1" applyProtection="1">
      <alignment horizontal="center" vertical="center"/>
      <protection locked="0"/>
    </xf>
    <xf numFmtId="0" fontId="19" fillId="0" borderId="14" xfId="16" applyFont="1" applyFill="1" applyBorder="1" applyAlignment="1">
      <alignment vertical="center" wrapText="1"/>
    </xf>
    <xf numFmtId="0" fontId="19" fillId="0" borderId="21" xfId="16" applyFont="1" applyFill="1" applyBorder="1" applyAlignment="1">
      <alignment vertical="center" wrapText="1"/>
    </xf>
    <xf numFmtId="0" fontId="19" fillId="0" borderId="9" xfId="16" applyFont="1" applyFill="1" applyBorder="1" applyAlignment="1">
      <alignment vertical="center" wrapText="1"/>
    </xf>
    <xf numFmtId="0" fontId="19" fillId="0" borderId="0" xfId="16" applyFont="1" applyFill="1" applyBorder="1" applyAlignment="1">
      <alignment vertical="center" wrapText="1"/>
    </xf>
    <xf numFmtId="0" fontId="32" fillId="0" borderId="39" xfId="7" applyFont="1" applyFill="1" applyBorder="1" applyAlignment="1" applyProtection="1">
      <alignment horizontal="center" vertical="center" wrapText="1"/>
    </xf>
    <xf numFmtId="4" fontId="6" fillId="0" borderId="9" xfId="7" applyNumberFormat="1" applyFont="1" applyFill="1" applyBorder="1" applyAlignment="1" applyProtection="1">
      <alignment vertical="center" wrapText="1"/>
    </xf>
    <xf numFmtId="0" fontId="19" fillId="11" borderId="9" xfId="16" applyFont="1" applyFill="1" applyBorder="1" applyAlignment="1">
      <alignment vertical="center" wrapText="1"/>
    </xf>
    <xf numFmtId="0" fontId="19" fillId="0" borderId="9" xfId="16" applyFont="1" applyFill="1" applyBorder="1" applyAlignment="1">
      <alignment horizontal="left" vertical="center" wrapText="1"/>
    </xf>
    <xf numFmtId="0" fontId="19" fillId="0" borderId="26" xfId="16" applyFont="1" applyFill="1" applyBorder="1" applyAlignment="1">
      <alignment vertical="center" wrapText="1"/>
    </xf>
    <xf numFmtId="0" fontId="6" fillId="0" borderId="48" xfId="7" applyFont="1" applyFill="1" applyBorder="1" applyAlignment="1" applyProtection="1">
      <alignment horizontal="center" vertical="center" wrapText="1"/>
      <protection locked="0"/>
    </xf>
    <xf numFmtId="0" fontId="39" fillId="0" borderId="15" xfId="7" applyFont="1" applyFill="1" applyBorder="1" applyAlignment="1" applyProtection="1">
      <alignment horizontal="center" vertical="center" wrapText="1"/>
      <protection locked="0"/>
    </xf>
    <xf numFmtId="0" fontId="8" fillId="0" borderId="45" xfId="7" applyFont="1" applyFill="1" applyBorder="1" applyAlignment="1" applyProtection="1">
      <alignment horizontal="center" vertical="center" wrapText="1"/>
      <protection locked="0"/>
    </xf>
    <xf numFmtId="0" fontId="8" fillId="2" borderId="40" xfId="7" applyFont="1" applyFill="1" applyBorder="1" applyAlignment="1" applyProtection="1">
      <alignment horizontal="center" vertical="center" wrapText="1"/>
      <protection locked="0"/>
    </xf>
    <xf numFmtId="0" fontId="8" fillId="0" borderId="40" xfId="7" applyFont="1" applyFill="1" applyBorder="1" applyAlignment="1" applyProtection="1">
      <alignment horizontal="center" vertical="center" wrapText="1"/>
      <protection locked="0"/>
    </xf>
    <xf numFmtId="0" fontId="32" fillId="0" borderId="40" xfId="7" applyFont="1" applyFill="1" applyBorder="1" applyAlignment="1" applyProtection="1">
      <alignment horizontal="center" vertical="center" wrapText="1"/>
      <protection locked="0"/>
    </xf>
    <xf numFmtId="0" fontId="8" fillId="0" borderId="49" xfId="7" applyFont="1" applyFill="1" applyBorder="1" applyAlignment="1" applyProtection="1">
      <alignment horizontal="center" vertical="center" wrapText="1"/>
      <protection locked="0"/>
    </xf>
    <xf numFmtId="0" fontId="19" fillId="0" borderId="14" xfId="16" applyFont="1" applyFill="1" applyBorder="1" applyAlignment="1">
      <alignment horizontal="justify" vertical="center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19" fillId="11" borderId="9" xfId="16" applyFont="1" applyFill="1" applyBorder="1" applyAlignment="1">
      <alignment horizontal="left" vertical="center" wrapText="1"/>
    </xf>
    <xf numFmtId="0" fontId="6" fillId="0" borderId="14" xfId="7" applyFont="1" applyFill="1" applyBorder="1" applyAlignment="1" applyProtection="1">
      <alignment horizontal="left" vertical="center" wrapText="1"/>
    </xf>
    <xf numFmtId="3" fontId="8" fillId="0" borderId="15" xfId="7" applyNumberFormat="1" applyFont="1" applyFill="1" applyBorder="1" applyAlignment="1" applyProtection="1">
      <alignment horizontal="center" vertical="center" wrapText="1"/>
      <protection locked="0"/>
    </xf>
    <xf numFmtId="0" fontId="30" fillId="14" borderId="9" xfId="7" applyFont="1" applyFill="1" applyBorder="1" applyAlignment="1" applyProtection="1">
      <alignment horizontal="center" vertical="center" wrapText="1"/>
    </xf>
    <xf numFmtId="3" fontId="30" fillId="14" borderId="9" xfId="7" applyNumberFormat="1" applyFont="1" applyFill="1" applyBorder="1" applyAlignment="1" applyProtection="1">
      <alignment vertical="center" wrapText="1"/>
    </xf>
    <xf numFmtId="0" fontId="30" fillId="14" borderId="9" xfId="7" applyFont="1" applyFill="1" applyBorder="1" applyAlignment="1" applyProtection="1">
      <alignment vertical="center" wrapText="1"/>
    </xf>
    <xf numFmtId="0" fontId="30" fillId="14" borderId="9" xfId="7" applyFont="1" applyFill="1" applyBorder="1" applyAlignment="1" applyProtection="1">
      <alignment horizontal="right" vertical="center" wrapText="1"/>
    </xf>
    <xf numFmtId="0" fontId="30" fillId="14" borderId="53" xfId="7" applyFont="1" applyFill="1" applyBorder="1" applyAlignment="1" applyProtection="1">
      <alignment horizontal="center" vertical="center" wrapText="1"/>
    </xf>
    <xf numFmtId="0" fontId="8" fillId="2" borderId="13" xfId="7" applyFont="1" applyFill="1" applyBorder="1" applyAlignment="1" applyProtection="1">
      <alignment vertical="center" wrapText="1"/>
    </xf>
    <xf numFmtId="0" fontId="6" fillId="0" borderId="18" xfId="7" applyFont="1" applyFill="1" applyBorder="1" applyAlignment="1" applyProtection="1">
      <alignment horizontal="right" vertical="center" wrapText="1"/>
    </xf>
    <xf numFmtId="0" fontId="6" fillId="0" borderId="42" xfId="7" applyFont="1" applyFill="1" applyBorder="1" applyAlignment="1" applyProtection="1">
      <alignment vertical="center"/>
      <protection locked="0"/>
    </xf>
    <xf numFmtId="0" fontId="8" fillId="2" borderId="28" xfId="7" applyFont="1" applyFill="1" applyBorder="1" applyAlignment="1" applyProtection="1">
      <alignment vertical="center" wrapText="1"/>
    </xf>
    <xf numFmtId="0" fontId="27" fillId="2" borderId="29" xfId="7" applyFont="1" applyFill="1" applyBorder="1" applyAlignment="1" applyProtection="1">
      <alignment horizontal="center" vertical="center" wrapText="1"/>
    </xf>
    <xf numFmtId="0" fontId="6" fillId="0" borderId="64" xfId="7" applyFont="1" applyFill="1" applyBorder="1" applyAlignment="1">
      <alignment vertical="center" wrapText="1"/>
    </xf>
    <xf numFmtId="0" fontId="6" fillId="0" borderId="39" xfId="7" applyFont="1" applyFill="1" applyBorder="1" applyAlignment="1" applyProtection="1">
      <alignment horizontal="right" vertical="center" wrapText="1"/>
    </xf>
    <xf numFmtId="0" fontId="32" fillId="0" borderId="37" xfId="7" applyFont="1" applyFill="1" applyBorder="1" applyAlignment="1" applyProtection="1">
      <alignment horizontal="center" vertical="center" wrapText="1"/>
      <protection locked="0"/>
    </xf>
    <xf numFmtId="41" fontId="8" fillId="2" borderId="10" xfId="7" applyNumberFormat="1" applyFont="1" applyFill="1" applyBorder="1" applyAlignment="1" applyProtection="1">
      <alignment vertical="center" wrapText="1"/>
    </xf>
    <xf numFmtId="0" fontId="6" fillId="0" borderId="56" xfId="7" applyFont="1" applyFill="1" applyBorder="1" applyAlignment="1" applyProtection="1">
      <alignment horizontal="center" vertical="center" wrapText="1"/>
    </xf>
    <xf numFmtId="0" fontId="6" fillId="0" borderId="42" xfId="7" applyFont="1" applyFill="1" applyBorder="1" applyAlignment="1" applyProtection="1">
      <alignment horizontal="center" vertical="center" wrapText="1"/>
    </xf>
    <xf numFmtId="0" fontId="6" fillId="0" borderId="42" xfId="7" applyFont="1" applyFill="1" applyBorder="1" applyAlignment="1" applyProtection="1">
      <alignment horizontal="left" vertical="center" wrapText="1"/>
    </xf>
    <xf numFmtId="3" fontId="6" fillId="0" borderId="42" xfId="7" applyNumberFormat="1" applyFont="1" applyFill="1" applyBorder="1" applyAlignment="1" applyProtection="1">
      <alignment vertical="center" wrapText="1"/>
    </xf>
    <xf numFmtId="0" fontId="6" fillId="0" borderId="42" xfId="7" applyFont="1" applyFill="1" applyBorder="1" applyAlignment="1" applyProtection="1">
      <alignment vertical="center" wrapText="1"/>
    </xf>
    <xf numFmtId="0" fontId="29" fillId="0" borderId="42" xfId="7" applyFont="1" applyFill="1" applyBorder="1" applyAlignment="1" applyProtection="1">
      <alignment horizontal="center" vertical="center" wrapText="1"/>
    </xf>
    <xf numFmtId="0" fontId="6" fillId="0" borderId="20" xfId="7" applyFont="1" applyFill="1" applyBorder="1" applyAlignment="1" applyProtection="1">
      <alignment horizontal="center" vertical="center" wrapText="1"/>
      <protection locked="0"/>
    </xf>
    <xf numFmtId="0" fontId="30" fillId="14" borderId="53" xfId="7" applyFont="1" applyFill="1" applyBorder="1" applyAlignment="1" applyProtection="1">
      <alignment horizontal="center" vertical="center"/>
    </xf>
    <xf numFmtId="0" fontId="22" fillId="7" borderId="0" xfId="19" applyFont="1" applyFill="1" applyAlignment="1">
      <alignment horizontal="left" vertical="top" wrapText="1"/>
    </xf>
    <xf numFmtId="0" fontId="22" fillId="7" borderId="0" xfId="19" applyFont="1" applyFill="1" applyBorder="1" applyAlignment="1">
      <alignment vertical="top" wrapText="1"/>
    </xf>
    <xf numFmtId="0" fontId="22" fillId="7" borderId="0" xfId="24" applyFont="1" applyFill="1" applyAlignment="1">
      <alignment horizontal="left" vertical="top" wrapText="1"/>
    </xf>
    <xf numFmtId="0" fontId="31" fillId="14" borderId="39" xfId="7" applyFont="1" applyFill="1" applyBorder="1" applyAlignment="1" applyProtection="1">
      <alignment horizontal="center" vertical="center" wrapText="1"/>
    </xf>
    <xf numFmtId="0" fontId="6" fillId="0" borderId="55" xfId="7" applyFont="1" applyFill="1" applyBorder="1" applyAlignment="1" applyProtection="1">
      <alignment horizontal="center" vertical="center"/>
    </xf>
    <xf numFmtId="0" fontId="6" fillId="0" borderId="41" xfId="7" applyFont="1" applyFill="1" applyBorder="1" applyAlignment="1" applyProtection="1">
      <alignment horizontal="center" vertical="center" wrapText="1"/>
    </xf>
    <xf numFmtId="0" fontId="41" fillId="14" borderId="0" xfId="0" applyFont="1" applyFill="1" applyAlignment="1">
      <alignment vertical="center" wrapText="1"/>
    </xf>
    <xf numFmtId="0" fontId="19" fillId="0" borderId="0" xfId="16" applyFont="1" applyFill="1" applyBorder="1" applyAlignment="1">
      <alignment horizontal="left" vertical="center" wrapText="1"/>
    </xf>
    <xf numFmtId="0" fontId="6" fillId="0" borderId="57" xfId="7" applyFont="1" applyFill="1" applyBorder="1" applyAlignment="1" applyProtection="1">
      <alignment horizontal="center" vertical="center" wrapText="1"/>
    </xf>
    <xf numFmtId="0" fontId="6" fillId="0" borderId="15" xfId="7" applyFont="1" applyFill="1" applyBorder="1" applyAlignment="1" applyProtection="1">
      <alignment horizontal="left" vertical="center" wrapText="1"/>
    </xf>
    <xf numFmtId="0" fontId="42" fillId="7" borderId="0" xfId="25" applyFont="1" applyFill="1" applyAlignment="1">
      <alignment horizontal="left" vertical="top" wrapText="1"/>
    </xf>
    <xf numFmtId="0" fontId="22" fillId="7" borderId="8" xfId="25" applyFont="1" applyFill="1" applyBorder="1" applyAlignment="1">
      <alignment horizontal="center" vertical="center" wrapText="1"/>
    </xf>
    <xf numFmtId="0" fontId="22" fillId="7" borderId="8" xfId="25" applyFont="1" applyFill="1" applyBorder="1" applyAlignment="1">
      <alignment horizontal="left" vertical="center" wrapText="1"/>
    </xf>
    <xf numFmtId="166" fontId="22" fillId="7" borderId="8" xfId="25" applyNumberFormat="1" applyFont="1" applyFill="1" applyBorder="1" applyAlignment="1">
      <alignment horizontal="right" vertical="center" wrapText="1"/>
    </xf>
    <xf numFmtId="0" fontId="23" fillId="5" borderId="8" xfId="25" applyFont="1" applyFill="1" applyBorder="1" applyAlignment="1">
      <alignment horizontal="center" vertical="center" wrapText="1"/>
    </xf>
    <xf numFmtId="0" fontId="23" fillId="5" borderId="8" xfId="25" applyFont="1" applyFill="1" applyBorder="1" applyAlignment="1">
      <alignment horizontal="left" vertical="center" wrapText="1"/>
    </xf>
    <xf numFmtId="166" fontId="23" fillId="5" borderId="8" xfId="25" applyNumberFormat="1" applyFont="1" applyFill="1" applyBorder="1" applyAlignment="1">
      <alignment horizontal="right" vertical="center" wrapText="1"/>
    </xf>
    <xf numFmtId="166" fontId="23" fillId="8" borderId="8" xfId="25" applyNumberFormat="1" applyFont="1" applyFill="1" applyBorder="1" applyAlignment="1">
      <alignment horizontal="right" vertical="center" wrapText="1"/>
    </xf>
    <xf numFmtId="0" fontId="22" fillId="6" borderId="8" xfId="25" applyFont="1" applyFill="1" applyBorder="1" applyAlignment="1">
      <alignment horizontal="center" vertical="center" wrapText="1"/>
    </xf>
    <xf numFmtId="0" fontId="22" fillId="6" borderId="8" xfId="25" applyFont="1" applyFill="1" applyBorder="1" applyAlignment="1">
      <alignment horizontal="left" vertical="center" wrapText="1"/>
    </xf>
    <xf numFmtId="166" fontId="22" fillId="6" borderId="8" xfId="25" applyNumberFormat="1" applyFont="1" applyFill="1" applyBorder="1" applyAlignment="1">
      <alignment horizontal="right" vertical="center" wrapText="1"/>
    </xf>
    <xf numFmtId="0" fontId="30" fillId="14" borderId="9" xfId="7" applyFont="1" applyFill="1" applyBorder="1" applyAlignment="1" applyProtection="1">
      <alignment horizontal="center" vertical="center"/>
    </xf>
    <xf numFmtId="0" fontId="30" fillId="14" borderId="9" xfId="7" applyFont="1" applyFill="1" applyBorder="1" applyAlignment="1" applyProtection="1">
      <alignment horizontal="left" vertical="center" wrapText="1"/>
      <protection locked="0"/>
    </xf>
    <xf numFmtId="3" fontId="30" fillId="14" borderId="9" xfId="7" applyNumberFormat="1" applyFont="1" applyFill="1" applyBorder="1" applyAlignment="1" applyProtection="1">
      <alignment vertical="center"/>
    </xf>
    <xf numFmtId="0" fontId="43" fillId="14" borderId="39" xfId="7" applyFont="1" applyFill="1" applyBorder="1" applyAlignment="1" applyProtection="1">
      <alignment horizontal="center" vertical="center" wrapText="1"/>
    </xf>
    <xf numFmtId="0" fontId="30" fillId="14" borderId="9" xfId="7" applyFont="1" applyFill="1" applyBorder="1" applyAlignment="1" applyProtection="1">
      <alignment horizontal="left" vertical="center" wrapText="1"/>
    </xf>
    <xf numFmtId="0" fontId="38" fillId="14" borderId="39" xfId="7" applyFont="1" applyFill="1" applyBorder="1" applyAlignment="1" applyProtection="1">
      <alignment horizontal="center" vertical="center" wrapText="1"/>
    </xf>
    <xf numFmtId="0" fontId="30" fillId="14" borderId="15" xfId="7" applyFont="1" applyFill="1" applyBorder="1" applyAlignment="1" applyProtection="1">
      <alignment horizontal="center" vertical="center" wrapText="1"/>
      <protection locked="0"/>
    </xf>
    <xf numFmtId="0" fontId="6" fillId="12" borderId="48" xfId="7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Border="1" applyAlignment="1" applyProtection="1">
      <alignment horizontal="center"/>
    </xf>
    <xf numFmtId="0" fontId="6" fillId="2" borderId="16" xfId="7" applyFont="1" applyFill="1" applyBorder="1" applyAlignment="1" applyProtection="1">
      <alignment horizontal="center" vertical="center"/>
    </xf>
    <xf numFmtId="0" fontId="6" fillId="2" borderId="53" xfId="7" applyFont="1" applyFill="1" applyBorder="1" applyAlignment="1" applyProtection="1">
      <alignment horizontal="center" vertical="center"/>
    </xf>
    <xf numFmtId="0" fontId="6" fillId="2" borderId="28" xfId="7" applyFont="1" applyFill="1" applyBorder="1" applyAlignment="1" applyProtection="1">
      <alignment horizontal="center" vertical="center" wrapText="1"/>
    </xf>
    <xf numFmtId="0" fontId="6" fillId="2" borderId="9" xfId="7" applyFont="1" applyFill="1" applyBorder="1" applyAlignment="1" applyProtection="1">
      <alignment horizontal="center" vertical="center" wrapText="1"/>
    </xf>
    <xf numFmtId="0" fontId="6" fillId="9" borderId="28" xfId="7" applyFont="1" applyFill="1" applyBorder="1" applyAlignment="1" applyProtection="1">
      <alignment horizontal="center" vertical="center" wrapText="1"/>
    </xf>
    <xf numFmtId="0" fontId="6" fillId="9" borderId="9" xfId="7" applyFont="1" applyFill="1" applyBorder="1" applyAlignment="1" applyProtection="1">
      <alignment horizontal="center" vertical="center" wrapText="1"/>
    </xf>
    <xf numFmtId="0" fontId="6" fillId="9" borderId="24" xfId="7" applyFont="1" applyFill="1" applyBorder="1" applyAlignment="1" applyProtection="1">
      <alignment horizontal="center" vertical="center" wrapText="1"/>
    </xf>
    <xf numFmtId="0" fontId="6" fillId="9" borderId="13" xfId="7" applyFont="1" applyFill="1" applyBorder="1" applyAlignment="1" applyProtection="1">
      <alignment horizontal="center" vertical="center" wrapText="1"/>
    </xf>
    <xf numFmtId="0" fontId="8" fillId="9" borderId="28" xfId="7" applyFont="1" applyFill="1" applyBorder="1" applyAlignment="1" applyProtection="1">
      <alignment horizontal="center" vertical="center" wrapText="1"/>
    </xf>
    <xf numFmtId="0" fontId="8" fillId="9" borderId="9" xfId="7" applyFont="1" applyFill="1" applyBorder="1" applyAlignment="1" applyProtection="1">
      <alignment horizontal="center" vertical="center" wrapText="1"/>
    </xf>
    <xf numFmtId="0" fontId="8" fillId="9" borderId="50" xfId="7" applyFont="1" applyFill="1" applyBorder="1" applyAlignment="1" applyProtection="1">
      <alignment horizontal="center" vertical="center" wrapText="1"/>
    </xf>
    <xf numFmtId="0" fontId="8" fillId="9" borderId="51" xfId="7" applyFont="1" applyFill="1" applyBorder="1" applyAlignment="1" applyProtection="1">
      <alignment horizontal="center" vertical="center" wrapText="1"/>
    </xf>
    <xf numFmtId="0" fontId="8" fillId="9" borderId="52" xfId="7" applyFont="1" applyFill="1" applyBorder="1" applyAlignment="1" applyProtection="1">
      <alignment horizontal="center" vertical="center" wrapText="1"/>
    </xf>
    <xf numFmtId="0" fontId="8" fillId="9" borderId="35" xfId="7" applyFont="1" applyFill="1" applyBorder="1" applyAlignment="1" applyProtection="1">
      <alignment horizontal="center" vertical="center" wrapText="1"/>
    </xf>
    <xf numFmtId="0" fontId="8" fillId="2" borderId="30" xfId="7" applyFont="1" applyFill="1" applyBorder="1" applyAlignment="1" applyProtection="1">
      <alignment horizontal="center" vertical="center" wrapText="1"/>
    </xf>
    <xf numFmtId="0" fontId="8" fillId="2" borderId="31" xfId="7" applyFont="1" applyFill="1" applyBorder="1" applyAlignment="1" applyProtection="1">
      <alignment horizontal="center" vertical="center" wrapText="1"/>
    </xf>
    <xf numFmtId="0" fontId="8" fillId="2" borderId="32" xfId="7" applyFont="1" applyFill="1" applyBorder="1" applyAlignment="1" applyProtection="1">
      <alignment horizontal="center" vertical="center" wrapText="1"/>
    </xf>
    <xf numFmtId="0" fontId="8" fillId="2" borderId="37" xfId="7" applyFont="1" applyFill="1" applyBorder="1" applyAlignment="1" applyProtection="1">
      <alignment horizontal="center" vertical="center" wrapText="1"/>
      <protection locked="0"/>
    </xf>
    <xf numFmtId="0" fontId="8" fillId="2" borderId="20" xfId="7" applyFont="1" applyFill="1" applyBorder="1" applyAlignment="1" applyProtection="1">
      <alignment horizontal="center" vertical="center" wrapText="1"/>
      <protection locked="0"/>
    </xf>
    <xf numFmtId="0" fontId="14" fillId="10" borderId="53" xfId="7" applyFont="1" applyFill="1" applyBorder="1" applyAlignment="1" applyProtection="1">
      <alignment horizontal="center" vertical="center"/>
    </xf>
    <xf numFmtId="0" fontId="14" fillId="10" borderId="9" xfId="7" applyFont="1" applyFill="1" applyBorder="1" applyAlignment="1" applyProtection="1">
      <alignment horizontal="center" vertical="center"/>
    </xf>
    <xf numFmtId="0" fontId="14" fillId="10" borderId="56" xfId="7" applyFont="1" applyFill="1" applyBorder="1" applyAlignment="1" applyProtection="1">
      <alignment horizontal="center" vertical="center" wrapText="1"/>
    </xf>
    <xf numFmtId="0" fontId="14" fillId="10" borderId="19" xfId="7" applyFont="1" applyFill="1" applyBorder="1" applyAlignment="1" applyProtection="1">
      <alignment horizontal="center" vertical="center" wrapText="1"/>
    </xf>
    <xf numFmtId="0" fontId="14" fillId="10" borderId="20" xfId="7" applyFont="1" applyFill="1" applyBorder="1" applyAlignment="1" applyProtection="1">
      <alignment horizontal="center" vertical="center" wrapText="1"/>
    </xf>
    <xf numFmtId="0" fontId="14" fillId="10" borderId="57" xfId="7" applyFont="1" applyFill="1" applyBorder="1" applyAlignment="1" applyProtection="1">
      <alignment horizontal="center" vertical="center"/>
    </xf>
    <xf numFmtId="0" fontId="14" fillId="10" borderId="12" xfId="7" applyFont="1" applyFill="1" applyBorder="1" applyAlignment="1" applyProtection="1">
      <alignment horizontal="center" vertical="center"/>
    </xf>
    <xf numFmtId="0" fontId="14" fillId="10" borderId="15" xfId="7" applyFont="1" applyFill="1" applyBorder="1" applyAlignment="1" applyProtection="1">
      <alignment horizontal="center" vertical="center"/>
    </xf>
    <xf numFmtId="0" fontId="8" fillId="2" borderId="58" xfId="7" applyFont="1" applyFill="1" applyBorder="1" applyAlignment="1" applyProtection="1">
      <alignment horizontal="center" vertical="center" wrapText="1"/>
    </xf>
    <xf numFmtId="0" fontId="8" fillId="2" borderId="10" xfId="7" applyFont="1" applyFill="1" applyBorder="1" applyAlignment="1" applyProtection="1">
      <alignment horizontal="center" vertical="center" wrapText="1"/>
    </xf>
    <xf numFmtId="0" fontId="8" fillId="2" borderId="53" xfId="7" applyFont="1" applyFill="1" applyBorder="1" applyAlignment="1" applyProtection="1">
      <alignment horizontal="center" vertical="center" wrapText="1"/>
    </xf>
    <xf numFmtId="0" fontId="8" fillId="2" borderId="9" xfId="7" applyFont="1" applyFill="1" applyBorder="1" applyAlignment="1" applyProtection="1">
      <alignment horizontal="center" vertical="center" wrapText="1"/>
    </xf>
    <xf numFmtId="0" fontId="8" fillId="2" borderId="60" xfId="7" applyFont="1" applyFill="1" applyBorder="1" applyAlignment="1" applyProtection="1">
      <alignment horizontal="center" vertical="center" wrapText="1"/>
    </xf>
    <xf numFmtId="0" fontId="8" fillId="2" borderId="36" xfId="7" applyFont="1" applyFill="1" applyBorder="1" applyAlignment="1" applyProtection="1">
      <alignment horizontal="center" vertical="center" wrapText="1"/>
    </xf>
    <xf numFmtId="0" fontId="8" fillId="2" borderId="37" xfId="7" applyFont="1" applyFill="1" applyBorder="1" applyAlignment="1" applyProtection="1">
      <alignment horizontal="center" vertical="center" wrapText="1"/>
    </xf>
    <xf numFmtId="0" fontId="8" fillId="2" borderId="38" xfId="7" applyFont="1" applyFill="1" applyBorder="1" applyAlignment="1" applyProtection="1">
      <alignment horizontal="center" vertical="center" wrapText="1"/>
    </xf>
    <xf numFmtId="0" fontId="8" fillId="2" borderId="56" xfId="7" applyFont="1" applyFill="1" applyBorder="1" applyAlignment="1" applyProtection="1">
      <alignment horizontal="center" vertical="center" wrapText="1"/>
    </xf>
    <xf numFmtId="0" fontId="8" fillId="2" borderId="19" xfId="7" applyFont="1" applyFill="1" applyBorder="1" applyAlignment="1" applyProtection="1">
      <alignment horizontal="center" vertical="center" wrapText="1"/>
    </xf>
    <xf numFmtId="0" fontId="8" fillId="2" borderId="0" xfId="7" applyFont="1" applyFill="1" applyBorder="1" applyAlignment="1" applyProtection="1">
      <alignment horizontal="center" vertical="center" wrapText="1"/>
    </xf>
    <xf numFmtId="0" fontId="8" fillId="2" borderId="57" xfId="7" applyFont="1" applyFill="1" applyBorder="1" applyAlignment="1" applyProtection="1">
      <alignment horizontal="center" vertical="center" wrapText="1"/>
    </xf>
    <xf numFmtId="0" fontId="8" fillId="2" borderId="12" xfId="7" applyFont="1" applyFill="1" applyBorder="1" applyAlignment="1" applyProtection="1">
      <alignment horizontal="center" vertical="center" wrapText="1"/>
    </xf>
    <xf numFmtId="0" fontId="8" fillId="2" borderId="15" xfId="7" applyFont="1" applyFill="1" applyBorder="1" applyAlignment="1" applyProtection="1">
      <alignment horizontal="center" vertical="center" wrapText="1"/>
    </xf>
    <xf numFmtId="0" fontId="8" fillId="2" borderId="63" xfId="7" applyFont="1" applyFill="1" applyBorder="1" applyAlignment="1" applyProtection="1">
      <alignment horizontal="center" vertical="center" wrapText="1"/>
    </xf>
    <xf numFmtId="0" fontId="8" fillId="2" borderId="51" xfId="7" applyFont="1" applyFill="1" applyBorder="1" applyAlignment="1" applyProtection="1">
      <alignment horizontal="center" vertical="center" wrapText="1"/>
    </xf>
    <xf numFmtId="0" fontId="8" fillId="2" borderId="27" xfId="7" applyFont="1" applyFill="1" applyBorder="1" applyAlignment="1" applyProtection="1">
      <alignment horizontal="center" vertical="center" wrapText="1"/>
    </xf>
    <xf numFmtId="0" fontId="8" fillId="2" borderId="55" xfId="7" applyFont="1" applyFill="1" applyBorder="1" applyAlignment="1" applyProtection="1">
      <alignment horizontal="center" vertical="center" wrapText="1"/>
    </xf>
    <xf numFmtId="165" fontId="7" fillId="13" borderId="62" xfId="8" applyNumberFormat="1" applyFont="1" applyFill="1" applyBorder="1" applyAlignment="1" applyProtection="1">
      <alignment horizontal="center" vertical="center" wrapText="1"/>
    </xf>
    <xf numFmtId="165" fontId="7" fillId="13" borderId="44" xfId="8" applyNumberFormat="1" applyFont="1" applyFill="1" applyBorder="1" applyAlignment="1" applyProtection="1">
      <alignment horizontal="center" vertical="center" wrapText="1"/>
    </xf>
    <xf numFmtId="165" fontId="7" fillId="13" borderId="33" xfId="8" applyNumberFormat="1" applyFont="1" applyFill="1" applyBorder="1" applyAlignment="1" applyProtection="1">
      <alignment horizontal="center" vertical="center" wrapText="1"/>
    </xf>
    <xf numFmtId="0" fontId="8" fillId="2" borderId="14" xfId="7" applyFont="1" applyFill="1" applyBorder="1" applyAlignment="1" applyProtection="1">
      <alignment horizontal="center" vertical="center" wrapText="1"/>
    </xf>
    <xf numFmtId="0" fontId="8" fillId="2" borderId="62" xfId="7" applyFont="1" applyFill="1" applyBorder="1" applyAlignment="1" applyProtection="1">
      <alignment horizontal="center" vertical="center" wrapText="1"/>
    </xf>
    <xf numFmtId="0" fontId="8" fillId="2" borderId="44" xfId="7" applyFont="1" applyFill="1" applyBorder="1" applyAlignment="1" applyProtection="1">
      <alignment horizontal="center" vertical="center" wrapText="1"/>
    </xf>
    <xf numFmtId="0" fontId="8" fillId="2" borderId="33" xfId="7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 vertical="center"/>
    </xf>
    <xf numFmtId="0" fontId="8" fillId="3" borderId="5" xfId="9" applyFont="1" applyFill="1" applyBorder="1" applyAlignment="1">
      <alignment horizontal="center" vertical="center"/>
    </xf>
    <xf numFmtId="0" fontId="8" fillId="3" borderId="2" xfId="9" applyFont="1" applyFill="1" applyBorder="1" applyAlignment="1">
      <alignment horizontal="center" vertical="center"/>
    </xf>
    <xf numFmtId="49" fontId="21" fillId="0" borderId="0" xfId="10" applyNumberFormat="1" applyFont="1" applyAlignment="1">
      <alignment horizontal="center" vertical="center" wrapText="1"/>
    </xf>
    <xf numFmtId="0" fontId="23" fillId="8" borderId="8" xfId="25" applyFont="1" applyFill="1" applyBorder="1" applyAlignment="1">
      <alignment horizontal="center" vertical="center" wrapText="1"/>
    </xf>
  </cellXfs>
  <cellStyles count="26">
    <cellStyle name="Normalny" xfId="0" builtinId="0"/>
    <cellStyle name="Normalny 10" xfId="3"/>
    <cellStyle name="Normalny 11" xfId="20"/>
    <cellStyle name="Normalny 12" xfId="21"/>
    <cellStyle name="Normalny 13" xfId="22"/>
    <cellStyle name="Normalny 13 2" xfId="25"/>
    <cellStyle name="Normalny 14" xfId="23"/>
    <cellStyle name="Normalny 15" xfId="24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2"/>
  <sheetViews>
    <sheetView topLeftCell="A115" zoomScale="93" zoomScaleNormal="93" workbookViewId="0">
      <selection activeCell="L55" sqref="L1:L1048576"/>
    </sheetView>
  </sheetViews>
  <sheetFormatPr defaultColWidth="11.6640625" defaultRowHeight="12.75"/>
  <cols>
    <col min="1" max="1" width="5.6640625" style="44" customWidth="1"/>
    <col min="2" max="2" width="6.6640625" style="44" customWidth="1"/>
    <col min="3" max="3" width="9.33203125" style="45" customWidth="1"/>
    <col min="4" max="4" width="7.33203125" style="45" customWidth="1"/>
    <col min="5" max="5" width="72" style="45" customWidth="1"/>
    <col min="6" max="9" width="14.33203125" style="45" customWidth="1"/>
    <col min="10" max="10" width="16.5" style="45" customWidth="1"/>
    <col min="11" max="11" width="28.6640625" style="46" customWidth="1"/>
    <col min="12" max="12" width="11.6640625" style="225" hidden="1" customWidth="1"/>
    <col min="13" max="13" width="15.5" style="47" bestFit="1" customWidth="1"/>
    <col min="14" max="14" width="13" style="45" bestFit="1" customWidth="1"/>
    <col min="15" max="16384" width="11.6640625" style="45"/>
  </cols>
  <sheetData>
    <row r="1" spans="1:13" ht="12" customHeight="1"/>
    <row r="2" spans="1:13" ht="15.75" customHeight="1">
      <c r="A2" s="298" t="s">
        <v>183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3" ht="15" customHeight="1" thickBot="1">
      <c r="A3" s="48"/>
      <c r="B3" s="48"/>
      <c r="C3" s="49"/>
      <c r="D3" s="49"/>
      <c r="E3" s="49"/>
      <c r="F3" s="49"/>
      <c r="G3" s="49"/>
      <c r="H3" s="49"/>
      <c r="I3" s="49"/>
      <c r="J3" s="49"/>
      <c r="K3" s="50"/>
    </row>
    <row r="4" spans="1:13" ht="19.5" customHeight="1" thickBot="1">
      <c r="A4" s="299" t="s">
        <v>3</v>
      </c>
      <c r="B4" s="301" t="s">
        <v>0</v>
      </c>
      <c r="C4" s="303" t="s">
        <v>184</v>
      </c>
      <c r="D4" s="305" t="s">
        <v>33</v>
      </c>
      <c r="E4" s="307" t="s">
        <v>34</v>
      </c>
      <c r="F4" s="307" t="s">
        <v>185</v>
      </c>
      <c r="G4" s="309" t="s">
        <v>186</v>
      </c>
      <c r="H4" s="310"/>
      <c r="I4" s="310"/>
      <c r="J4" s="310"/>
      <c r="K4" s="311" t="s">
        <v>187</v>
      </c>
      <c r="L4" s="316"/>
    </row>
    <row r="5" spans="1:13" ht="95.25" customHeight="1" thickBot="1">
      <c r="A5" s="300"/>
      <c r="B5" s="302"/>
      <c r="C5" s="304"/>
      <c r="D5" s="306"/>
      <c r="E5" s="308"/>
      <c r="F5" s="308"/>
      <c r="G5" s="175" t="s">
        <v>188</v>
      </c>
      <c r="H5" s="175" t="s">
        <v>189</v>
      </c>
      <c r="I5" s="175" t="s">
        <v>190</v>
      </c>
      <c r="J5" s="175" t="s">
        <v>191</v>
      </c>
      <c r="K5" s="312"/>
      <c r="L5" s="317"/>
    </row>
    <row r="6" spans="1:13" s="54" customFormat="1" ht="15" customHeight="1" thickBot="1">
      <c r="A6" s="196" t="s">
        <v>4</v>
      </c>
      <c r="B6" s="51" t="s">
        <v>5</v>
      </c>
      <c r="C6" s="51" t="s">
        <v>6</v>
      </c>
      <c r="D6" s="51" t="s">
        <v>7</v>
      </c>
      <c r="E6" s="52" t="s">
        <v>8</v>
      </c>
      <c r="F6" s="51" t="s">
        <v>38</v>
      </c>
      <c r="G6" s="51" t="s">
        <v>37</v>
      </c>
      <c r="H6" s="51" t="s">
        <v>192</v>
      </c>
      <c r="I6" s="51" t="s">
        <v>193</v>
      </c>
      <c r="J6" s="51" t="s">
        <v>194</v>
      </c>
      <c r="K6" s="197" t="s">
        <v>195</v>
      </c>
      <c r="L6" s="176"/>
      <c r="M6" s="53"/>
    </row>
    <row r="7" spans="1:13" s="57" customFormat="1" ht="27.95" customHeight="1" thickBot="1">
      <c r="A7" s="318" t="s">
        <v>196</v>
      </c>
      <c r="B7" s="319"/>
      <c r="C7" s="319"/>
      <c r="D7" s="319"/>
      <c r="E7" s="319"/>
      <c r="F7" s="55">
        <f>SUM(G7:J7)</f>
        <v>1918073</v>
      </c>
      <c r="G7" s="55">
        <f>SUM(G8:G13)</f>
        <v>517243</v>
      </c>
      <c r="H7" s="55">
        <f>SUM(H8:H13)</f>
        <v>400000</v>
      </c>
      <c r="I7" s="55">
        <f>SUM(I8:I13)</f>
        <v>0</v>
      </c>
      <c r="J7" s="55">
        <f>1000000+830</f>
        <v>1000830</v>
      </c>
      <c r="K7" s="198"/>
      <c r="L7" s="177"/>
      <c r="M7" s="56"/>
    </row>
    <row r="8" spans="1:13" s="67" customFormat="1" ht="32.25" customHeight="1" thickBot="1">
      <c r="A8" s="58" t="s">
        <v>4</v>
      </c>
      <c r="B8" s="59">
        <v>600</v>
      </c>
      <c r="C8" s="60">
        <v>60014</v>
      </c>
      <c r="D8" s="60">
        <v>6050</v>
      </c>
      <c r="E8" s="61" t="s">
        <v>197</v>
      </c>
      <c r="F8" s="62">
        <f>SUM(G8:H8)</f>
        <v>480000</v>
      </c>
      <c r="G8" s="63">
        <v>280000</v>
      </c>
      <c r="H8" s="63">
        <v>200000</v>
      </c>
      <c r="I8" s="64"/>
      <c r="J8" s="65"/>
      <c r="K8" s="199"/>
      <c r="L8" s="178" t="s">
        <v>198</v>
      </c>
      <c r="M8" s="66"/>
    </row>
    <row r="9" spans="1:13" s="67" customFormat="1" ht="45" customHeight="1" thickBot="1">
      <c r="A9" s="201" t="s">
        <v>5</v>
      </c>
      <c r="B9" s="69">
        <v>600</v>
      </c>
      <c r="C9" s="69">
        <v>60014</v>
      </c>
      <c r="D9" s="69">
        <v>6050</v>
      </c>
      <c r="E9" s="70" t="s">
        <v>199</v>
      </c>
      <c r="F9" s="71">
        <f>G9</f>
        <v>0</v>
      </c>
      <c r="G9" s="72">
        <f>35000-35000</f>
        <v>0</v>
      </c>
      <c r="H9" s="72"/>
      <c r="I9" s="73"/>
      <c r="J9" s="74"/>
      <c r="K9" s="203"/>
      <c r="L9" s="180"/>
      <c r="M9" s="66"/>
    </row>
    <row r="10" spans="1:13" s="67" customFormat="1" ht="45" customHeight="1" thickBot="1">
      <c r="A10" s="273" t="s">
        <v>6</v>
      </c>
      <c r="B10" s="69">
        <v>600</v>
      </c>
      <c r="C10" s="69">
        <v>60014</v>
      </c>
      <c r="D10" s="69">
        <v>6050</v>
      </c>
      <c r="E10" s="226" t="s">
        <v>406</v>
      </c>
      <c r="F10" s="71">
        <f>G10+830</f>
        <v>56380</v>
      </c>
      <c r="G10" s="72">
        <f>35000+20550</f>
        <v>55550</v>
      </c>
      <c r="H10" s="72"/>
      <c r="I10" s="73"/>
      <c r="J10" s="74" t="s">
        <v>408</v>
      </c>
      <c r="K10" s="274"/>
      <c r="L10" s="184" t="s">
        <v>198</v>
      </c>
      <c r="M10" s="66"/>
    </row>
    <row r="11" spans="1:13" s="67" customFormat="1" ht="45" customHeight="1" thickBot="1">
      <c r="A11" s="58" t="s">
        <v>7</v>
      </c>
      <c r="B11" s="69">
        <v>600</v>
      </c>
      <c r="C11" s="69">
        <v>60014</v>
      </c>
      <c r="D11" s="69">
        <v>6050</v>
      </c>
      <c r="E11" s="70" t="s">
        <v>458</v>
      </c>
      <c r="F11" s="71">
        <f>SUM(G11:I11)</f>
        <v>259302</v>
      </c>
      <c r="G11" s="72">
        <v>59302</v>
      </c>
      <c r="H11" s="72">
        <f>200000</f>
        <v>200000</v>
      </c>
      <c r="I11" s="73"/>
      <c r="J11" s="74"/>
      <c r="K11" s="200"/>
      <c r="L11" s="180"/>
      <c r="M11" s="66"/>
    </row>
    <row r="12" spans="1:13" s="67" customFormat="1" ht="45" customHeight="1" thickBot="1">
      <c r="A12" s="75" t="s">
        <v>8</v>
      </c>
      <c r="B12" s="76">
        <v>600</v>
      </c>
      <c r="C12" s="76">
        <v>60014</v>
      </c>
      <c r="D12" s="76">
        <v>6050</v>
      </c>
      <c r="E12" s="77" t="s">
        <v>200</v>
      </c>
      <c r="F12" s="62">
        <f>1000000+G12</f>
        <v>1122391</v>
      </c>
      <c r="G12" s="63">
        <v>122391</v>
      </c>
      <c r="H12" s="63"/>
      <c r="I12" s="64"/>
      <c r="J12" s="78" t="s">
        <v>201</v>
      </c>
      <c r="K12" s="79"/>
      <c r="L12" s="181" t="s">
        <v>198</v>
      </c>
      <c r="M12" s="66"/>
    </row>
    <row r="13" spans="1:13" s="85" customFormat="1" ht="109.5" customHeight="1" thickBot="1">
      <c r="A13" s="201" t="s">
        <v>38</v>
      </c>
      <c r="B13" s="69">
        <v>600</v>
      </c>
      <c r="C13" s="69">
        <v>60014</v>
      </c>
      <c r="D13" s="69">
        <v>6610</v>
      </c>
      <c r="E13" s="80" t="s">
        <v>202</v>
      </c>
      <c r="F13" s="81">
        <f>SUM(G13:H13)</f>
        <v>0</v>
      </c>
      <c r="G13" s="81">
        <v>0</v>
      </c>
      <c r="H13" s="81">
        <f>1500000-1100000-400000</f>
        <v>0</v>
      </c>
      <c r="I13" s="82"/>
      <c r="J13" s="82"/>
      <c r="K13" s="202"/>
      <c r="L13" s="83" t="s">
        <v>198</v>
      </c>
      <c r="M13" s="84"/>
    </row>
    <row r="14" spans="1:13" s="67" customFormat="1" ht="27.75" customHeight="1" thickBot="1">
      <c r="A14" s="320" t="s">
        <v>203</v>
      </c>
      <c r="B14" s="321"/>
      <c r="C14" s="321"/>
      <c r="D14" s="321"/>
      <c r="E14" s="322"/>
      <c r="F14" s="86">
        <f>SUM(G14:J14)</f>
        <v>1064250</v>
      </c>
      <c r="G14" s="86">
        <f>SUM(G15:G21)</f>
        <v>85000</v>
      </c>
      <c r="H14" s="86">
        <f>SUM(H15:H21)</f>
        <v>929250</v>
      </c>
      <c r="I14" s="86">
        <f>SUM(I15:I21)</f>
        <v>0</v>
      </c>
      <c r="J14" s="86">
        <v>50000</v>
      </c>
      <c r="K14" s="198"/>
      <c r="L14" s="182"/>
      <c r="M14" s="66"/>
    </row>
    <row r="15" spans="1:13" s="67" customFormat="1" ht="46.5" customHeight="1" thickBot="1">
      <c r="A15" s="201" t="s">
        <v>37</v>
      </c>
      <c r="B15" s="69">
        <v>600</v>
      </c>
      <c r="C15" s="69">
        <v>60014</v>
      </c>
      <c r="D15" s="69">
        <v>6050</v>
      </c>
      <c r="E15" s="172" t="s">
        <v>204</v>
      </c>
      <c r="F15" s="81">
        <f>SUM(G15:H15)</f>
        <v>101015</v>
      </c>
      <c r="G15" s="72">
        <v>0</v>
      </c>
      <c r="H15" s="72">
        <f>200000-52250-46735</f>
        <v>101015</v>
      </c>
      <c r="I15" s="73"/>
      <c r="J15" s="74"/>
      <c r="K15" s="203"/>
      <c r="L15" s="183"/>
      <c r="M15" s="66"/>
    </row>
    <row r="16" spans="1:13" s="67" customFormat="1" ht="42.75" customHeight="1" thickBot="1">
      <c r="A16" s="201" t="s">
        <v>192</v>
      </c>
      <c r="B16" s="69">
        <v>600</v>
      </c>
      <c r="C16" s="69">
        <v>60014</v>
      </c>
      <c r="D16" s="69">
        <v>6050</v>
      </c>
      <c r="E16" s="70" t="s">
        <v>205</v>
      </c>
      <c r="F16" s="81">
        <f>SUM(G16:H16)</f>
        <v>33100</v>
      </c>
      <c r="G16" s="72">
        <f>35000-1900</f>
        <v>33100</v>
      </c>
      <c r="H16" s="72"/>
      <c r="I16" s="73"/>
      <c r="J16" s="74"/>
      <c r="K16" s="203"/>
      <c r="L16" s="182"/>
      <c r="M16" s="66"/>
    </row>
    <row r="17" spans="1:13" s="67" customFormat="1" ht="51.75" customHeight="1" thickBot="1">
      <c r="A17" s="201" t="s">
        <v>193</v>
      </c>
      <c r="B17" s="69">
        <v>600</v>
      </c>
      <c r="C17" s="69">
        <v>60014</v>
      </c>
      <c r="D17" s="69">
        <v>6050</v>
      </c>
      <c r="E17" s="70" t="s">
        <v>206</v>
      </c>
      <c r="F17" s="81">
        <f>SUM(G17:H17)</f>
        <v>296500</v>
      </c>
      <c r="G17" s="72">
        <v>0</v>
      </c>
      <c r="H17" s="72">
        <f>250000+46500</f>
        <v>296500</v>
      </c>
      <c r="I17" s="73"/>
      <c r="J17" s="74"/>
      <c r="K17" s="203"/>
      <c r="L17" s="182"/>
      <c r="M17" s="66"/>
    </row>
    <row r="18" spans="1:13" s="67" customFormat="1" ht="44.25" customHeight="1" thickBot="1">
      <c r="A18" s="201" t="s">
        <v>194</v>
      </c>
      <c r="B18" s="69">
        <v>600</v>
      </c>
      <c r="C18" s="69">
        <v>60014</v>
      </c>
      <c r="D18" s="69">
        <v>6050</v>
      </c>
      <c r="E18" s="70" t="s">
        <v>207</v>
      </c>
      <c r="F18" s="81">
        <f>SUM(G18:H18)</f>
        <v>250000</v>
      </c>
      <c r="G18" s="72">
        <v>0</v>
      </c>
      <c r="H18" s="72">
        <v>250000</v>
      </c>
      <c r="I18" s="73"/>
      <c r="J18" s="74"/>
      <c r="K18" s="203"/>
      <c r="L18" s="182"/>
      <c r="M18" s="66"/>
    </row>
    <row r="19" spans="1:13" s="67" customFormat="1" ht="44.25" customHeight="1" thickBot="1">
      <c r="A19" s="201" t="s">
        <v>195</v>
      </c>
      <c r="B19" s="69">
        <v>600</v>
      </c>
      <c r="C19" s="69">
        <v>60014</v>
      </c>
      <c r="D19" s="69">
        <v>6050</v>
      </c>
      <c r="E19" s="227" t="s">
        <v>208</v>
      </c>
      <c r="F19" s="81">
        <f>SUM(G19:I19)</f>
        <v>246735</v>
      </c>
      <c r="G19" s="72">
        <v>0</v>
      </c>
      <c r="H19" s="72">
        <f>200000+46735</f>
        <v>246735</v>
      </c>
      <c r="I19" s="73"/>
      <c r="J19" s="74"/>
      <c r="K19" s="203"/>
      <c r="L19" s="183"/>
      <c r="M19" s="66"/>
    </row>
    <row r="20" spans="1:13" s="67" customFormat="1" ht="44.25" customHeight="1" thickBot="1">
      <c r="A20" s="201" t="s">
        <v>210</v>
      </c>
      <c r="B20" s="69">
        <v>600</v>
      </c>
      <c r="C20" s="69">
        <v>60014</v>
      </c>
      <c r="D20" s="69">
        <v>6050</v>
      </c>
      <c r="E20" s="228" t="s">
        <v>209</v>
      </c>
      <c r="F20" s="81">
        <f>SUM(G20:I20)</f>
        <v>36900</v>
      </c>
      <c r="G20" s="72">
        <v>1900</v>
      </c>
      <c r="H20" s="72">
        <v>35000</v>
      </c>
      <c r="I20" s="73"/>
      <c r="J20" s="74"/>
      <c r="K20" s="203"/>
      <c r="L20" s="183"/>
      <c r="M20" s="66"/>
    </row>
    <row r="21" spans="1:13" s="67" customFormat="1" ht="44.25" customHeight="1" thickBot="1">
      <c r="A21" s="201" t="s">
        <v>214</v>
      </c>
      <c r="B21" s="69">
        <v>600</v>
      </c>
      <c r="C21" s="69">
        <v>60014</v>
      </c>
      <c r="D21" s="69">
        <v>6050</v>
      </c>
      <c r="E21" s="228" t="s">
        <v>211</v>
      </c>
      <c r="F21" s="81">
        <f>G21+50000</f>
        <v>100000</v>
      </c>
      <c r="G21" s="72">
        <v>50000</v>
      </c>
      <c r="H21" s="72"/>
      <c r="I21" s="73"/>
      <c r="J21" s="74" t="s">
        <v>212</v>
      </c>
      <c r="K21" s="203"/>
      <c r="L21" s="184" t="s">
        <v>198</v>
      </c>
      <c r="M21" s="66"/>
    </row>
    <row r="22" spans="1:13" s="88" customFormat="1" ht="27.95" customHeight="1" thickBot="1">
      <c r="A22" s="318" t="s">
        <v>213</v>
      </c>
      <c r="B22" s="319"/>
      <c r="C22" s="319"/>
      <c r="D22" s="319"/>
      <c r="E22" s="319"/>
      <c r="F22" s="55">
        <f>SUM(G22:J22)</f>
        <v>4195428</v>
      </c>
      <c r="G22" s="55">
        <f>SUM(G23:G36)</f>
        <v>422306</v>
      </c>
      <c r="H22" s="55">
        <f>SUM(H23:H36)</f>
        <v>1074047</v>
      </c>
      <c r="I22" s="55">
        <f>SUM(I23:I36)</f>
        <v>0</v>
      </c>
      <c r="J22" s="55">
        <f>1000000+489000+100000+952212+200000+910-100000+56953</f>
        <v>2699075</v>
      </c>
      <c r="K22" s="204"/>
      <c r="L22" s="185"/>
      <c r="M22" s="87"/>
    </row>
    <row r="23" spans="1:13" s="90" customFormat="1" ht="48" customHeight="1" thickBot="1">
      <c r="A23" s="201" t="s">
        <v>215</v>
      </c>
      <c r="B23" s="69">
        <v>600</v>
      </c>
      <c r="C23" s="69">
        <v>60014</v>
      </c>
      <c r="D23" s="69">
        <v>6050</v>
      </c>
      <c r="E23" s="229" t="s">
        <v>441</v>
      </c>
      <c r="F23" s="81">
        <f>SUM(G23:H23)</f>
        <v>100000</v>
      </c>
      <c r="G23" s="72">
        <v>0</v>
      </c>
      <c r="H23" s="72">
        <v>100000</v>
      </c>
      <c r="I23" s="82"/>
      <c r="J23" s="74"/>
      <c r="K23" s="205"/>
      <c r="L23" s="178" t="s">
        <v>198</v>
      </c>
      <c r="M23" s="89"/>
    </row>
    <row r="24" spans="1:13" s="90" customFormat="1" ht="46.5" customHeight="1" thickBot="1">
      <c r="A24" s="201" t="s">
        <v>217</v>
      </c>
      <c r="B24" s="69">
        <v>600</v>
      </c>
      <c r="C24" s="69">
        <v>60014</v>
      </c>
      <c r="D24" s="69">
        <v>6050</v>
      </c>
      <c r="E24" s="70" t="s">
        <v>216</v>
      </c>
      <c r="F24" s="81">
        <v>0</v>
      </c>
      <c r="G24" s="72">
        <v>0</v>
      </c>
      <c r="H24" s="72">
        <v>0</v>
      </c>
      <c r="I24" s="73"/>
      <c r="J24" s="74">
        <v>0</v>
      </c>
      <c r="K24" s="203"/>
      <c r="L24" s="183"/>
      <c r="M24" s="89"/>
    </row>
    <row r="25" spans="1:13" s="90" customFormat="1" ht="46.5" customHeight="1" thickBot="1">
      <c r="A25" s="201" t="s">
        <v>219</v>
      </c>
      <c r="B25" s="69">
        <v>600</v>
      </c>
      <c r="C25" s="69">
        <v>60014</v>
      </c>
      <c r="D25" s="69">
        <v>6050</v>
      </c>
      <c r="E25" s="70" t="s">
        <v>433</v>
      </c>
      <c r="F25" s="81">
        <f>SUM(G25:H25)+56953</f>
        <v>675000</v>
      </c>
      <c r="G25" s="72">
        <v>144000</v>
      </c>
      <c r="H25" s="72">
        <f>456000+18047</f>
        <v>474047</v>
      </c>
      <c r="I25" s="73"/>
      <c r="J25" s="74" t="s">
        <v>432</v>
      </c>
      <c r="K25" s="203"/>
      <c r="L25" s="183"/>
      <c r="M25" s="89"/>
    </row>
    <row r="26" spans="1:13" s="90" customFormat="1" ht="45.75" customHeight="1" thickBot="1">
      <c r="A26" s="201" t="s">
        <v>222</v>
      </c>
      <c r="B26" s="69">
        <v>600</v>
      </c>
      <c r="C26" s="69">
        <v>60014</v>
      </c>
      <c r="D26" s="69">
        <v>6050</v>
      </c>
      <c r="E26" s="70" t="s">
        <v>218</v>
      </c>
      <c r="F26" s="81">
        <f>SUM(G26:H26)</f>
        <v>0</v>
      </c>
      <c r="G26" s="72">
        <v>0</v>
      </c>
      <c r="H26" s="72">
        <v>0</v>
      </c>
      <c r="I26" s="82"/>
      <c r="J26" s="91"/>
      <c r="K26" s="205"/>
      <c r="L26" s="183" t="s">
        <v>198</v>
      </c>
      <c r="M26" s="89"/>
    </row>
    <row r="27" spans="1:13" s="67" customFormat="1" ht="45.75" customHeight="1" thickBot="1">
      <c r="A27" s="201" t="s">
        <v>224</v>
      </c>
      <c r="B27" s="69">
        <v>600</v>
      </c>
      <c r="C27" s="69">
        <v>60014</v>
      </c>
      <c r="D27" s="69">
        <v>6050</v>
      </c>
      <c r="E27" s="70" t="s">
        <v>220</v>
      </c>
      <c r="F27" s="81">
        <v>0</v>
      </c>
      <c r="G27" s="72">
        <v>0</v>
      </c>
      <c r="H27" s="72"/>
      <c r="I27" s="73"/>
      <c r="J27" s="74" t="s">
        <v>421</v>
      </c>
      <c r="K27" s="203" t="s">
        <v>221</v>
      </c>
      <c r="L27" s="183" t="s">
        <v>198</v>
      </c>
      <c r="M27" s="66"/>
    </row>
    <row r="28" spans="1:13" s="90" customFormat="1" ht="102.75" customHeight="1" thickBot="1">
      <c r="A28" s="201" t="s">
        <v>226</v>
      </c>
      <c r="B28" s="69">
        <v>600</v>
      </c>
      <c r="C28" s="69">
        <v>60014</v>
      </c>
      <c r="D28" s="69">
        <v>6050</v>
      </c>
      <c r="E28" s="70" t="s">
        <v>223</v>
      </c>
      <c r="F28" s="81">
        <f>SUM(G28:H28)</f>
        <v>500000</v>
      </c>
      <c r="G28" s="72">
        <v>0</v>
      </c>
      <c r="H28" s="72">
        <f>350000+150000</f>
        <v>500000</v>
      </c>
      <c r="I28" s="82"/>
      <c r="J28" s="74"/>
      <c r="K28" s="205"/>
      <c r="L28" s="183"/>
      <c r="M28" s="89"/>
    </row>
    <row r="29" spans="1:13" s="90" customFormat="1" ht="87.75" customHeight="1" thickBot="1">
      <c r="A29" s="201" t="s">
        <v>228</v>
      </c>
      <c r="B29" s="69">
        <v>600</v>
      </c>
      <c r="C29" s="69">
        <v>60014</v>
      </c>
      <c r="D29" s="69">
        <v>6050</v>
      </c>
      <c r="E29" s="70" t="s">
        <v>225</v>
      </c>
      <c r="F29" s="81">
        <f>G29</f>
        <v>0</v>
      </c>
      <c r="G29" s="72">
        <f>140000-50000-90000</f>
        <v>0</v>
      </c>
      <c r="H29" s="72"/>
      <c r="I29" s="82"/>
      <c r="J29" s="91"/>
      <c r="K29" s="230"/>
      <c r="L29" s="186"/>
      <c r="M29" s="89"/>
    </row>
    <row r="30" spans="1:13" s="90" customFormat="1" ht="94.5" customHeight="1" thickBot="1">
      <c r="A30" s="201" t="s">
        <v>230</v>
      </c>
      <c r="B30" s="69">
        <v>600</v>
      </c>
      <c r="C30" s="69">
        <v>60014</v>
      </c>
      <c r="D30" s="69">
        <v>6050</v>
      </c>
      <c r="E30" s="70" t="s">
        <v>442</v>
      </c>
      <c r="F30" s="81">
        <f>G30</f>
        <v>70000</v>
      </c>
      <c r="G30" s="72">
        <v>70000</v>
      </c>
      <c r="H30" s="72"/>
      <c r="I30" s="82"/>
      <c r="J30" s="91"/>
      <c r="K30" s="230"/>
      <c r="L30" s="186"/>
      <c r="M30" s="89"/>
    </row>
    <row r="31" spans="1:13" s="90" customFormat="1" ht="42" customHeight="1" thickBot="1">
      <c r="A31" s="201" t="s">
        <v>233</v>
      </c>
      <c r="B31" s="69">
        <v>600</v>
      </c>
      <c r="C31" s="69">
        <v>60014</v>
      </c>
      <c r="D31" s="69">
        <v>6050</v>
      </c>
      <c r="E31" s="70" t="s">
        <v>407</v>
      </c>
      <c r="F31" s="81">
        <f>G31+910</f>
        <v>20910</v>
      </c>
      <c r="G31" s="72">
        <v>20000</v>
      </c>
      <c r="H31" s="72"/>
      <c r="I31" s="82"/>
      <c r="J31" s="74" t="s">
        <v>409</v>
      </c>
      <c r="K31" s="230"/>
      <c r="L31" s="178" t="s">
        <v>198</v>
      </c>
      <c r="M31" s="89"/>
    </row>
    <row r="32" spans="1:13" s="90" customFormat="1" ht="42.75" customHeight="1" thickBot="1">
      <c r="A32" s="201" t="s">
        <v>236</v>
      </c>
      <c r="B32" s="69">
        <v>600</v>
      </c>
      <c r="C32" s="69">
        <v>60014</v>
      </c>
      <c r="D32" s="69">
        <v>6050</v>
      </c>
      <c r="E32" s="70" t="s">
        <v>227</v>
      </c>
      <c r="F32" s="231">
        <f>680293.85+696284.15</f>
        <v>1376578</v>
      </c>
      <c r="G32" s="72">
        <v>0</v>
      </c>
      <c r="H32" s="72"/>
      <c r="I32" s="82"/>
      <c r="J32" s="74" t="s">
        <v>413</v>
      </c>
      <c r="K32" s="205"/>
      <c r="L32" s="183"/>
      <c r="M32" s="89"/>
    </row>
    <row r="33" spans="1:17" s="90" customFormat="1" ht="42.75" customHeight="1" thickBot="1">
      <c r="A33" s="201" t="s">
        <v>239</v>
      </c>
      <c r="B33" s="69">
        <v>600</v>
      </c>
      <c r="C33" s="69">
        <v>60014</v>
      </c>
      <c r="D33" s="69">
        <v>6050</v>
      </c>
      <c r="E33" s="70" t="s">
        <v>229</v>
      </c>
      <c r="F33" s="81">
        <v>0</v>
      </c>
      <c r="G33" s="72">
        <v>0</v>
      </c>
      <c r="H33" s="72"/>
      <c r="I33" s="73"/>
      <c r="J33" s="74" t="s">
        <v>414</v>
      </c>
      <c r="K33" s="203"/>
      <c r="L33" s="183"/>
      <c r="M33" s="89"/>
    </row>
    <row r="34" spans="1:17" s="90" customFormat="1" ht="42.75" customHeight="1" thickBot="1">
      <c r="A34" s="201" t="s">
        <v>241</v>
      </c>
      <c r="B34" s="69">
        <v>600</v>
      </c>
      <c r="C34" s="69">
        <v>60014</v>
      </c>
      <c r="D34" s="69">
        <v>6050</v>
      </c>
      <c r="E34" s="70" t="s">
        <v>415</v>
      </c>
      <c r="F34" s="231">
        <f>G34+271918.15+792715.85</f>
        <v>1075634</v>
      </c>
      <c r="G34" s="72">
        <v>11000</v>
      </c>
      <c r="H34" s="72"/>
      <c r="I34" s="73"/>
      <c r="J34" s="74" t="s">
        <v>416</v>
      </c>
      <c r="K34" s="203"/>
      <c r="L34" s="183"/>
      <c r="M34" s="89"/>
    </row>
    <row r="35" spans="1:17" s="90" customFormat="1" ht="42.75" customHeight="1" thickBot="1">
      <c r="A35" s="201" t="s">
        <v>243</v>
      </c>
      <c r="B35" s="69">
        <v>600</v>
      </c>
      <c r="C35" s="69">
        <v>60014</v>
      </c>
      <c r="D35" s="69">
        <v>6050</v>
      </c>
      <c r="E35" s="70" t="s">
        <v>231</v>
      </c>
      <c r="F35" s="81">
        <v>200000</v>
      </c>
      <c r="G35" s="72"/>
      <c r="H35" s="72"/>
      <c r="I35" s="73"/>
      <c r="J35" s="74" t="s">
        <v>232</v>
      </c>
      <c r="K35" s="203"/>
      <c r="L35" s="184" t="s">
        <v>198</v>
      </c>
      <c r="M35" s="89"/>
    </row>
    <row r="36" spans="1:17" s="90" customFormat="1" ht="42.75" customHeight="1" thickBot="1">
      <c r="A36" s="201" t="s">
        <v>246</v>
      </c>
      <c r="B36" s="76">
        <v>600</v>
      </c>
      <c r="C36" s="76">
        <v>60014</v>
      </c>
      <c r="D36" s="76">
        <v>6050</v>
      </c>
      <c r="E36" s="232" t="s">
        <v>234</v>
      </c>
      <c r="F36" s="92">
        <f>SUM(G36:I36)</f>
        <v>177306</v>
      </c>
      <c r="G36" s="63">
        <v>177306</v>
      </c>
      <c r="H36" s="63"/>
      <c r="I36" s="64"/>
      <c r="J36" s="65"/>
      <c r="K36" s="199"/>
      <c r="L36" s="184" t="s">
        <v>198</v>
      </c>
      <c r="M36" s="89"/>
    </row>
    <row r="37" spans="1:17" s="95" customFormat="1" ht="27.95" customHeight="1" thickBot="1">
      <c r="A37" s="318" t="s">
        <v>235</v>
      </c>
      <c r="B37" s="319"/>
      <c r="C37" s="319"/>
      <c r="D37" s="319"/>
      <c r="E37" s="319"/>
      <c r="F37" s="55">
        <f>SUM(G37:J37)</f>
        <v>3351637</v>
      </c>
      <c r="G37" s="55">
        <f>SUM(G38:G49)</f>
        <v>1109217</v>
      </c>
      <c r="H37" s="55">
        <f t="shared" ref="H37:I37" si="0">SUM(H38:H49)</f>
        <v>222703</v>
      </c>
      <c r="I37" s="55">
        <f t="shared" si="0"/>
        <v>0</v>
      </c>
      <c r="J37" s="93">
        <f>339768+1528539+910+150000+500</f>
        <v>2019717</v>
      </c>
      <c r="K37" s="198"/>
      <c r="L37" s="187"/>
      <c r="M37" s="94"/>
    </row>
    <row r="38" spans="1:17" s="67" customFormat="1" ht="39.75" customHeight="1" thickBot="1">
      <c r="A38" s="201" t="s">
        <v>248</v>
      </c>
      <c r="B38" s="96">
        <v>600</v>
      </c>
      <c r="C38" s="97">
        <v>60014</v>
      </c>
      <c r="D38" s="97">
        <v>6050</v>
      </c>
      <c r="E38" s="98" t="s">
        <v>237</v>
      </c>
      <c r="F38" s="99">
        <f>G38+339768+1528539</f>
        <v>2208074</v>
      </c>
      <c r="G38" s="72">
        <v>339767</v>
      </c>
      <c r="H38" s="72"/>
      <c r="I38" s="73"/>
      <c r="J38" s="74" t="s">
        <v>238</v>
      </c>
      <c r="K38" s="203"/>
      <c r="L38" s="184" t="s">
        <v>198</v>
      </c>
      <c r="M38" s="66"/>
      <c r="N38" s="100"/>
      <c r="Q38" s="100"/>
    </row>
    <row r="39" spans="1:17" s="67" customFormat="1" ht="40.5" customHeight="1" thickBot="1">
      <c r="A39" s="201" t="s">
        <v>250</v>
      </c>
      <c r="B39" s="96">
        <v>600</v>
      </c>
      <c r="C39" s="97">
        <v>60014</v>
      </c>
      <c r="D39" s="97">
        <v>6050</v>
      </c>
      <c r="E39" s="70" t="s">
        <v>240</v>
      </c>
      <c r="F39" s="99">
        <f>SUM(G39:H39)</f>
        <v>155750</v>
      </c>
      <c r="G39" s="72">
        <v>150000</v>
      </c>
      <c r="H39" s="72">
        <v>5750</v>
      </c>
      <c r="I39" s="73"/>
      <c r="J39" s="74"/>
      <c r="K39" s="205"/>
      <c r="L39" s="182"/>
      <c r="M39" s="66"/>
    </row>
    <row r="40" spans="1:17" s="103" customFormat="1" ht="30.75" customHeight="1" thickBot="1">
      <c r="A40" s="201" t="s">
        <v>251</v>
      </c>
      <c r="B40" s="96">
        <v>600</v>
      </c>
      <c r="C40" s="101">
        <v>60014</v>
      </c>
      <c r="D40" s="101">
        <v>6050</v>
      </c>
      <c r="E40" s="70" t="s">
        <v>242</v>
      </c>
      <c r="F40" s="99">
        <f>G40</f>
        <v>250000</v>
      </c>
      <c r="G40" s="63">
        <v>250000</v>
      </c>
      <c r="H40" s="63"/>
      <c r="I40" s="64"/>
      <c r="J40" s="65"/>
      <c r="K40" s="206"/>
      <c r="L40" s="178" t="s">
        <v>198</v>
      </c>
      <c r="M40" s="102"/>
    </row>
    <row r="41" spans="1:17" s="103" customFormat="1" ht="33.75" customHeight="1" thickBot="1">
      <c r="A41" s="201" t="s">
        <v>253</v>
      </c>
      <c r="B41" s="96">
        <v>600</v>
      </c>
      <c r="C41" s="97">
        <v>60014</v>
      </c>
      <c r="D41" s="97">
        <v>6050</v>
      </c>
      <c r="E41" s="104" t="s">
        <v>244</v>
      </c>
      <c r="F41" s="99">
        <f>G41</f>
        <v>150000</v>
      </c>
      <c r="G41" s="72">
        <v>150000</v>
      </c>
      <c r="H41" s="72"/>
      <c r="I41" s="73"/>
      <c r="J41" s="74"/>
      <c r="K41" s="205"/>
      <c r="L41" s="178" t="s">
        <v>245</v>
      </c>
      <c r="M41" s="102"/>
    </row>
    <row r="42" spans="1:17" s="103" customFormat="1" ht="33" customHeight="1" thickBot="1">
      <c r="A42" s="201" t="s">
        <v>256</v>
      </c>
      <c r="B42" s="96">
        <v>600</v>
      </c>
      <c r="C42" s="97">
        <v>60014</v>
      </c>
      <c r="D42" s="97">
        <v>6050</v>
      </c>
      <c r="E42" s="105" t="s">
        <v>247</v>
      </c>
      <c r="F42" s="99">
        <f>G42</f>
        <v>100000</v>
      </c>
      <c r="G42" s="72">
        <v>100000</v>
      </c>
      <c r="H42" s="72"/>
      <c r="I42" s="73"/>
      <c r="J42" s="74"/>
      <c r="K42" s="205"/>
      <c r="L42" s="178" t="s">
        <v>198</v>
      </c>
      <c r="M42" s="102"/>
    </row>
    <row r="43" spans="1:17" s="67" customFormat="1" ht="30.75" customHeight="1" thickBot="1">
      <c r="A43" s="201" t="s">
        <v>259</v>
      </c>
      <c r="B43" s="96">
        <v>600</v>
      </c>
      <c r="C43" s="97">
        <v>60014</v>
      </c>
      <c r="D43" s="97">
        <v>6050</v>
      </c>
      <c r="E43" s="105" t="s">
        <v>249</v>
      </c>
      <c r="F43" s="99">
        <v>150000</v>
      </c>
      <c r="G43" s="72">
        <v>0</v>
      </c>
      <c r="H43" s="72"/>
      <c r="I43" s="73"/>
      <c r="J43" s="74" t="s">
        <v>425</v>
      </c>
      <c r="K43" s="203"/>
      <c r="L43" s="183"/>
      <c r="M43" s="66"/>
    </row>
    <row r="44" spans="1:17" s="174" customFormat="1" ht="85.5" customHeight="1" thickBot="1">
      <c r="A44" s="201" t="s">
        <v>261</v>
      </c>
      <c r="B44" s="96">
        <v>600</v>
      </c>
      <c r="C44" s="97">
        <v>60014</v>
      </c>
      <c r="D44" s="97">
        <v>6050</v>
      </c>
      <c r="E44" s="70" t="s">
        <v>393</v>
      </c>
      <c r="F44" s="99">
        <f>G44</f>
        <v>0</v>
      </c>
      <c r="G44" s="72">
        <f>140000-140000</f>
        <v>0</v>
      </c>
      <c r="H44" s="72"/>
      <c r="I44" s="73"/>
      <c r="J44" s="74"/>
      <c r="K44" s="205"/>
      <c r="L44" s="186"/>
      <c r="M44" s="173"/>
    </row>
    <row r="45" spans="1:17" s="67" customFormat="1" ht="78" customHeight="1" thickBot="1">
      <c r="A45" s="201" t="s">
        <v>263</v>
      </c>
      <c r="B45" s="96">
        <v>600</v>
      </c>
      <c r="C45" s="97">
        <v>60014</v>
      </c>
      <c r="D45" s="97">
        <v>6050</v>
      </c>
      <c r="E45" s="70" t="s">
        <v>448</v>
      </c>
      <c r="F45" s="99">
        <f>G45</f>
        <v>83300</v>
      </c>
      <c r="G45" s="72">
        <f>120000-500-36200</f>
        <v>83300</v>
      </c>
      <c r="H45" s="72"/>
      <c r="I45" s="73"/>
      <c r="J45" s="74"/>
      <c r="K45" s="230"/>
      <c r="L45" s="182"/>
      <c r="M45" s="66"/>
    </row>
    <row r="46" spans="1:17" s="67" customFormat="1" ht="48.75" customHeight="1" thickBot="1">
      <c r="A46" s="201" t="s">
        <v>264</v>
      </c>
      <c r="B46" s="96">
        <v>600</v>
      </c>
      <c r="C46" s="97">
        <v>60014</v>
      </c>
      <c r="D46" s="97">
        <v>6050</v>
      </c>
      <c r="E46" s="70" t="s">
        <v>410</v>
      </c>
      <c r="F46" s="99">
        <f>G46+910</f>
        <v>36560</v>
      </c>
      <c r="G46" s="72">
        <f>20000+15650</f>
        <v>35650</v>
      </c>
      <c r="H46" s="72"/>
      <c r="I46" s="73"/>
      <c r="J46" s="74" t="s">
        <v>409</v>
      </c>
      <c r="K46" s="230"/>
      <c r="L46" s="178" t="s">
        <v>198</v>
      </c>
      <c r="M46" s="66"/>
    </row>
    <row r="47" spans="1:17" s="67" customFormat="1" ht="37.5" customHeight="1" thickBot="1">
      <c r="A47" s="201" t="s">
        <v>265</v>
      </c>
      <c r="B47" s="96">
        <v>600</v>
      </c>
      <c r="C47" s="97">
        <v>60014</v>
      </c>
      <c r="D47" s="97">
        <v>6050</v>
      </c>
      <c r="E47" s="70" t="s">
        <v>252</v>
      </c>
      <c r="F47" s="99">
        <f>SUM(G47:I47)</f>
        <v>176732</v>
      </c>
      <c r="G47" s="72">
        <v>0</v>
      </c>
      <c r="H47" s="72">
        <f>200000-5221-18047</f>
        <v>176732</v>
      </c>
      <c r="I47" s="73"/>
      <c r="J47" s="74"/>
      <c r="K47" s="203"/>
      <c r="L47" s="183"/>
      <c r="M47" s="66"/>
    </row>
    <row r="48" spans="1:17" s="67" customFormat="1" ht="42" customHeight="1" thickBot="1">
      <c r="A48" s="201" t="s">
        <v>267</v>
      </c>
      <c r="B48" s="96">
        <v>600</v>
      </c>
      <c r="C48" s="97">
        <v>60014</v>
      </c>
      <c r="D48" s="97">
        <v>6050</v>
      </c>
      <c r="E48" s="70" t="s">
        <v>254</v>
      </c>
      <c r="F48" s="99">
        <f>SUM(G48:I48)</f>
        <v>40221</v>
      </c>
      <c r="G48" s="72">
        <v>0</v>
      </c>
      <c r="H48" s="72">
        <f>35000+5221</f>
        <v>40221</v>
      </c>
      <c r="I48" s="73"/>
      <c r="J48" s="74"/>
      <c r="K48" s="205"/>
      <c r="L48" s="182"/>
      <c r="M48" s="66"/>
    </row>
    <row r="49" spans="1:13" s="67" customFormat="1" ht="46.5" customHeight="1" thickBot="1">
      <c r="A49" s="201" t="s">
        <v>270</v>
      </c>
      <c r="B49" s="96">
        <v>600</v>
      </c>
      <c r="C49" s="97">
        <v>60014</v>
      </c>
      <c r="D49" s="97">
        <v>6050</v>
      </c>
      <c r="E49" s="70" t="s">
        <v>443</v>
      </c>
      <c r="F49" s="99">
        <f>G49+500</f>
        <v>1000</v>
      </c>
      <c r="G49" s="72">
        <v>500</v>
      </c>
      <c r="H49" s="72"/>
      <c r="I49" s="73"/>
      <c r="J49" s="74" t="s">
        <v>444</v>
      </c>
      <c r="K49" s="205"/>
      <c r="L49" s="182"/>
      <c r="M49" s="66"/>
    </row>
    <row r="50" spans="1:13" s="107" customFormat="1" ht="27.95" customHeight="1" thickBot="1">
      <c r="A50" s="318" t="s">
        <v>255</v>
      </c>
      <c r="B50" s="319"/>
      <c r="C50" s="319"/>
      <c r="D50" s="319"/>
      <c r="E50" s="319"/>
      <c r="F50" s="55">
        <f>SUM(G50:J50)</f>
        <v>1401986</v>
      </c>
      <c r="G50" s="55">
        <f>SUM(G51:G60)</f>
        <v>957598</v>
      </c>
      <c r="H50" s="55">
        <f>SUM(H51:H60)</f>
        <v>183478</v>
      </c>
      <c r="I50" s="55">
        <f>SUM(I51:I60)</f>
        <v>0</v>
      </c>
      <c r="J50" s="93">
        <f>140000+100000+910+20000</f>
        <v>260910</v>
      </c>
      <c r="K50" s="207"/>
      <c r="L50" s="182"/>
      <c r="M50" s="106"/>
    </row>
    <row r="51" spans="1:13" s="90" customFormat="1" ht="37.5" customHeight="1" thickBot="1">
      <c r="A51" s="201" t="s">
        <v>272</v>
      </c>
      <c r="B51" s="68">
        <v>600</v>
      </c>
      <c r="C51" s="68">
        <v>60014</v>
      </c>
      <c r="D51" s="68">
        <v>6050</v>
      </c>
      <c r="E51" s="80" t="s">
        <v>257</v>
      </c>
      <c r="F51" s="81">
        <f>G51+140000+100000</f>
        <v>300000</v>
      </c>
      <c r="G51" s="72">
        <v>60000</v>
      </c>
      <c r="H51" s="72"/>
      <c r="I51" s="73"/>
      <c r="J51" s="74" t="s">
        <v>258</v>
      </c>
      <c r="K51" s="205"/>
      <c r="L51" s="178" t="s">
        <v>198</v>
      </c>
      <c r="M51" s="89"/>
    </row>
    <row r="52" spans="1:13" s="85" customFormat="1" ht="30" customHeight="1" thickBot="1">
      <c r="A52" s="201" t="s">
        <v>275</v>
      </c>
      <c r="B52" s="68">
        <v>600</v>
      </c>
      <c r="C52" s="68">
        <v>60014</v>
      </c>
      <c r="D52" s="68">
        <v>6050</v>
      </c>
      <c r="E52" s="80" t="s">
        <v>260</v>
      </c>
      <c r="F52" s="81">
        <f t="shared" ref="F52:F57" si="1">G52</f>
        <v>300000</v>
      </c>
      <c r="G52" s="72">
        <v>300000</v>
      </c>
      <c r="H52" s="72"/>
      <c r="I52" s="73"/>
      <c r="J52" s="74"/>
      <c r="K52" s="205"/>
      <c r="L52" s="178" t="s">
        <v>198</v>
      </c>
      <c r="M52" s="84"/>
    </row>
    <row r="53" spans="1:13" s="90" customFormat="1" ht="30" customHeight="1" thickBot="1">
      <c r="A53" s="201" t="s">
        <v>277</v>
      </c>
      <c r="B53" s="68">
        <v>600</v>
      </c>
      <c r="C53" s="68">
        <v>60014</v>
      </c>
      <c r="D53" s="68">
        <v>6050</v>
      </c>
      <c r="E53" s="80" t="s">
        <v>262</v>
      </c>
      <c r="F53" s="81">
        <f t="shared" si="1"/>
        <v>300000</v>
      </c>
      <c r="G53" s="72">
        <v>300000</v>
      </c>
      <c r="H53" s="72"/>
      <c r="I53" s="73"/>
      <c r="J53" s="74"/>
      <c r="K53" s="205"/>
      <c r="L53" s="178" t="s">
        <v>198</v>
      </c>
      <c r="M53" s="89"/>
    </row>
    <row r="54" spans="1:13" s="90" customFormat="1" ht="36.75" customHeight="1" thickBot="1">
      <c r="A54" s="201" t="s">
        <v>280</v>
      </c>
      <c r="B54" s="68">
        <v>600</v>
      </c>
      <c r="C54" s="68">
        <v>60014</v>
      </c>
      <c r="D54" s="68">
        <v>6050</v>
      </c>
      <c r="E54" s="233" t="s">
        <v>462</v>
      </c>
      <c r="F54" s="81">
        <f t="shared" si="1"/>
        <v>65000</v>
      </c>
      <c r="G54" s="72">
        <f>50000+15000</f>
        <v>65000</v>
      </c>
      <c r="H54" s="72"/>
      <c r="I54" s="73"/>
      <c r="J54" s="74"/>
      <c r="K54" s="205"/>
      <c r="L54" s="182"/>
      <c r="M54" s="89"/>
    </row>
    <row r="55" spans="1:13" s="90" customFormat="1" ht="36.75" customHeight="1" thickBot="1">
      <c r="A55" s="201" t="s">
        <v>282</v>
      </c>
      <c r="B55" s="68">
        <v>600</v>
      </c>
      <c r="C55" s="68">
        <v>60014</v>
      </c>
      <c r="D55" s="68">
        <v>6050</v>
      </c>
      <c r="E55" s="233" t="s">
        <v>463</v>
      </c>
      <c r="F55" s="81">
        <f t="shared" si="1"/>
        <v>65000</v>
      </c>
      <c r="G55" s="72">
        <f>50000+15000</f>
        <v>65000</v>
      </c>
      <c r="H55" s="72"/>
      <c r="I55" s="73"/>
      <c r="J55" s="74"/>
      <c r="K55" s="205"/>
      <c r="L55" s="183"/>
      <c r="M55" s="89"/>
    </row>
    <row r="56" spans="1:13" s="90" customFormat="1" ht="65.25" customHeight="1" thickBot="1">
      <c r="A56" s="201" t="s">
        <v>284</v>
      </c>
      <c r="B56" s="68">
        <v>600</v>
      </c>
      <c r="C56" s="68">
        <v>60014</v>
      </c>
      <c r="D56" s="68">
        <v>6050</v>
      </c>
      <c r="E56" s="108" t="s">
        <v>266</v>
      </c>
      <c r="F56" s="81">
        <f t="shared" si="1"/>
        <v>0</v>
      </c>
      <c r="G56" s="72">
        <f>70000-15000-55000</f>
        <v>0</v>
      </c>
      <c r="H56" s="72"/>
      <c r="I56" s="73"/>
      <c r="J56" s="74"/>
      <c r="K56" s="205"/>
      <c r="L56" s="182"/>
      <c r="M56" s="89"/>
    </row>
    <row r="57" spans="1:13" s="131" customFormat="1" ht="51.75" customHeight="1" thickBot="1">
      <c r="A57" s="268" t="s">
        <v>287</v>
      </c>
      <c r="B57" s="290">
        <v>600</v>
      </c>
      <c r="C57" s="290">
        <v>60014</v>
      </c>
      <c r="D57" s="290">
        <v>6050</v>
      </c>
      <c r="E57" s="291" t="s">
        <v>389</v>
      </c>
      <c r="F57" s="248">
        <f t="shared" si="1"/>
        <v>34090</v>
      </c>
      <c r="G57" s="292">
        <f>35000-910</f>
        <v>34090</v>
      </c>
      <c r="H57" s="292"/>
      <c r="I57" s="249"/>
      <c r="J57" s="250"/>
      <c r="K57" s="295"/>
      <c r="L57" s="296"/>
      <c r="M57" s="130"/>
    </row>
    <row r="58" spans="1:13" s="131" customFormat="1" ht="54.75" customHeight="1" thickBot="1">
      <c r="A58" s="268" t="s">
        <v>290</v>
      </c>
      <c r="B58" s="290">
        <v>600</v>
      </c>
      <c r="C58" s="290">
        <v>60014</v>
      </c>
      <c r="D58" s="290">
        <v>6050</v>
      </c>
      <c r="E58" s="291" t="s">
        <v>411</v>
      </c>
      <c r="F58" s="248">
        <f>G58+910</f>
        <v>21820</v>
      </c>
      <c r="G58" s="292">
        <f>20000+910</f>
        <v>20910</v>
      </c>
      <c r="H58" s="292"/>
      <c r="I58" s="249"/>
      <c r="J58" s="250" t="s">
        <v>409</v>
      </c>
      <c r="K58" s="295"/>
      <c r="L58" s="178" t="s">
        <v>198</v>
      </c>
      <c r="M58" s="130"/>
    </row>
    <row r="59" spans="1:13" s="90" customFormat="1" ht="36.75" customHeight="1" thickBot="1">
      <c r="A59" s="201" t="s">
        <v>293</v>
      </c>
      <c r="B59" s="68">
        <v>600</v>
      </c>
      <c r="C59" s="68">
        <v>60014</v>
      </c>
      <c r="D59" s="68">
        <v>6050</v>
      </c>
      <c r="E59" s="108" t="s">
        <v>268</v>
      </c>
      <c r="F59" s="81">
        <f>SUM(G59:I59)</f>
        <v>183478</v>
      </c>
      <c r="G59" s="72">
        <v>0</v>
      </c>
      <c r="H59" s="72">
        <f>200000-16522</f>
        <v>183478</v>
      </c>
      <c r="I59" s="73"/>
      <c r="J59" s="74"/>
      <c r="K59" s="203"/>
      <c r="L59" s="183"/>
      <c r="M59" s="89"/>
    </row>
    <row r="60" spans="1:13" s="90" customFormat="1" ht="36.75" customHeight="1" thickBot="1">
      <c r="A60" s="201" t="s">
        <v>295</v>
      </c>
      <c r="B60" s="68">
        <v>600</v>
      </c>
      <c r="C60" s="68">
        <v>60014</v>
      </c>
      <c r="D60" s="68">
        <v>6050</v>
      </c>
      <c r="E60" s="108" t="s">
        <v>426</v>
      </c>
      <c r="F60" s="81">
        <f>G60+20000</f>
        <v>132598</v>
      </c>
      <c r="G60" s="72">
        <f>12598+100000</f>
        <v>112598</v>
      </c>
      <c r="H60" s="72"/>
      <c r="I60" s="73"/>
      <c r="J60" s="74" t="s">
        <v>423</v>
      </c>
      <c r="K60" s="203"/>
      <c r="L60" s="183"/>
      <c r="M60" s="89"/>
    </row>
    <row r="61" spans="1:13" s="85" customFormat="1" ht="27.95" customHeight="1" thickBot="1">
      <c r="A61" s="318" t="s">
        <v>269</v>
      </c>
      <c r="B61" s="319"/>
      <c r="C61" s="319"/>
      <c r="D61" s="319"/>
      <c r="E61" s="319"/>
      <c r="F61" s="93">
        <f>SUM(G61:J61)</f>
        <v>736287</v>
      </c>
      <c r="G61" s="93">
        <f>SUM(G62:G65)</f>
        <v>150000</v>
      </c>
      <c r="H61" s="86">
        <f>SUM(H62:H65)</f>
        <v>200000</v>
      </c>
      <c r="I61" s="109">
        <f>SUM(I62:I65)</f>
        <v>0</v>
      </c>
      <c r="J61" s="93">
        <f>560000+50000-73713-150000</f>
        <v>386287</v>
      </c>
      <c r="K61" s="207"/>
      <c r="L61" s="182"/>
      <c r="M61" s="84"/>
    </row>
    <row r="62" spans="1:13" s="67" customFormat="1" ht="34.5" customHeight="1" thickBot="1">
      <c r="A62" s="201" t="s">
        <v>298</v>
      </c>
      <c r="B62" s="68">
        <v>600</v>
      </c>
      <c r="C62" s="68">
        <v>60014</v>
      </c>
      <c r="D62" s="68">
        <v>6050</v>
      </c>
      <c r="E62" s="80" t="s">
        <v>271</v>
      </c>
      <c r="F62" s="81">
        <f>250000+50000</f>
        <v>300000</v>
      </c>
      <c r="G62" s="72">
        <v>150000</v>
      </c>
      <c r="H62" s="72"/>
      <c r="I62" s="73"/>
      <c r="J62" s="74" t="s">
        <v>424</v>
      </c>
      <c r="K62" s="203"/>
      <c r="L62" s="184" t="s">
        <v>198</v>
      </c>
      <c r="M62" s="66"/>
    </row>
    <row r="63" spans="1:13" s="90" customFormat="1" ht="38.25" customHeight="1" thickBot="1">
      <c r="A63" s="201" t="s">
        <v>299</v>
      </c>
      <c r="B63" s="68">
        <v>600</v>
      </c>
      <c r="C63" s="68">
        <v>60014</v>
      </c>
      <c r="D63" s="68">
        <v>6050</v>
      </c>
      <c r="E63" s="229" t="s">
        <v>273</v>
      </c>
      <c r="F63" s="81">
        <v>50000</v>
      </c>
      <c r="G63" s="72">
        <v>0</v>
      </c>
      <c r="H63" s="72"/>
      <c r="I63" s="73"/>
      <c r="J63" s="74" t="s">
        <v>274</v>
      </c>
      <c r="K63" s="205"/>
      <c r="L63" s="183"/>
      <c r="M63" s="89"/>
    </row>
    <row r="64" spans="1:13" s="90" customFormat="1" ht="34.5" customHeight="1" thickBot="1">
      <c r="A64" s="201" t="s">
        <v>301</v>
      </c>
      <c r="B64" s="68">
        <v>600</v>
      </c>
      <c r="C64" s="68">
        <v>60014</v>
      </c>
      <c r="D64" s="68">
        <v>6050</v>
      </c>
      <c r="E64" s="80" t="s">
        <v>276</v>
      </c>
      <c r="F64" s="81">
        <v>186287</v>
      </c>
      <c r="G64" s="72">
        <v>0</v>
      </c>
      <c r="H64" s="72"/>
      <c r="I64" s="73"/>
      <c r="J64" s="74" t="s">
        <v>419</v>
      </c>
      <c r="K64" s="203"/>
      <c r="L64" s="184" t="s">
        <v>198</v>
      </c>
      <c r="M64" s="89"/>
    </row>
    <row r="65" spans="1:13" s="111" customFormat="1" ht="34.5" customHeight="1" thickBot="1">
      <c r="A65" s="201" t="s">
        <v>303</v>
      </c>
      <c r="B65" s="68">
        <v>600</v>
      </c>
      <c r="C65" s="68">
        <v>60014</v>
      </c>
      <c r="D65" s="68">
        <v>6050</v>
      </c>
      <c r="E65" s="257" t="s">
        <v>278</v>
      </c>
      <c r="F65" s="81">
        <f>SUM(G65:I65)</f>
        <v>200000</v>
      </c>
      <c r="G65" s="72">
        <v>0</v>
      </c>
      <c r="H65" s="72">
        <v>200000</v>
      </c>
      <c r="I65" s="73"/>
      <c r="J65" s="74"/>
      <c r="K65" s="205"/>
      <c r="L65" s="188" t="s">
        <v>198</v>
      </c>
      <c r="M65" s="110"/>
    </row>
    <row r="66" spans="1:13" s="85" customFormat="1" ht="27.95" customHeight="1" thickBot="1">
      <c r="A66" s="318" t="s">
        <v>279</v>
      </c>
      <c r="B66" s="319"/>
      <c r="C66" s="319"/>
      <c r="D66" s="319"/>
      <c r="E66" s="319"/>
      <c r="F66" s="55">
        <f>SUM(G66:J66)</f>
        <v>962787</v>
      </c>
      <c r="G66" s="55">
        <f>SUM(G67:G72)</f>
        <v>362787</v>
      </c>
      <c r="H66" s="55">
        <f>SUM(H67:H72)</f>
        <v>200000</v>
      </c>
      <c r="I66" s="55">
        <f>SUM(I67:I72)</f>
        <v>0</v>
      </c>
      <c r="J66" s="93">
        <f>400000+910-910</f>
        <v>400000</v>
      </c>
      <c r="K66" s="208"/>
      <c r="L66" s="189"/>
      <c r="M66" s="84"/>
    </row>
    <row r="67" spans="1:13" s="67" customFormat="1" ht="39" customHeight="1" thickBot="1">
      <c r="A67" s="201" t="s">
        <v>304</v>
      </c>
      <c r="B67" s="68">
        <v>600</v>
      </c>
      <c r="C67" s="68">
        <v>60014</v>
      </c>
      <c r="D67" s="68">
        <v>6050</v>
      </c>
      <c r="E67" s="108" t="s">
        <v>281</v>
      </c>
      <c r="F67" s="81">
        <f>G67</f>
        <v>92787</v>
      </c>
      <c r="G67" s="72">
        <f>200000-15000-59302-20313-12598</f>
        <v>92787</v>
      </c>
      <c r="H67" s="72"/>
      <c r="I67" s="73"/>
      <c r="J67" s="74"/>
      <c r="K67" s="203"/>
      <c r="L67" s="183"/>
      <c r="M67" s="66"/>
    </row>
    <row r="68" spans="1:13" s="90" customFormat="1" ht="77.25" customHeight="1" thickBot="1">
      <c r="A68" s="201" t="s">
        <v>305</v>
      </c>
      <c r="B68" s="68">
        <v>600</v>
      </c>
      <c r="C68" s="68">
        <v>60014</v>
      </c>
      <c r="D68" s="68">
        <v>6050</v>
      </c>
      <c r="E68" s="108" t="s">
        <v>283</v>
      </c>
      <c r="F68" s="81">
        <f>G68</f>
        <v>0</v>
      </c>
      <c r="G68" s="72">
        <f>70000-70000</f>
        <v>0</v>
      </c>
      <c r="H68" s="72"/>
      <c r="I68" s="73"/>
      <c r="J68" s="74"/>
      <c r="K68" s="230"/>
      <c r="L68" s="182"/>
      <c r="M68" s="89"/>
    </row>
    <row r="69" spans="1:13" s="90" customFormat="1" ht="61.5" customHeight="1" thickBot="1">
      <c r="A69" s="268" t="s">
        <v>308</v>
      </c>
      <c r="B69" s="290">
        <v>600</v>
      </c>
      <c r="C69" s="290">
        <v>60014</v>
      </c>
      <c r="D69" s="290">
        <v>6050</v>
      </c>
      <c r="E69" s="294" t="s">
        <v>390</v>
      </c>
      <c r="F69" s="248">
        <f>G69</f>
        <v>49090</v>
      </c>
      <c r="G69" s="292">
        <f>50000-910</f>
        <v>49090</v>
      </c>
      <c r="H69" s="292"/>
      <c r="I69" s="249"/>
      <c r="J69" s="250"/>
      <c r="K69" s="295"/>
      <c r="L69" s="182"/>
      <c r="M69" s="89"/>
    </row>
    <row r="70" spans="1:13" s="131" customFormat="1" ht="48" customHeight="1" thickBot="1">
      <c r="A70" s="268" t="s">
        <v>311</v>
      </c>
      <c r="B70" s="290">
        <v>600</v>
      </c>
      <c r="C70" s="290">
        <v>60014</v>
      </c>
      <c r="D70" s="290">
        <v>6050</v>
      </c>
      <c r="E70" s="291" t="s">
        <v>412</v>
      </c>
      <c r="F70" s="248">
        <f>G70</f>
        <v>20910</v>
      </c>
      <c r="G70" s="292">
        <f>20000+910</f>
        <v>20910</v>
      </c>
      <c r="H70" s="292"/>
      <c r="I70" s="249"/>
      <c r="J70" s="250" t="s">
        <v>449</v>
      </c>
      <c r="K70" s="293"/>
      <c r="L70" s="188" t="s">
        <v>198</v>
      </c>
      <c r="M70" s="130"/>
    </row>
    <row r="71" spans="1:13" s="90" customFormat="1" ht="36.75" customHeight="1" thickBot="1">
      <c r="A71" s="201" t="s">
        <v>313</v>
      </c>
      <c r="B71" s="68">
        <v>600</v>
      </c>
      <c r="C71" s="68">
        <v>60014</v>
      </c>
      <c r="D71" s="68">
        <v>6050</v>
      </c>
      <c r="E71" s="80" t="s">
        <v>285</v>
      </c>
      <c r="F71" s="81">
        <f>G71+200000</f>
        <v>400000</v>
      </c>
      <c r="G71" s="72">
        <v>200000</v>
      </c>
      <c r="H71" s="72"/>
      <c r="I71" s="73"/>
      <c r="J71" s="74" t="s">
        <v>286</v>
      </c>
      <c r="K71" s="205"/>
      <c r="L71" s="178" t="s">
        <v>198</v>
      </c>
      <c r="M71" s="89"/>
    </row>
    <row r="72" spans="1:13" s="90" customFormat="1" ht="36.75" customHeight="1" thickBot="1">
      <c r="A72" s="201" t="s">
        <v>316</v>
      </c>
      <c r="B72" s="68">
        <v>600</v>
      </c>
      <c r="C72" s="68">
        <v>60014</v>
      </c>
      <c r="D72" s="68">
        <v>6050</v>
      </c>
      <c r="E72" s="257" t="s">
        <v>288</v>
      </c>
      <c r="F72" s="81">
        <f>SUM(G72:I72)+200000</f>
        <v>400000</v>
      </c>
      <c r="G72" s="72">
        <v>0</v>
      </c>
      <c r="H72" s="72">
        <v>200000</v>
      </c>
      <c r="I72" s="73"/>
      <c r="J72" s="74" t="s">
        <v>286</v>
      </c>
      <c r="K72" s="205"/>
      <c r="L72" s="178" t="s">
        <v>198</v>
      </c>
      <c r="M72" s="89"/>
    </row>
    <row r="73" spans="1:13" s="90" customFormat="1" ht="27.95" customHeight="1" thickBot="1">
      <c r="A73" s="318" t="s">
        <v>289</v>
      </c>
      <c r="B73" s="319"/>
      <c r="C73" s="319"/>
      <c r="D73" s="319"/>
      <c r="E73" s="319"/>
      <c r="F73" s="55">
        <f>SUM(G73:J73)</f>
        <v>1631780</v>
      </c>
      <c r="G73" s="55">
        <f>SUM(G74:G81)</f>
        <v>1142895</v>
      </c>
      <c r="H73" s="55">
        <f>SUM(H74:H81)</f>
        <v>312122</v>
      </c>
      <c r="I73" s="55">
        <f>SUM(I74:I81)</f>
        <v>0</v>
      </c>
      <c r="J73" s="93">
        <f>103050+73713</f>
        <v>176763</v>
      </c>
      <c r="K73" s="204"/>
      <c r="L73" s="187"/>
      <c r="M73" s="89"/>
    </row>
    <row r="74" spans="1:13" s="90" customFormat="1" ht="51" customHeight="1" thickBot="1">
      <c r="A74" s="201" t="s">
        <v>319</v>
      </c>
      <c r="B74" s="69">
        <v>600</v>
      </c>
      <c r="C74" s="69">
        <v>60014</v>
      </c>
      <c r="D74" s="69">
        <v>6050</v>
      </c>
      <c r="E74" s="80" t="s">
        <v>291</v>
      </c>
      <c r="F74" s="81">
        <f>G74+103050</f>
        <v>508400</v>
      </c>
      <c r="G74" s="72">
        <f>255350+150000</f>
        <v>405350</v>
      </c>
      <c r="H74" s="112"/>
      <c r="I74" s="82"/>
      <c r="J74" s="74" t="s">
        <v>292</v>
      </c>
      <c r="K74" s="205"/>
      <c r="L74" s="178" t="s">
        <v>198</v>
      </c>
      <c r="M74" s="89"/>
    </row>
    <row r="75" spans="1:13" s="90" customFormat="1" ht="40.5" customHeight="1" thickBot="1">
      <c r="A75" s="201" t="s">
        <v>322</v>
      </c>
      <c r="B75" s="69">
        <v>600</v>
      </c>
      <c r="C75" s="69">
        <v>60014</v>
      </c>
      <c r="D75" s="69">
        <v>6050</v>
      </c>
      <c r="E75" s="113" t="s">
        <v>294</v>
      </c>
      <c r="F75" s="81">
        <f>SUM(G75:I75)</f>
        <v>255200</v>
      </c>
      <c r="G75" s="72">
        <f>100000+55200</f>
        <v>155200</v>
      </c>
      <c r="H75" s="72">
        <v>100000</v>
      </c>
      <c r="I75" s="82"/>
      <c r="J75" s="74"/>
      <c r="K75" s="205"/>
      <c r="L75" s="184" t="s">
        <v>198</v>
      </c>
      <c r="M75" s="89"/>
    </row>
    <row r="76" spans="1:13" s="90" customFormat="1" ht="36.75" customHeight="1" thickBot="1">
      <c r="A76" s="201" t="s">
        <v>325</v>
      </c>
      <c r="B76" s="69">
        <v>600</v>
      </c>
      <c r="C76" s="69">
        <v>60014</v>
      </c>
      <c r="D76" s="69">
        <v>6050</v>
      </c>
      <c r="E76" s="113" t="s">
        <v>296</v>
      </c>
      <c r="F76" s="81">
        <f>SUM(G76:I76)</f>
        <v>150000</v>
      </c>
      <c r="G76" s="72">
        <v>100000</v>
      </c>
      <c r="H76" s="72">
        <v>50000</v>
      </c>
      <c r="I76" s="82"/>
      <c r="J76" s="74"/>
      <c r="K76" s="203" t="s">
        <v>297</v>
      </c>
      <c r="L76" s="184" t="s">
        <v>198</v>
      </c>
      <c r="M76" s="89"/>
    </row>
    <row r="77" spans="1:13" s="90" customFormat="1" ht="94.5" customHeight="1" thickBot="1">
      <c r="A77" s="201" t="s">
        <v>327</v>
      </c>
      <c r="B77" s="69">
        <v>600</v>
      </c>
      <c r="C77" s="69">
        <v>60014</v>
      </c>
      <c r="D77" s="69">
        <v>6050</v>
      </c>
      <c r="E77" s="114" t="s">
        <v>417</v>
      </c>
      <c r="F77" s="81">
        <f>G77</f>
        <v>49800</v>
      </c>
      <c r="G77" s="72">
        <f>105000-55200</f>
        <v>49800</v>
      </c>
      <c r="H77" s="112"/>
      <c r="I77" s="82"/>
      <c r="J77" s="74"/>
      <c r="K77" s="205"/>
      <c r="L77" s="183"/>
      <c r="M77" s="89"/>
    </row>
    <row r="78" spans="1:13" s="90" customFormat="1" ht="47.25" customHeight="1" thickBot="1">
      <c r="A78" s="201" t="s">
        <v>328</v>
      </c>
      <c r="B78" s="69">
        <v>600</v>
      </c>
      <c r="C78" s="69">
        <v>60014</v>
      </c>
      <c r="D78" s="69">
        <v>6050</v>
      </c>
      <c r="E78" s="114" t="s">
        <v>300</v>
      </c>
      <c r="F78" s="81">
        <f>G78+H78+73713</f>
        <v>190548</v>
      </c>
      <c r="G78" s="72">
        <f>1400+20313</f>
        <v>21713</v>
      </c>
      <c r="H78" s="72">
        <f>78600+16522</f>
        <v>95122</v>
      </c>
      <c r="I78" s="73"/>
      <c r="J78" s="74" t="s">
        <v>420</v>
      </c>
      <c r="K78" s="258"/>
      <c r="L78" s="183"/>
      <c r="M78" s="89"/>
    </row>
    <row r="79" spans="1:13" s="90" customFormat="1" ht="39.75" customHeight="1" thickBot="1">
      <c r="A79" s="201" t="s">
        <v>330</v>
      </c>
      <c r="B79" s="69">
        <v>600</v>
      </c>
      <c r="C79" s="69">
        <v>60014</v>
      </c>
      <c r="D79" s="69">
        <v>6050</v>
      </c>
      <c r="E79" s="115" t="s">
        <v>302</v>
      </c>
      <c r="F79" s="81">
        <f>SUM(G79:I79)</f>
        <v>300122</v>
      </c>
      <c r="G79" s="72">
        <f>394122-150000-11000</f>
        <v>233122</v>
      </c>
      <c r="H79" s="72">
        <v>67000</v>
      </c>
      <c r="I79" s="82"/>
      <c r="J79" s="74"/>
      <c r="K79" s="205"/>
      <c r="L79" s="178" t="s">
        <v>198</v>
      </c>
      <c r="M79" s="89"/>
    </row>
    <row r="80" spans="1:13" s="90" customFormat="1" ht="52.5" customHeight="1" thickBot="1">
      <c r="A80" s="201" t="s">
        <v>333</v>
      </c>
      <c r="B80" s="76">
        <v>600</v>
      </c>
      <c r="C80" s="76">
        <v>60014</v>
      </c>
      <c r="D80" s="76">
        <v>6050</v>
      </c>
      <c r="E80" s="116" t="s">
        <v>460</v>
      </c>
      <c r="F80" s="92">
        <f>SUM(G80:I80)</f>
        <v>84550</v>
      </c>
      <c r="G80" s="63">
        <v>84550</v>
      </c>
      <c r="H80" s="63"/>
      <c r="I80" s="117"/>
      <c r="J80" s="65"/>
      <c r="K80" s="206"/>
      <c r="L80" s="184" t="s">
        <v>198</v>
      </c>
      <c r="M80" s="89"/>
    </row>
    <row r="81" spans="1:15" s="90" customFormat="1" ht="54" customHeight="1" thickBot="1">
      <c r="A81" s="201" t="s">
        <v>336</v>
      </c>
      <c r="B81" s="76">
        <v>600</v>
      </c>
      <c r="C81" s="76">
        <v>60014</v>
      </c>
      <c r="D81" s="76">
        <v>6050</v>
      </c>
      <c r="E81" s="116" t="s">
        <v>461</v>
      </c>
      <c r="F81" s="92">
        <f>SUM(G81:I81)</f>
        <v>93160</v>
      </c>
      <c r="G81" s="63">
        <v>93160</v>
      </c>
      <c r="H81" s="63"/>
      <c r="I81" s="117"/>
      <c r="J81" s="65"/>
      <c r="K81" s="206"/>
      <c r="L81" s="184" t="s">
        <v>198</v>
      </c>
      <c r="M81" s="89"/>
    </row>
    <row r="82" spans="1:15" s="103" customFormat="1" ht="27.95" customHeight="1" thickBot="1">
      <c r="A82" s="323"/>
      <c r="B82" s="324"/>
      <c r="C82" s="324"/>
      <c r="D82" s="324"/>
      <c r="E82" s="325"/>
      <c r="F82" s="55">
        <f>SUM(G82:J82)</f>
        <v>711600</v>
      </c>
      <c r="G82" s="55">
        <f>SUM(G83:G83)</f>
        <v>250000</v>
      </c>
      <c r="H82" s="55">
        <f>SUM(H83:H83)</f>
        <v>300000</v>
      </c>
      <c r="I82" s="55">
        <f>SUM(I83:I83)</f>
        <v>0</v>
      </c>
      <c r="J82" s="55">
        <f>136600+25000</f>
        <v>161600</v>
      </c>
      <c r="K82" s="204"/>
      <c r="L82" s="186"/>
      <c r="M82" s="102"/>
    </row>
    <row r="83" spans="1:15" s="90" customFormat="1" ht="30" customHeight="1" thickBot="1">
      <c r="A83" s="201" t="s">
        <v>339</v>
      </c>
      <c r="B83" s="69">
        <v>600</v>
      </c>
      <c r="C83" s="69">
        <v>60014</v>
      </c>
      <c r="D83" s="69">
        <v>6060</v>
      </c>
      <c r="E83" s="80" t="s">
        <v>306</v>
      </c>
      <c r="F83" s="81">
        <f>SUM(G83:H83)+136600+25000</f>
        <v>711600</v>
      </c>
      <c r="G83" s="81">
        <f>250000</f>
        <v>250000</v>
      </c>
      <c r="H83" s="81">
        <v>300000</v>
      </c>
      <c r="I83" s="73"/>
      <c r="J83" s="74" t="s">
        <v>422</v>
      </c>
      <c r="K83" s="203"/>
      <c r="L83" s="259"/>
      <c r="M83" s="89"/>
    </row>
    <row r="84" spans="1:15" s="88" customFormat="1" ht="35.1" customHeight="1" thickBot="1">
      <c r="A84" s="326" t="s">
        <v>307</v>
      </c>
      <c r="B84" s="327"/>
      <c r="C84" s="327"/>
      <c r="D84" s="327"/>
      <c r="E84" s="327"/>
      <c r="F84" s="118">
        <f>SUM(F7,F14,F22,F37,F50,F61,F66,F73,F82)</f>
        <v>15973828</v>
      </c>
      <c r="G84" s="118">
        <f>SUM(G7,G14,G22,G37,G50,G61,G66,G73,G82)</f>
        <v>4997046</v>
      </c>
      <c r="H84" s="118">
        <f>SUM(H7,H14,H22,H37,H50,H61,H66,H73,H82)</f>
        <v>3821600</v>
      </c>
      <c r="I84" s="118">
        <f>SUM(I7,I14,I22,I37,I50,I61,I66,I73,I82)</f>
        <v>0</v>
      </c>
      <c r="J84" s="118">
        <f>SUM(J7,J14,J22,J37,J50,J61,J66,J73,J82)</f>
        <v>7155182</v>
      </c>
      <c r="K84" s="209"/>
      <c r="L84" s="190"/>
      <c r="M84" s="87"/>
      <c r="N84" s="119"/>
      <c r="O84" s="119"/>
    </row>
    <row r="85" spans="1:15" s="88" customFormat="1" ht="50.25" customHeight="1" thickBot="1">
      <c r="A85" s="120" t="s">
        <v>342</v>
      </c>
      <c r="B85" s="121">
        <v>630</v>
      </c>
      <c r="C85" s="121">
        <v>63003</v>
      </c>
      <c r="D85" s="122">
        <v>6300</v>
      </c>
      <c r="E85" s="234" t="s">
        <v>309</v>
      </c>
      <c r="F85" s="123">
        <f>G85</f>
        <v>10000</v>
      </c>
      <c r="G85" s="124">
        <v>10000</v>
      </c>
      <c r="H85" s="124"/>
      <c r="I85" s="124"/>
      <c r="J85" s="124"/>
      <c r="K85" s="210"/>
      <c r="L85" s="191"/>
      <c r="M85" s="87"/>
      <c r="N85" s="119"/>
      <c r="O85" s="119"/>
    </row>
    <row r="86" spans="1:15" s="88" customFormat="1" ht="35.1" customHeight="1" thickBot="1">
      <c r="A86" s="313" t="s">
        <v>310</v>
      </c>
      <c r="B86" s="314"/>
      <c r="C86" s="314"/>
      <c r="D86" s="314"/>
      <c r="E86" s="315"/>
      <c r="F86" s="125">
        <f>F85</f>
        <v>10000</v>
      </c>
      <c r="G86" s="126">
        <f>G85</f>
        <v>10000</v>
      </c>
      <c r="H86" s="126"/>
      <c r="I86" s="126"/>
      <c r="J86" s="126"/>
      <c r="K86" s="211"/>
      <c r="L86" s="192"/>
      <c r="M86" s="87"/>
      <c r="N86" s="119"/>
      <c r="O86" s="119"/>
    </row>
    <row r="87" spans="1:15" s="90" customFormat="1" ht="28.5" customHeight="1" thickBot="1">
      <c r="A87" s="212" t="s">
        <v>345</v>
      </c>
      <c r="B87" s="127">
        <v>710</v>
      </c>
      <c r="C87" s="127">
        <v>71012</v>
      </c>
      <c r="D87" s="127">
        <v>6060</v>
      </c>
      <c r="E87" s="128" t="s">
        <v>312</v>
      </c>
      <c r="F87" s="129">
        <f>G87</f>
        <v>50000</v>
      </c>
      <c r="G87" s="129">
        <f>45000+5000</f>
        <v>50000</v>
      </c>
      <c r="H87" s="129"/>
      <c r="I87" s="128"/>
      <c r="J87" s="128"/>
      <c r="K87" s="213"/>
      <c r="L87" s="235"/>
      <c r="M87" s="89"/>
    </row>
    <row r="88" spans="1:15" s="90" customFormat="1" ht="30" customHeight="1" thickBot="1">
      <c r="A88" s="214" t="s">
        <v>348</v>
      </c>
      <c r="B88" s="69">
        <v>710</v>
      </c>
      <c r="C88" s="69">
        <v>71012</v>
      </c>
      <c r="D88" s="69">
        <v>6060</v>
      </c>
      <c r="E88" s="73" t="s">
        <v>314</v>
      </c>
      <c r="F88" s="81">
        <f>G88</f>
        <v>61000</v>
      </c>
      <c r="G88" s="81">
        <f>110000-22000-22000-5000</f>
        <v>61000</v>
      </c>
      <c r="H88" s="81"/>
      <c r="I88" s="73"/>
      <c r="J88" s="73"/>
      <c r="K88" s="203"/>
      <c r="L88" s="183"/>
      <c r="M88" s="89"/>
    </row>
    <row r="89" spans="1:15" s="90" customFormat="1" ht="35.1" customHeight="1" thickBot="1">
      <c r="A89" s="328" t="s">
        <v>315</v>
      </c>
      <c r="B89" s="329"/>
      <c r="C89" s="329"/>
      <c r="D89" s="329"/>
      <c r="E89" s="329"/>
      <c r="F89" s="132">
        <f>SUM(F87:F88)</f>
        <v>111000</v>
      </c>
      <c r="G89" s="132">
        <f>SUM(G87:G88)</f>
        <v>111000</v>
      </c>
      <c r="H89" s="132">
        <f>H87</f>
        <v>0</v>
      </c>
      <c r="I89" s="132"/>
      <c r="J89" s="132"/>
      <c r="K89" s="215"/>
      <c r="L89" s="182"/>
      <c r="M89" s="89"/>
    </row>
    <row r="90" spans="1:15" s="90" customFormat="1" ht="45" customHeight="1" thickBot="1">
      <c r="A90" s="214" t="s">
        <v>351</v>
      </c>
      <c r="B90" s="69">
        <v>710</v>
      </c>
      <c r="C90" s="69">
        <v>71095</v>
      </c>
      <c r="D90" s="69">
        <v>6639</v>
      </c>
      <c r="E90" s="80" t="s">
        <v>317</v>
      </c>
      <c r="F90" s="81">
        <f>G90</f>
        <v>8476</v>
      </c>
      <c r="G90" s="81">
        <f>97666-8000-81190</f>
        <v>8476</v>
      </c>
      <c r="H90" s="81"/>
      <c r="I90" s="81"/>
      <c r="J90" s="81"/>
      <c r="K90" s="203"/>
      <c r="L90" s="184" t="s">
        <v>198</v>
      </c>
      <c r="M90" s="89"/>
    </row>
    <row r="91" spans="1:15" s="90" customFormat="1" ht="35.1" customHeight="1" thickBot="1">
      <c r="A91" s="330" t="s">
        <v>318</v>
      </c>
      <c r="B91" s="331"/>
      <c r="C91" s="331"/>
      <c r="D91" s="331"/>
      <c r="E91" s="332"/>
      <c r="F91" s="118">
        <f>SUM(F90)</f>
        <v>8476</v>
      </c>
      <c r="G91" s="133">
        <f>SUM(G90)</f>
        <v>8476</v>
      </c>
      <c r="H91" s="118"/>
      <c r="I91" s="118"/>
      <c r="J91" s="118"/>
      <c r="K91" s="209"/>
      <c r="L91" s="179"/>
      <c r="M91" s="89"/>
    </row>
    <row r="92" spans="1:15" s="90" customFormat="1" ht="53.25" customHeight="1" thickBot="1">
      <c r="A92" s="214" t="s">
        <v>353</v>
      </c>
      <c r="B92" s="69">
        <v>750</v>
      </c>
      <c r="C92" s="69">
        <v>75011</v>
      </c>
      <c r="D92" s="134">
        <v>6060</v>
      </c>
      <c r="E92" s="226" t="s">
        <v>320</v>
      </c>
      <c r="F92" s="71">
        <f>SUM(G92:I92)</f>
        <v>17000</v>
      </c>
      <c r="G92" s="81">
        <v>2000</v>
      </c>
      <c r="H92" s="81">
        <v>15000</v>
      </c>
      <c r="I92" s="81"/>
      <c r="J92" s="81"/>
      <c r="K92" s="216"/>
      <c r="L92" s="236"/>
      <c r="M92" s="89"/>
    </row>
    <row r="93" spans="1:15" s="90" customFormat="1" ht="35.1" customHeight="1" thickBot="1">
      <c r="A93" s="330" t="s">
        <v>321</v>
      </c>
      <c r="B93" s="331"/>
      <c r="C93" s="331"/>
      <c r="D93" s="331"/>
      <c r="E93" s="333"/>
      <c r="F93" s="118">
        <f>F92</f>
        <v>17000</v>
      </c>
      <c r="G93" s="118">
        <f>G92</f>
        <v>2000</v>
      </c>
      <c r="H93" s="118">
        <f>H92</f>
        <v>15000</v>
      </c>
      <c r="I93" s="118"/>
      <c r="J93" s="118"/>
      <c r="K93" s="209"/>
      <c r="L93" s="179"/>
      <c r="M93" s="89"/>
    </row>
    <row r="94" spans="1:15" s="90" customFormat="1" ht="45" customHeight="1" thickBot="1">
      <c r="A94" s="214" t="s">
        <v>355</v>
      </c>
      <c r="B94" s="69">
        <v>750</v>
      </c>
      <c r="C94" s="69">
        <v>75019</v>
      </c>
      <c r="D94" s="69">
        <v>6050</v>
      </c>
      <c r="E94" s="80" t="s">
        <v>323</v>
      </c>
      <c r="F94" s="81">
        <f>SUM(G94:I94)</f>
        <v>0</v>
      </c>
      <c r="G94" s="81">
        <v>0</v>
      </c>
      <c r="H94" s="81">
        <v>0</v>
      </c>
      <c r="I94" s="81"/>
      <c r="J94" s="81"/>
      <c r="K94" s="200"/>
      <c r="L94" s="179"/>
      <c r="M94" s="89"/>
    </row>
    <row r="95" spans="1:15" s="90" customFormat="1" ht="35.1" customHeight="1" thickBot="1">
      <c r="A95" s="334" t="s">
        <v>324</v>
      </c>
      <c r="B95" s="335"/>
      <c r="C95" s="336"/>
      <c r="D95" s="336"/>
      <c r="E95" s="333"/>
      <c r="F95" s="135">
        <f>SUM(F94)</f>
        <v>0</v>
      </c>
      <c r="G95" s="135">
        <f>SUM(G94)</f>
        <v>0</v>
      </c>
      <c r="H95" s="135">
        <f>SUM(H94)</f>
        <v>0</v>
      </c>
      <c r="I95" s="135"/>
      <c r="J95" s="136"/>
      <c r="K95" s="137"/>
      <c r="L95" s="237"/>
      <c r="M95" s="89"/>
    </row>
    <row r="96" spans="1:15" s="67" customFormat="1" ht="51" customHeight="1" thickBot="1">
      <c r="A96" s="214" t="s">
        <v>357</v>
      </c>
      <c r="B96" s="69">
        <v>750</v>
      </c>
      <c r="C96" s="69">
        <v>75020</v>
      </c>
      <c r="D96" s="69">
        <v>6050</v>
      </c>
      <c r="E96" s="80" t="s">
        <v>326</v>
      </c>
      <c r="F96" s="81">
        <f t="shared" ref="F96:F102" si="2">SUM(G96:H96)</f>
        <v>13300</v>
      </c>
      <c r="G96" s="81">
        <v>0</v>
      </c>
      <c r="H96" s="81">
        <f>1000000+300000-386700-900000</f>
        <v>13300</v>
      </c>
      <c r="I96" s="73"/>
      <c r="J96" s="73"/>
      <c r="K96" s="202"/>
      <c r="L96" s="297" t="s">
        <v>198</v>
      </c>
      <c r="M96" s="66"/>
    </row>
    <row r="97" spans="1:13" s="67" customFormat="1" ht="51" customHeight="1" thickBot="1">
      <c r="A97" s="214" t="s">
        <v>360</v>
      </c>
      <c r="B97" s="69">
        <v>750</v>
      </c>
      <c r="C97" s="69">
        <v>75020</v>
      </c>
      <c r="D97" s="69">
        <v>6050</v>
      </c>
      <c r="E97" s="80" t="s">
        <v>430</v>
      </c>
      <c r="F97" s="81">
        <f t="shared" si="2"/>
        <v>70000</v>
      </c>
      <c r="G97" s="81"/>
      <c r="H97" s="81">
        <v>70000</v>
      </c>
      <c r="I97" s="73"/>
      <c r="J97" s="73"/>
      <c r="K97" s="202"/>
      <c r="L97" s="235"/>
      <c r="M97" s="66"/>
    </row>
    <row r="98" spans="1:13" s="67" customFormat="1" ht="51" customHeight="1" thickBot="1">
      <c r="A98" s="214" t="s">
        <v>361</v>
      </c>
      <c r="B98" s="69">
        <v>750</v>
      </c>
      <c r="C98" s="69">
        <v>75020</v>
      </c>
      <c r="D98" s="69">
        <v>6060</v>
      </c>
      <c r="E98" s="80" t="s">
        <v>431</v>
      </c>
      <c r="F98" s="81">
        <f t="shared" si="2"/>
        <v>28000</v>
      </c>
      <c r="G98" s="81"/>
      <c r="H98" s="81">
        <v>28000</v>
      </c>
      <c r="I98" s="73"/>
      <c r="J98" s="73"/>
      <c r="K98" s="202"/>
      <c r="L98" s="235"/>
      <c r="M98" s="66"/>
    </row>
    <row r="99" spans="1:13" s="67" customFormat="1" ht="46.9" customHeight="1" thickBot="1">
      <c r="A99" s="214" t="s">
        <v>365</v>
      </c>
      <c r="B99" s="69">
        <v>750</v>
      </c>
      <c r="C99" s="69">
        <v>75020</v>
      </c>
      <c r="D99" s="69">
        <v>6050</v>
      </c>
      <c r="E99" s="80" t="s">
        <v>405</v>
      </c>
      <c r="F99" s="81">
        <f t="shared" si="2"/>
        <v>0</v>
      </c>
      <c r="G99" s="81">
        <v>0</v>
      </c>
      <c r="H99" s="81">
        <f>820700-120000-700700</f>
        <v>0</v>
      </c>
      <c r="I99" s="73"/>
      <c r="J99" s="73"/>
      <c r="K99" s="203"/>
      <c r="L99" s="141" t="s">
        <v>198</v>
      </c>
      <c r="M99" s="66"/>
    </row>
    <row r="100" spans="1:13" s="67" customFormat="1" ht="46.9" customHeight="1" thickBot="1">
      <c r="A100" s="214" t="s">
        <v>368</v>
      </c>
      <c r="B100" s="69">
        <v>750</v>
      </c>
      <c r="C100" s="69">
        <v>75020</v>
      </c>
      <c r="D100" s="69">
        <v>6050</v>
      </c>
      <c r="E100" s="80" t="s">
        <v>329</v>
      </c>
      <c r="F100" s="81">
        <f t="shared" si="2"/>
        <v>22054</v>
      </c>
      <c r="G100" s="81">
        <f>22000+54</f>
        <v>22054</v>
      </c>
      <c r="H100" s="81"/>
      <c r="I100" s="73"/>
      <c r="J100" s="73"/>
      <c r="K100" s="203"/>
      <c r="L100" s="193"/>
      <c r="M100" s="66"/>
    </row>
    <row r="101" spans="1:13" s="67" customFormat="1" ht="46.9" customHeight="1" thickBot="1">
      <c r="A101" s="214" t="s">
        <v>370</v>
      </c>
      <c r="B101" s="69">
        <v>750</v>
      </c>
      <c r="C101" s="69">
        <v>75020</v>
      </c>
      <c r="D101" s="69">
        <v>6050</v>
      </c>
      <c r="E101" s="80" t="s">
        <v>331</v>
      </c>
      <c r="F101" s="81">
        <f t="shared" si="2"/>
        <v>14500</v>
      </c>
      <c r="G101" s="81">
        <v>14500</v>
      </c>
      <c r="H101" s="81"/>
      <c r="I101" s="73"/>
      <c r="J101" s="73"/>
      <c r="K101" s="203"/>
      <c r="L101" s="194"/>
      <c r="M101" s="66"/>
    </row>
    <row r="102" spans="1:13" s="67" customFormat="1" ht="46.9" customHeight="1" thickBot="1">
      <c r="A102" s="251" t="s">
        <v>373</v>
      </c>
      <c r="B102" s="247">
        <v>750</v>
      </c>
      <c r="C102" s="247">
        <v>75020</v>
      </c>
      <c r="D102" s="247">
        <v>6050</v>
      </c>
      <c r="E102" s="275" t="s">
        <v>464</v>
      </c>
      <c r="F102" s="248">
        <f t="shared" si="2"/>
        <v>67000</v>
      </c>
      <c r="G102" s="248">
        <v>67000</v>
      </c>
      <c r="H102" s="248"/>
      <c r="I102" s="249"/>
      <c r="J102" s="249"/>
      <c r="K102" s="272"/>
      <c r="L102" s="194"/>
      <c r="M102" s="66"/>
    </row>
    <row r="103" spans="1:13" s="131" customFormat="1" ht="35.25" customHeight="1" thickBot="1">
      <c r="A103" s="328" t="s">
        <v>332</v>
      </c>
      <c r="B103" s="329"/>
      <c r="C103" s="329"/>
      <c r="D103" s="329"/>
      <c r="E103" s="329"/>
      <c r="F103" s="132">
        <f>SUM(F96:F102)</f>
        <v>214854</v>
      </c>
      <c r="G103" s="132">
        <f t="shared" ref="G103:K103" si="3">SUM(G96:G102)</f>
        <v>103554</v>
      </c>
      <c r="H103" s="132">
        <f t="shared" si="3"/>
        <v>111300</v>
      </c>
      <c r="I103" s="132">
        <f t="shared" si="3"/>
        <v>0</v>
      </c>
      <c r="J103" s="132">
        <f t="shared" si="3"/>
        <v>0</v>
      </c>
      <c r="K103" s="132">
        <f t="shared" si="3"/>
        <v>0</v>
      </c>
      <c r="L103" s="238"/>
      <c r="M103" s="130"/>
    </row>
    <row r="104" spans="1:13" s="90" customFormat="1" ht="51" customHeight="1" thickBot="1">
      <c r="A104" s="214" t="s">
        <v>375</v>
      </c>
      <c r="B104" s="69">
        <v>750</v>
      </c>
      <c r="C104" s="69">
        <v>75095</v>
      </c>
      <c r="D104" s="69">
        <v>6639</v>
      </c>
      <c r="E104" s="80" t="s">
        <v>334</v>
      </c>
      <c r="F104" s="81">
        <f>G104</f>
        <v>0</v>
      </c>
      <c r="G104" s="81">
        <f>8000-8000</f>
        <v>0</v>
      </c>
      <c r="H104" s="81"/>
      <c r="I104" s="81"/>
      <c r="J104" s="81"/>
      <c r="K104" s="203"/>
      <c r="L104" s="178" t="s">
        <v>198</v>
      </c>
      <c r="M104" s="89"/>
    </row>
    <row r="105" spans="1:13" s="90" customFormat="1" ht="35.1" customHeight="1" thickBot="1">
      <c r="A105" s="330" t="s">
        <v>335</v>
      </c>
      <c r="B105" s="331"/>
      <c r="C105" s="331"/>
      <c r="D105" s="331"/>
      <c r="E105" s="332"/>
      <c r="F105" s="118">
        <f>SUM(F104)</f>
        <v>0</v>
      </c>
      <c r="G105" s="118">
        <f>SUM(G104)</f>
        <v>0</v>
      </c>
      <c r="H105" s="118"/>
      <c r="I105" s="118"/>
      <c r="J105" s="118"/>
      <c r="K105" s="209"/>
      <c r="L105" s="179"/>
      <c r="M105" s="89"/>
    </row>
    <row r="106" spans="1:13" s="90" customFormat="1" ht="45" customHeight="1" thickBot="1">
      <c r="A106" s="214" t="s">
        <v>378</v>
      </c>
      <c r="B106" s="69">
        <v>754</v>
      </c>
      <c r="C106" s="69">
        <v>75404</v>
      </c>
      <c r="D106" s="69">
        <v>6170</v>
      </c>
      <c r="E106" s="73" t="s">
        <v>337</v>
      </c>
      <c r="F106" s="81">
        <f>G106</f>
        <v>131610</v>
      </c>
      <c r="G106" s="81">
        <v>131610</v>
      </c>
      <c r="H106" s="81"/>
      <c r="I106" s="73"/>
      <c r="J106" s="73"/>
      <c r="K106" s="203"/>
      <c r="L106" s="193"/>
      <c r="M106" s="89"/>
    </row>
    <row r="107" spans="1:13" s="131" customFormat="1" ht="35.25" customHeight="1" thickBot="1">
      <c r="A107" s="337" t="s">
        <v>338</v>
      </c>
      <c r="B107" s="338"/>
      <c r="C107" s="338"/>
      <c r="D107" s="338"/>
      <c r="E107" s="339"/>
      <c r="F107" s="132">
        <f>F106</f>
        <v>131610</v>
      </c>
      <c r="G107" s="132">
        <f>G106</f>
        <v>131610</v>
      </c>
      <c r="H107" s="132"/>
      <c r="I107" s="138"/>
      <c r="J107" s="138"/>
      <c r="K107" s="215"/>
      <c r="L107" s="238"/>
      <c r="M107" s="130"/>
    </row>
    <row r="108" spans="1:13" s="90" customFormat="1" ht="38.25" customHeight="1" thickBot="1">
      <c r="A108" s="214" t="s">
        <v>381</v>
      </c>
      <c r="B108" s="69">
        <v>754</v>
      </c>
      <c r="C108" s="69">
        <v>75410</v>
      </c>
      <c r="D108" s="69">
        <v>6170</v>
      </c>
      <c r="E108" s="80" t="s">
        <v>340</v>
      </c>
      <c r="F108" s="81">
        <f>G108</f>
        <v>0</v>
      </c>
      <c r="G108" s="81">
        <f>30000-30000</f>
        <v>0</v>
      </c>
      <c r="H108" s="81"/>
      <c r="I108" s="73"/>
      <c r="J108" s="74"/>
      <c r="K108" s="203"/>
      <c r="L108" s="239"/>
      <c r="M108" s="89"/>
    </row>
    <row r="109" spans="1:13" s="131" customFormat="1" ht="35.1" customHeight="1" thickBot="1">
      <c r="A109" s="337" t="s">
        <v>341</v>
      </c>
      <c r="B109" s="338"/>
      <c r="C109" s="338"/>
      <c r="D109" s="338"/>
      <c r="E109" s="339"/>
      <c r="F109" s="132">
        <f>SUM(F108:F108)</f>
        <v>0</v>
      </c>
      <c r="G109" s="132">
        <f>SUM(G108:G108)</f>
        <v>0</v>
      </c>
      <c r="H109" s="132"/>
      <c r="I109" s="138"/>
      <c r="J109" s="132"/>
      <c r="K109" s="215"/>
      <c r="L109" s="238"/>
      <c r="M109" s="130"/>
    </row>
    <row r="110" spans="1:13" s="140" customFormat="1" ht="34.5" customHeight="1" thickBot="1">
      <c r="A110" s="214" t="s">
        <v>394</v>
      </c>
      <c r="B110" s="69">
        <v>758</v>
      </c>
      <c r="C110" s="69">
        <v>75818</v>
      </c>
      <c r="D110" s="69">
        <v>6800</v>
      </c>
      <c r="E110" s="80" t="s">
        <v>343</v>
      </c>
      <c r="F110" s="81">
        <f>G110</f>
        <v>1058336</v>
      </c>
      <c r="G110" s="81">
        <f>500000+820000+1493770-110000-131610-1000000-489000-20000-54-4770</f>
        <v>1058336</v>
      </c>
      <c r="H110" s="81"/>
      <c r="I110" s="73"/>
      <c r="J110" s="73"/>
      <c r="K110" s="203"/>
      <c r="L110" s="239"/>
      <c r="M110" s="139"/>
    </row>
    <row r="111" spans="1:13" s="90" customFormat="1" ht="35.1" customHeight="1" thickBot="1">
      <c r="A111" s="326" t="s">
        <v>344</v>
      </c>
      <c r="B111" s="327"/>
      <c r="C111" s="327"/>
      <c r="D111" s="327"/>
      <c r="E111" s="327"/>
      <c r="F111" s="118">
        <f>SUM(F110)</f>
        <v>1058336</v>
      </c>
      <c r="G111" s="118">
        <f>SUM(G110)</f>
        <v>1058336</v>
      </c>
      <c r="H111" s="118">
        <f>SUM(H110)</f>
        <v>0</v>
      </c>
      <c r="I111" s="147"/>
      <c r="J111" s="147"/>
      <c r="K111" s="209"/>
      <c r="L111" s="239"/>
      <c r="M111" s="89"/>
    </row>
    <row r="112" spans="1:13" s="90" customFormat="1" ht="35.1" customHeight="1" thickBot="1">
      <c r="A112" s="148" t="s">
        <v>395</v>
      </c>
      <c r="B112" s="148">
        <v>801</v>
      </c>
      <c r="C112" s="148">
        <v>80115</v>
      </c>
      <c r="D112" s="148">
        <v>6050</v>
      </c>
      <c r="E112" s="245" t="s">
        <v>439</v>
      </c>
      <c r="F112" s="149">
        <f>SUM(G112:I112)</f>
        <v>128700</v>
      </c>
      <c r="G112" s="149"/>
      <c r="H112" s="149">
        <v>128700</v>
      </c>
      <c r="I112" s="150"/>
      <c r="J112" s="150"/>
      <c r="K112" s="151"/>
      <c r="L112" s="193"/>
      <c r="M112" s="89"/>
    </row>
    <row r="113" spans="1:14" s="90" customFormat="1" ht="35.1" customHeight="1" thickBot="1">
      <c r="A113" s="148" t="s">
        <v>396</v>
      </c>
      <c r="B113" s="148">
        <v>801</v>
      </c>
      <c r="C113" s="148">
        <v>80115</v>
      </c>
      <c r="D113" s="148">
        <v>6050</v>
      </c>
      <c r="E113" s="245" t="s">
        <v>435</v>
      </c>
      <c r="F113" s="149">
        <f>SUM(G113:I113)</f>
        <v>160000</v>
      </c>
      <c r="G113" s="149"/>
      <c r="H113" s="149">
        <v>160000</v>
      </c>
      <c r="I113" s="150"/>
      <c r="J113" s="150"/>
      <c r="K113" s="151"/>
      <c r="L113" s="193"/>
      <c r="M113" s="89"/>
    </row>
    <row r="114" spans="1:14" s="90" customFormat="1" ht="35.1" customHeight="1" thickBot="1">
      <c r="A114" s="340" t="s">
        <v>436</v>
      </c>
      <c r="B114" s="341"/>
      <c r="C114" s="341"/>
      <c r="D114" s="341"/>
      <c r="E114" s="342"/>
      <c r="F114" s="135">
        <f>SUM(F112:F113)</f>
        <v>288700</v>
      </c>
      <c r="G114" s="135">
        <f>SUM(G112:G113)</f>
        <v>0</v>
      </c>
      <c r="H114" s="135">
        <f>SUM(H112:H113)</f>
        <v>288700</v>
      </c>
      <c r="I114" s="252"/>
      <c r="J114" s="255"/>
      <c r="K114" s="256"/>
      <c r="L114" s="239"/>
      <c r="M114" s="89"/>
    </row>
    <row r="115" spans="1:14" s="67" customFormat="1" ht="37.5" customHeight="1" thickBot="1">
      <c r="A115" s="201" t="s">
        <v>397</v>
      </c>
      <c r="B115" s="69">
        <v>801</v>
      </c>
      <c r="C115" s="69">
        <v>80120</v>
      </c>
      <c r="D115" s="69">
        <v>6580</v>
      </c>
      <c r="E115" s="73" t="s">
        <v>346</v>
      </c>
      <c r="F115" s="81">
        <f>SUM(G115:H115)+620000</f>
        <v>1620000</v>
      </c>
      <c r="G115" s="81"/>
      <c r="H115" s="81">
        <v>1000000</v>
      </c>
      <c r="I115" s="73"/>
      <c r="J115" s="253" t="s">
        <v>347</v>
      </c>
      <c r="K115" s="254"/>
      <c r="L115" s="141" t="s">
        <v>198</v>
      </c>
      <c r="M115" s="66"/>
    </row>
    <row r="116" spans="1:14" s="67" customFormat="1" ht="37.5" customHeight="1" thickBot="1">
      <c r="A116" s="201" t="s">
        <v>398</v>
      </c>
      <c r="B116" s="69">
        <v>801</v>
      </c>
      <c r="C116" s="69">
        <v>80120</v>
      </c>
      <c r="D116" s="69">
        <v>6580</v>
      </c>
      <c r="E116" s="73" t="s">
        <v>457</v>
      </c>
      <c r="F116" s="81">
        <f>SUM(G116:I116)+90000</f>
        <v>356700</v>
      </c>
      <c r="G116" s="81">
        <v>79000</v>
      </c>
      <c r="H116" s="81">
        <v>187700</v>
      </c>
      <c r="I116" s="73"/>
      <c r="J116" s="74" t="s">
        <v>349</v>
      </c>
      <c r="K116" s="213"/>
      <c r="L116" s="195" t="s">
        <v>198</v>
      </c>
      <c r="M116" s="66"/>
    </row>
    <row r="117" spans="1:14" s="143" customFormat="1" ht="35.1" customHeight="1" thickBot="1">
      <c r="A117" s="328" t="s">
        <v>350</v>
      </c>
      <c r="B117" s="329"/>
      <c r="C117" s="329"/>
      <c r="D117" s="329"/>
      <c r="E117" s="329"/>
      <c r="F117" s="132">
        <f>SUM(F115:F116)</f>
        <v>1976700</v>
      </c>
      <c r="G117" s="132">
        <f>SUM(G115:G116)</f>
        <v>79000</v>
      </c>
      <c r="H117" s="132">
        <f>SUM(H115:H116)</f>
        <v>1187700</v>
      </c>
      <c r="I117" s="138"/>
      <c r="J117" s="132">
        <f>620000+90000</f>
        <v>710000</v>
      </c>
      <c r="K117" s="215"/>
      <c r="L117" s="239"/>
      <c r="M117" s="142"/>
    </row>
    <row r="118" spans="1:14" s="67" customFormat="1" ht="45" customHeight="1" thickBot="1">
      <c r="A118" s="218" t="s">
        <v>399</v>
      </c>
      <c r="B118" s="69">
        <v>851</v>
      </c>
      <c r="C118" s="69">
        <v>85111</v>
      </c>
      <c r="D118" s="69">
        <v>6010</v>
      </c>
      <c r="E118" s="73" t="s">
        <v>352</v>
      </c>
      <c r="F118" s="81">
        <f>SUM(G118:H118)</f>
        <v>27297600</v>
      </c>
      <c r="G118" s="81">
        <f>2566600-120000-700700+5938000</f>
        <v>7683900</v>
      </c>
      <c r="H118" s="81">
        <f>2500000+14993000+120000+700700+1300000</f>
        <v>19613700</v>
      </c>
      <c r="I118" s="82"/>
      <c r="J118" s="82"/>
      <c r="K118" s="205"/>
      <c r="L118" s="240"/>
      <c r="M118" s="66"/>
    </row>
    <row r="119" spans="1:14" s="67" customFormat="1" ht="54.75" customHeight="1" thickBot="1">
      <c r="A119" s="201" t="s">
        <v>400</v>
      </c>
      <c r="B119" s="69">
        <v>851</v>
      </c>
      <c r="C119" s="69">
        <v>85111</v>
      </c>
      <c r="D119" s="69">
        <v>6230</v>
      </c>
      <c r="E119" s="73" t="s">
        <v>447</v>
      </c>
      <c r="F119" s="81">
        <v>5700000</v>
      </c>
      <c r="G119" s="81"/>
      <c r="H119" s="81"/>
      <c r="I119" s="73"/>
      <c r="J119" s="74" t="s">
        <v>354</v>
      </c>
      <c r="K119" s="203"/>
      <c r="L119" s="240"/>
      <c r="M119" s="66"/>
    </row>
    <row r="120" spans="1:14" s="67" customFormat="1" ht="48" customHeight="1" thickBot="1">
      <c r="A120" s="218" t="s">
        <v>401</v>
      </c>
      <c r="B120" s="69">
        <v>851</v>
      </c>
      <c r="C120" s="69">
        <v>85111</v>
      </c>
      <c r="D120" s="69">
        <v>6050</v>
      </c>
      <c r="E120" s="73" t="s">
        <v>356</v>
      </c>
      <c r="F120" s="81">
        <f>SUM(G120:H120)</f>
        <v>0</v>
      </c>
      <c r="G120" s="81">
        <f>7500-7500</f>
        <v>0</v>
      </c>
      <c r="H120" s="81"/>
      <c r="I120" s="73"/>
      <c r="J120" s="74"/>
      <c r="K120" s="203"/>
      <c r="L120" s="240"/>
      <c r="M120" s="66"/>
    </row>
    <row r="121" spans="1:14" s="67" customFormat="1" ht="48" customHeight="1" thickBot="1">
      <c r="A121" s="268" t="s">
        <v>402</v>
      </c>
      <c r="B121" s="247">
        <v>851</v>
      </c>
      <c r="C121" s="247">
        <v>85111</v>
      </c>
      <c r="D121" s="247">
        <v>6060</v>
      </c>
      <c r="E121" s="249" t="s">
        <v>358</v>
      </c>
      <c r="F121" s="248">
        <f>SUM(G121:H121)</f>
        <v>0</v>
      </c>
      <c r="G121" s="248">
        <v>0</v>
      </c>
      <c r="H121" s="248"/>
      <c r="I121" s="249"/>
      <c r="J121" s="250"/>
      <c r="K121" s="272"/>
      <c r="L121" s="240"/>
      <c r="M121" s="66"/>
    </row>
    <row r="122" spans="1:14" s="143" customFormat="1" ht="35.1" customHeight="1" thickBot="1">
      <c r="A122" s="328" t="s">
        <v>359</v>
      </c>
      <c r="B122" s="329"/>
      <c r="C122" s="329"/>
      <c r="D122" s="329"/>
      <c r="E122" s="329"/>
      <c r="F122" s="132">
        <f>SUM(F118:F121)</f>
        <v>32997600</v>
      </c>
      <c r="G122" s="132">
        <f>SUM(G118:G121)</f>
        <v>7683900</v>
      </c>
      <c r="H122" s="132">
        <f>SUM(H118:H121)</f>
        <v>19613700</v>
      </c>
      <c r="I122" s="132">
        <f>SUM(I118:I121)</f>
        <v>0</v>
      </c>
      <c r="J122" s="132">
        <v>5700000</v>
      </c>
      <c r="K122" s="217"/>
      <c r="L122" s="239"/>
      <c r="M122" s="142"/>
      <c r="N122" s="144"/>
    </row>
    <row r="123" spans="1:14" s="143" customFormat="1" ht="51" customHeight="1" thickBot="1">
      <c r="A123" s="214" t="s">
        <v>403</v>
      </c>
      <c r="B123" s="69">
        <v>852</v>
      </c>
      <c r="C123" s="69">
        <v>85202</v>
      </c>
      <c r="D123" s="69">
        <v>6050</v>
      </c>
      <c r="E123" s="80" t="s">
        <v>446</v>
      </c>
      <c r="F123" s="81">
        <f>G123</f>
        <v>72000</v>
      </c>
      <c r="G123" s="81">
        <f>47000+25000</f>
        <v>72000</v>
      </c>
      <c r="H123" s="81"/>
      <c r="I123" s="73"/>
      <c r="J123" s="73"/>
      <c r="K123" s="203"/>
      <c r="L123" s="239"/>
      <c r="M123" s="142"/>
    </row>
    <row r="124" spans="1:14" s="146" customFormat="1" ht="42" customHeight="1" thickBot="1">
      <c r="A124" s="277" t="s">
        <v>404</v>
      </c>
      <c r="B124" s="69">
        <v>852</v>
      </c>
      <c r="C124" s="69">
        <v>85202</v>
      </c>
      <c r="D124" s="69">
        <v>6050</v>
      </c>
      <c r="E124" s="278" t="s">
        <v>362</v>
      </c>
      <c r="F124" s="81">
        <f>G124</f>
        <v>50000</v>
      </c>
      <c r="G124" s="81">
        <v>50000</v>
      </c>
      <c r="H124" s="81"/>
      <c r="I124" s="73"/>
      <c r="J124" s="73"/>
      <c r="K124" s="203" t="s">
        <v>459</v>
      </c>
      <c r="L124" s="195" t="s">
        <v>198</v>
      </c>
      <c r="M124" s="145"/>
    </row>
    <row r="125" spans="1:14" s="143" customFormat="1" ht="42" customHeight="1" thickBot="1">
      <c r="A125" s="337" t="s">
        <v>363</v>
      </c>
      <c r="B125" s="338"/>
      <c r="C125" s="338"/>
      <c r="D125" s="338"/>
      <c r="E125" s="339"/>
      <c r="F125" s="132">
        <f>SUM(F123:F124)</f>
        <v>122000</v>
      </c>
      <c r="G125" s="132">
        <f>SUM(G123:G124)</f>
        <v>122000</v>
      </c>
      <c r="H125" s="132">
        <f>SUM(H123:H124)</f>
        <v>0</v>
      </c>
      <c r="I125" s="132">
        <f>SUM(I123:I124)</f>
        <v>0</v>
      </c>
      <c r="J125" s="132"/>
      <c r="K125" s="215"/>
      <c r="L125" s="239"/>
      <c r="M125" s="142" t="s">
        <v>364</v>
      </c>
    </row>
    <row r="126" spans="1:14" s="67" customFormat="1" ht="38.25" customHeight="1" thickBot="1">
      <c r="A126" s="214" t="s">
        <v>418</v>
      </c>
      <c r="B126" s="69">
        <v>852</v>
      </c>
      <c r="C126" s="69">
        <v>85203</v>
      </c>
      <c r="D126" s="69">
        <v>6060</v>
      </c>
      <c r="E126" s="80" t="s">
        <v>366</v>
      </c>
      <c r="F126" s="81">
        <f>SUM(G126:H126)+6900</f>
        <v>56900</v>
      </c>
      <c r="G126" s="81">
        <v>0</v>
      </c>
      <c r="H126" s="81">
        <v>50000</v>
      </c>
      <c r="I126" s="73"/>
      <c r="J126" s="74" t="s">
        <v>440</v>
      </c>
      <c r="K126" s="203"/>
      <c r="L126" s="193"/>
      <c r="M126" s="66"/>
    </row>
    <row r="127" spans="1:14" s="95" customFormat="1" ht="35.1" customHeight="1" thickBot="1">
      <c r="A127" s="330" t="s">
        <v>367</v>
      </c>
      <c r="B127" s="331"/>
      <c r="C127" s="331"/>
      <c r="D127" s="331"/>
      <c r="E127" s="332"/>
      <c r="F127" s="118">
        <f>SUM(F126:F126)</f>
        <v>56900</v>
      </c>
      <c r="G127" s="118">
        <f>SUM(G126:G126)</f>
        <v>0</v>
      </c>
      <c r="H127" s="118">
        <f>SUM(H126:H126)</f>
        <v>50000</v>
      </c>
      <c r="I127" s="147"/>
      <c r="J127" s="260">
        <v>6900</v>
      </c>
      <c r="K127" s="209"/>
      <c r="L127" s="241"/>
      <c r="M127" s="94"/>
    </row>
    <row r="128" spans="1:14" s="95" customFormat="1" ht="54" customHeight="1" thickBot="1">
      <c r="A128" s="148" t="s">
        <v>427</v>
      </c>
      <c r="B128" s="148">
        <v>853</v>
      </c>
      <c r="C128" s="148">
        <v>85311</v>
      </c>
      <c r="D128" s="148">
        <v>6230</v>
      </c>
      <c r="E128" s="242" t="s">
        <v>466</v>
      </c>
      <c r="F128" s="149">
        <f>G128</f>
        <v>2220</v>
      </c>
      <c r="G128" s="149">
        <v>2220</v>
      </c>
      <c r="H128" s="149"/>
      <c r="I128" s="150"/>
      <c r="J128" s="150"/>
      <c r="K128" s="151"/>
      <c r="L128" s="237"/>
      <c r="M128" s="94"/>
    </row>
    <row r="129" spans="1:14" s="95" customFormat="1" ht="91.15" customHeight="1" thickBot="1">
      <c r="A129" s="148" t="s">
        <v>428</v>
      </c>
      <c r="B129" s="148">
        <v>853</v>
      </c>
      <c r="C129" s="148">
        <v>85311</v>
      </c>
      <c r="D129" s="148">
        <v>6230</v>
      </c>
      <c r="E129" s="276" t="s">
        <v>391</v>
      </c>
      <c r="F129" s="149">
        <f>G129</f>
        <v>53505</v>
      </c>
      <c r="G129" s="149">
        <f>37911+15594</f>
        <v>53505</v>
      </c>
      <c r="H129" s="149"/>
      <c r="I129" s="150"/>
      <c r="J129" s="150"/>
      <c r="K129" s="148"/>
      <c r="L129" s="237"/>
      <c r="M129" s="94"/>
    </row>
    <row r="130" spans="1:14" s="95" customFormat="1" ht="35.1" customHeight="1" thickBot="1">
      <c r="A130" s="347" t="s">
        <v>369</v>
      </c>
      <c r="B130" s="347"/>
      <c r="C130" s="347"/>
      <c r="D130" s="347"/>
      <c r="E130" s="347"/>
      <c r="F130" s="152">
        <f>SUM(F128:F129)</f>
        <v>55725</v>
      </c>
      <c r="G130" s="152">
        <f>SUM(G128:G129)</f>
        <v>55725</v>
      </c>
      <c r="H130" s="152">
        <f>SUM(H128:H129)</f>
        <v>0</v>
      </c>
      <c r="I130" s="152">
        <f>SUM(I128:I129)</f>
        <v>0</v>
      </c>
      <c r="J130" s="152">
        <f>J128</f>
        <v>0</v>
      </c>
      <c r="K130" s="137"/>
      <c r="L130" s="237"/>
      <c r="M130" s="94"/>
    </row>
    <row r="131" spans="1:14" s="67" customFormat="1" ht="39" customHeight="1" thickBot="1">
      <c r="A131" s="261" t="s">
        <v>429</v>
      </c>
      <c r="B131" s="262">
        <v>853</v>
      </c>
      <c r="C131" s="262">
        <v>85333</v>
      </c>
      <c r="D131" s="262">
        <v>6060</v>
      </c>
      <c r="E131" s="263" t="s">
        <v>371</v>
      </c>
      <c r="F131" s="264">
        <f>SUM(G131:H131)</f>
        <v>0</v>
      </c>
      <c r="G131" s="264">
        <f>19867-19867</f>
        <v>0</v>
      </c>
      <c r="H131" s="264">
        <v>0</v>
      </c>
      <c r="I131" s="265"/>
      <c r="J131" s="265"/>
      <c r="K131" s="266"/>
      <c r="L131" s="267"/>
      <c r="M131" s="66"/>
    </row>
    <row r="132" spans="1:14" s="95" customFormat="1" ht="35.1" customHeight="1" thickBot="1">
      <c r="A132" s="337" t="s">
        <v>372</v>
      </c>
      <c r="B132" s="331"/>
      <c r="C132" s="331"/>
      <c r="D132" s="331"/>
      <c r="E132" s="332"/>
      <c r="F132" s="135">
        <f>F131</f>
        <v>0</v>
      </c>
      <c r="G132" s="135">
        <f>G131</f>
        <v>0</v>
      </c>
      <c r="H132" s="153">
        <f>H131</f>
        <v>0</v>
      </c>
      <c r="I132" s="153">
        <f>I131</f>
        <v>0</v>
      </c>
      <c r="J132" s="153">
        <f>J131</f>
        <v>0</v>
      </c>
      <c r="K132" s="137"/>
      <c r="L132" s="182"/>
      <c r="M132" s="94"/>
    </row>
    <row r="133" spans="1:14" s="67" customFormat="1" ht="45.75" customHeight="1" thickBot="1">
      <c r="A133" s="214" t="s">
        <v>434</v>
      </c>
      <c r="B133" s="69">
        <v>854</v>
      </c>
      <c r="C133" s="69">
        <v>85403</v>
      </c>
      <c r="D133" s="69">
        <v>6050</v>
      </c>
      <c r="E133" s="80" t="s">
        <v>374</v>
      </c>
      <c r="F133" s="81">
        <f>SUM(G133:I133)</f>
        <v>720000</v>
      </c>
      <c r="G133" s="154">
        <v>20000</v>
      </c>
      <c r="H133" s="154">
        <v>700000</v>
      </c>
      <c r="I133" s="155"/>
      <c r="J133" s="156"/>
      <c r="K133" s="219"/>
      <c r="L133" s="183"/>
      <c r="M133" s="66"/>
    </row>
    <row r="134" spans="1:14" s="67" customFormat="1" ht="38.25" customHeight="1" thickBot="1">
      <c r="A134" s="214" t="s">
        <v>437</v>
      </c>
      <c r="B134" s="69">
        <v>854</v>
      </c>
      <c r="C134" s="69">
        <v>85403</v>
      </c>
      <c r="D134" s="69">
        <v>6060</v>
      </c>
      <c r="E134" s="80" t="s">
        <v>376</v>
      </c>
      <c r="F134" s="81">
        <f>G134</f>
        <v>20000</v>
      </c>
      <c r="G134" s="81">
        <v>20000</v>
      </c>
      <c r="H134" s="81"/>
      <c r="I134" s="73"/>
      <c r="J134" s="73"/>
      <c r="K134" s="203"/>
      <c r="L134" s="182"/>
      <c r="M134" s="66"/>
    </row>
    <row r="135" spans="1:14" s="95" customFormat="1" ht="35.1" customHeight="1" thickBot="1">
      <c r="A135" s="330" t="s">
        <v>377</v>
      </c>
      <c r="B135" s="331"/>
      <c r="C135" s="331"/>
      <c r="D135" s="331"/>
      <c r="E135" s="332"/>
      <c r="F135" s="118">
        <f>SUM(F133:F134)</f>
        <v>740000</v>
      </c>
      <c r="G135" s="118">
        <f>SUM(G133:G134)</f>
        <v>40000</v>
      </c>
      <c r="H135" s="118">
        <f>SUM(H133:H134)</f>
        <v>700000</v>
      </c>
      <c r="I135" s="118">
        <f>SUM(I133:I134)</f>
        <v>0</v>
      </c>
      <c r="J135" s="118">
        <f>SUM(J133:J134)</f>
        <v>0</v>
      </c>
      <c r="K135" s="209"/>
      <c r="L135" s="179"/>
      <c r="M135" s="94"/>
    </row>
    <row r="136" spans="1:14" s="67" customFormat="1" ht="38.25" customHeight="1" thickBot="1">
      <c r="A136" s="220" t="s">
        <v>438</v>
      </c>
      <c r="B136" s="76">
        <v>854</v>
      </c>
      <c r="C136" s="76">
        <v>85406</v>
      </c>
      <c r="D136" s="76">
        <v>6050</v>
      </c>
      <c r="E136" s="244" t="s">
        <v>379</v>
      </c>
      <c r="F136" s="92">
        <f>SUM(G136:I136)</f>
        <v>22000</v>
      </c>
      <c r="G136" s="92">
        <v>22000</v>
      </c>
      <c r="H136" s="92"/>
      <c r="I136" s="64"/>
      <c r="J136" s="92"/>
      <c r="K136" s="221"/>
      <c r="L136" s="183"/>
      <c r="M136" s="66"/>
    </row>
    <row r="137" spans="1:14" s="95" customFormat="1" ht="35.1" customHeight="1" thickBot="1">
      <c r="A137" s="348" t="s">
        <v>380</v>
      </c>
      <c r="B137" s="349"/>
      <c r="C137" s="349"/>
      <c r="D137" s="349"/>
      <c r="E137" s="350"/>
      <c r="F137" s="126">
        <f>F136</f>
        <v>22000</v>
      </c>
      <c r="G137" s="126">
        <f>G136</f>
        <v>22000</v>
      </c>
      <c r="H137" s="126">
        <f>H136</f>
        <v>0</v>
      </c>
      <c r="I137" s="126">
        <f>I136</f>
        <v>0</v>
      </c>
      <c r="J137" s="126">
        <f>J136</f>
        <v>0</v>
      </c>
      <c r="K137" s="211"/>
      <c r="L137" s="243"/>
      <c r="M137" s="94"/>
    </row>
    <row r="138" spans="1:14" s="67" customFormat="1" ht="35.1" customHeight="1" thickBot="1">
      <c r="A138" s="148" t="s">
        <v>445</v>
      </c>
      <c r="B138" s="148">
        <v>855</v>
      </c>
      <c r="C138" s="148">
        <v>85510</v>
      </c>
      <c r="D138" s="148">
        <v>6050</v>
      </c>
      <c r="E138" s="245" t="s">
        <v>382</v>
      </c>
      <c r="F138" s="149">
        <f>G138</f>
        <v>57000</v>
      </c>
      <c r="G138" s="149">
        <f>50000+7000</f>
        <v>57000</v>
      </c>
      <c r="H138" s="149"/>
      <c r="I138" s="150"/>
      <c r="J138" s="150"/>
      <c r="K138" s="151"/>
      <c r="L138" s="182"/>
      <c r="M138" s="66"/>
    </row>
    <row r="139" spans="1:14" s="174" customFormat="1" ht="39" customHeight="1" thickBot="1">
      <c r="A139" s="148" t="s">
        <v>465</v>
      </c>
      <c r="B139" s="148">
        <v>855</v>
      </c>
      <c r="C139" s="148">
        <v>85510</v>
      </c>
      <c r="D139" s="148">
        <v>6050</v>
      </c>
      <c r="E139" s="226" t="s">
        <v>392</v>
      </c>
      <c r="F139" s="149">
        <f>G139</f>
        <v>19463</v>
      </c>
      <c r="G139" s="149">
        <v>19463</v>
      </c>
      <c r="H139" s="149"/>
      <c r="I139" s="150"/>
      <c r="J139" s="150"/>
      <c r="K139" s="148"/>
      <c r="L139" s="186"/>
      <c r="M139" s="173"/>
    </row>
    <row r="140" spans="1:14" s="95" customFormat="1" ht="35.1" customHeight="1" thickBot="1">
      <c r="A140" s="343" t="s">
        <v>383</v>
      </c>
      <c r="B140" s="336"/>
      <c r="C140" s="336"/>
      <c r="D140" s="336"/>
      <c r="E140" s="333"/>
      <c r="F140" s="135">
        <f>SUM(F138:F139)</f>
        <v>76463</v>
      </c>
      <c r="G140" s="135">
        <f>SUM(G138:G139)</f>
        <v>76463</v>
      </c>
      <c r="H140" s="135">
        <f>SUM(H138:H139)</f>
        <v>0</v>
      </c>
      <c r="I140" s="135">
        <f>SUM(I138:I139)</f>
        <v>0</v>
      </c>
      <c r="J140" s="135">
        <f>SUM(J138:J139)</f>
        <v>0</v>
      </c>
      <c r="K140" s="222"/>
      <c r="L140" s="182"/>
      <c r="M140" s="94"/>
    </row>
    <row r="141" spans="1:14" s="159" customFormat="1" ht="36" customHeight="1" thickBot="1">
      <c r="A141" s="344" t="s">
        <v>384</v>
      </c>
      <c r="B141" s="345"/>
      <c r="C141" s="345"/>
      <c r="D141" s="345"/>
      <c r="E141" s="346"/>
      <c r="F141" s="223">
        <f>F84+F86+F89+F91+F95+F103+F107+F105+F109+F111+F114+F117+F122+F93+F125+F127+F130+F132+F135+F137+F140</f>
        <v>53861192</v>
      </c>
      <c r="G141" s="223">
        <f>G84+G86+G89+G91+G95+G103+G107+G105+G109+G111+G114+G117+G122+G93+G125+G127+G130+G132+G135+G137+G140</f>
        <v>14501110</v>
      </c>
      <c r="H141" s="223">
        <f>H84+H86+H89+H91+H95+H103+H107+H105+H109+H111+H114+H117+H122+H93+H125+H127+H130+H132+H135+H137+H140</f>
        <v>25788000</v>
      </c>
      <c r="I141" s="223">
        <f>I84+I86+I89+I91+I95+I103+I107+I105+I109+I111+I117+I122+I93+I125+I127+I130+I132+I135+I137+I140</f>
        <v>0</v>
      </c>
      <c r="J141" s="223">
        <f>J84+J86+J89+J91+J95+J103+J107+J105+J109+J111+J117+J122+J93+J125+J127+J130+J132+J135+J137+J140</f>
        <v>13572082</v>
      </c>
      <c r="K141" s="224"/>
      <c r="L141" s="246"/>
      <c r="M141" s="157"/>
      <c r="N141" s="158"/>
    </row>
    <row r="142" spans="1:14" s="95" customFormat="1" ht="27" customHeight="1">
      <c r="A142" s="160" t="s">
        <v>385</v>
      </c>
      <c r="B142" s="161"/>
      <c r="C142" s="161"/>
      <c r="D142" s="161"/>
      <c r="E142" s="162"/>
      <c r="F142" s="163"/>
      <c r="G142" s="163"/>
      <c r="H142" s="163"/>
      <c r="I142" s="164"/>
      <c r="J142" s="164"/>
      <c r="K142" s="165"/>
      <c r="L142" s="225"/>
      <c r="M142" s="94"/>
    </row>
    <row r="143" spans="1:14" s="85" customFormat="1" ht="20.25" customHeight="1">
      <c r="A143" s="160" t="s">
        <v>386</v>
      </c>
      <c r="B143" s="161"/>
      <c r="C143" s="161"/>
      <c r="D143" s="161"/>
      <c r="E143" s="162"/>
      <c r="F143" s="164"/>
      <c r="G143" s="164"/>
      <c r="H143" s="164"/>
      <c r="I143" s="164"/>
      <c r="J143" s="163"/>
      <c r="K143" s="165"/>
      <c r="L143" s="225"/>
      <c r="M143" s="84"/>
    </row>
    <row r="144" spans="1:14" s="95" customFormat="1" ht="21" customHeight="1">
      <c r="A144" s="160" t="s">
        <v>387</v>
      </c>
      <c r="B144" s="161"/>
      <c r="C144" s="161"/>
      <c r="D144" s="161"/>
      <c r="E144" s="162"/>
      <c r="F144" s="163"/>
      <c r="G144" s="164"/>
      <c r="H144" s="164"/>
      <c r="I144" s="164"/>
      <c r="J144" s="164"/>
      <c r="K144" s="165"/>
      <c r="L144" s="225"/>
      <c r="M144" s="94"/>
    </row>
    <row r="145" spans="1:13" s="95" customFormat="1" ht="21" customHeight="1">
      <c r="A145" s="160" t="s">
        <v>388</v>
      </c>
      <c r="B145" s="166"/>
      <c r="C145" s="162"/>
      <c r="D145" s="162"/>
      <c r="E145" s="162"/>
      <c r="F145" s="49"/>
      <c r="G145" s="49"/>
      <c r="H145" s="49"/>
      <c r="I145" s="167"/>
      <c r="J145" s="167"/>
      <c r="K145" s="50"/>
      <c r="L145" s="225"/>
      <c r="M145" s="94"/>
    </row>
    <row r="146" spans="1:13" s="90" customFormat="1" ht="28.5" customHeight="1">
      <c r="A146" s="166"/>
      <c r="B146" s="48"/>
      <c r="C146" s="49"/>
      <c r="D146" s="49"/>
      <c r="E146" s="49"/>
      <c r="F146" s="167"/>
      <c r="G146" s="49"/>
      <c r="H146" s="49"/>
      <c r="I146" s="49"/>
      <c r="J146" s="49"/>
      <c r="K146" s="168"/>
      <c r="L146" s="225"/>
      <c r="M146" s="89"/>
    </row>
    <row r="147" spans="1:13" s="95" customFormat="1" ht="30" customHeight="1">
      <c r="A147" s="44"/>
      <c r="B147" s="44"/>
      <c r="C147" s="45"/>
      <c r="D147" s="45"/>
      <c r="E147" s="45"/>
      <c r="F147" s="45"/>
      <c r="G147" s="45"/>
      <c r="H147" s="169"/>
      <c r="I147" s="45"/>
      <c r="J147" s="169"/>
      <c r="K147" s="46"/>
      <c r="L147" s="225"/>
      <c r="M147" s="94"/>
    </row>
    <row r="148" spans="1:13" s="57" customFormat="1" ht="27" customHeight="1">
      <c r="A148" s="44"/>
      <c r="B148" s="44"/>
      <c r="C148" s="45"/>
      <c r="D148" s="45"/>
      <c r="E148" s="45"/>
      <c r="F148" s="45"/>
      <c r="G148" s="45"/>
      <c r="H148" s="45"/>
      <c r="I148" s="45"/>
      <c r="J148" s="45"/>
      <c r="K148" s="46"/>
      <c r="L148" s="225"/>
      <c r="M148" s="56"/>
    </row>
    <row r="150" spans="1:13" s="171" customFormat="1" ht="12.75" customHeight="1">
      <c r="A150" s="44"/>
      <c r="B150" s="44"/>
      <c r="C150" s="45"/>
      <c r="D150" s="45"/>
      <c r="E150" s="45"/>
      <c r="F150" s="45"/>
      <c r="G150" s="45"/>
      <c r="H150" s="45"/>
      <c r="I150" s="45"/>
      <c r="J150" s="45"/>
      <c r="K150" s="46"/>
      <c r="L150" s="225"/>
      <c r="M150" s="170"/>
    </row>
    <row r="151" spans="1:13" s="171" customFormat="1" ht="12.75" customHeight="1">
      <c r="A151" s="44"/>
      <c r="B151" s="44"/>
      <c r="C151" s="45"/>
      <c r="D151" s="45"/>
      <c r="E151" s="45"/>
      <c r="F151" s="45"/>
      <c r="G151" s="45"/>
      <c r="H151" s="45"/>
      <c r="I151" s="45"/>
      <c r="J151" s="45"/>
      <c r="K151" s="46"/>
      <c r="L151" s="225"/>
      <c r="M151" s="170"/>
    </row>
    <row r="152" spans="1:13" s="171" customFormat="1" ht="12.75" customHeight="1">
      <c r="A152" s="44"/>
      <c r="B152" s="44"/>
      <c r="C152" s="45"/>
      <c r="D152" s="45"/>
      <c r="E152" s="45"/>
      <c r="F152" s="45"/>
      <c r="G152" s="45"/>
      <c r="H152" s="45"/>
      <c r="I152" s="45"/>
      <c r="J152" s="45"/>
      <c r="K152" s="46"/>
      <c r="L152" s="225"/>
      <c r="M152" s="170"/>
    </row>
  </sheetData>
  <sheetProtection algorithmName="SHA-512" hashValue="Zxbc0cerLUzj3KKZXMUodUaIeqF3KE/KErLCNxH4CQi41giYFQNhNKazcXX/AcczpiZK0+loQk1/xw8gB0S1Fw==" saltValue="kTm2vXBllz6hUE7vwrf7QQ==" spinCount="100000" sheet="1" objects="1" scenarios="1"/>
  <mergeCells count="41">
    <mergeCell ref="A140:E140"/>
    <mergeCell ref="A141:E141"/>
    <mergeCell ref="A125:E125"/>
    <mergeCell ref="A127:E127"/>
    <mergeCell ref="A130:E130"/>
    <mergeCell ref="A132:E132"/>
    <mergeCell ref="A135:E135"/>
    <mergeCell ref="A137:E137"/>
    <mergeCell ref="A122:E122"/>
    <mergeCell ref="A89:E89"/>
    <mergeCell ref="A91:E91"/>
    <mergeCell ref="A93:E93"/>
    <mergeCell ref="A95:E95"/>
    <mergeCell ref="A103:E103"/>
    <mergeCell ref="A105:E105"/>
    <mergeCell ref="A107:E107"/>
    <mergeCell ref="A109:E109"/>
    <mergeCell ref="A111:E111"/>
    <mergeCell ref="A114:E114"/>
    <mergeCell ref="A117:E117"/>
    <mergeCell ref="A86:E86"/>
    <mergeCell ref="L4:L5"/>
    <mergeCell ref="A7:E7"/>
    <mergeCell ref="A14:E14"/>
    <mergeCell ref="A22:E22"/>
    <mergeCell ref="A37:E37"/>
    <mergeCell ref="A50:E50"/>
    <mergeCell ref="A61:E61"/>
    <mergeCell ref="A66:E66"/>
    <mergeCell ref="A73:E73"/>
    <mergeCell ref="A82:E82"/>
    <mergeCell ref="A84:E84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1.1417322834645669" bottom="0.70866141732283472" header="0.51181102362204722" footer="0.51181102362204722"/>
  <pageSetup paperSize="9" scale="85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9"/>
  <sheetViews>
    <sheetView showGridLines="0" topLeftCell="A10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7" width="10.6640625" style="2" bestFit="1" customWidth="1"/>
    <col min="8" max="16384" width="9.33203125" style="2"/>
  </cols>
  <sheetData>
    <row r="3" spans="1:7" s="1" customFormat="1" ht="15" customHeight="1">
      <c r="A3" s="351" t="s">
        <v>169</v>
      </c>
      <c r="B3" s="351"/>
      <c r="C3" s="351"/>
      <c r="D3" s="351"/>
    </row>
    <row r="4" spans="1:7">
      <c r="D4" s="3"/>
    </row>
    <row r="5" spans="1:7" ht="54" customHeight="1">
      <c r="A5" s="4" t="s">
        <v>3</v>
      </c>
      <c r="B5" s="4" t="s">
        <v>9</v>
      </c>
      <c r="C5" s="5" t="s">
        <v>10</v>
      </c>
      <c r="D5" s="5" t="s">
        <v>11</v>
      </c>
    </row>
    <row r="6" spans="1:7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7" s="9" customFormat="1" ht="24.75" customHeight="1">
      <c r="A7" s="6" t="s">
        <v>4</v>
      </c>
      <c r="B7" s="7" t="s">
        <v>12</v>
      </c>
      <c r="C7" s="6"/>
      <c r="D7" s="8">
        <f>SUM(D8:D9)</f>
        <v>172071517</v>
      </c>
    </row>
    <row r="8" spans="1:7" s="13" customFormat="1" ht="24.75" customHeight="1">
      <c r="A8" s="10"/>
      <c r="B8" s="11" t="s">
        <v>13</v>
      </c>
      <c r="C8" s="10"/>
      <c r="D8" s="12">
        <v>160075660</v>
      </c>
    </row>
    <row r="9" spans="1:7" s="13" customFormat="1" ht="24.75" customHeight="1">
      <c r="A9" s="10"/>
      <c r="B9" s="11" t="s">
        <v>14</v>
      </c>
      <c r="C9" s="10"/>
      <c r="D9" s="14">
        <v>11995857</v>
      </c>
    </row>
    <row r="10" spans="1:7" s="9" customFormat="1" ht="24.75" customHeight="1">
      <c r="A10" s="6" t="s">
        <v>5</v>
      </c>
      <c r="B10" s="7" t="s">
        <v>15</v>
      </c>
      <c r="C10" s="6"/>
      <c r="D10" s="15">
        <f>SUM(D11,D12)</f>
        <v>210529087</v>
      </c>
    </row>
    <row r="11" spans="1:7" s="13" customFormat="1" ht="24.75" customHeight="1">
      <c r="A11" s="10"/>
      <c r="B11" s="11" t="s">
        <v>28</v>
      </c>
      <c r="C11" s="10"/>
      <c r="D11" s="16">
        <v>156667895</v>
      </c>
    </row>
    <row r="12" spans="1:7" s="13" customFormat="1" ht="24.75" customHeight="1">
      <c r="A12" s="10"/>
      <c r="B12" s="11" t="s">
        <v>16</v>
      </c>
      <c r="C12" s="10"/>
      <c r="D12" s="17">
        <v>53861192</v>
      </c>
    </row>
    <row r="13" spans="1:7" s="9" customFormat="1" ht="24.75" customHeight="1">
      <c r="A13" s="6" t="s">
        <v>6</v>
      </c>
      <c r="B13" s="7" t="s">
        <v>17</v>
      </c>
      <c r="C13" s="18"/>
      <c r="D13" s="8">
        <f>D7-D10</f>
        <v>-38457570</v>
      </c>
    </row>
    <row r="14" spans="1:7" ht="24.75" customHeight="1">
      <c r="A14" s="352" t="s">
        <v>18</v>
      </c>
      <c r="B14" s="353"/>
      <c r="C14" s="19"/>
      <c r="D14" s="20">
        <f>SUM(D15:D21)</f>
        <v>42999570</v>
      </c>
    </row>
    <row r="15" spans="1:7" ht="81.75" customHeight="1">
      <c r="A15" s="36" t="s">
        <v>4</v>
      </c>
      <c r="B15" s="38" t="s">
        <v>41</v>
      </c>
      <c r="C15" s="21" t="s">
        <v>40</v>
      </c>
      <c r="D15" s="35">
        <f>3722308+1000000+620000+131830+81953</f>
        <v>5556091</v>
      </c>
      <c r="F15" s="43"/>
    </row>
    <row r="16" spans="1:7" ht="72" customHeight="1">
      <c r="A16" s="36" t="s">
        <v>5</v>
      </c>
      <c r="B16" s="37" t="s">
        <v>42</v>
      </c>
      <c r="C16" s="21" t="s">
        <v>39</v>
      </c>
      <c r="D16" s="35">
        <v>1696393</v>
      </c>
      <c r="F16" s="43"/>
      <c r="G16" s="43"/>
    </row>
    <row r="17" spans="1:4" ht="31.5" customHeight="1">
      <c r="A17" s="36" t="s">
        <v>6</v>
      </c>
      <c r="B17" s="39" t="s">
        <v>43</v>
      </c>
      <c r="C17" s="40" t="s">
        <v>44</v>
      </c>
      <c r="D17" s="35">
        <v>15000000</v>
      </c>
    </row>
    <row r="18" spans="1:4" ht="31.5" customHeight="1">
      <c r="A18" s="36" t="s">
        <v>7</v>
      </c>
      <c r="B18" s="24" t="s">
        <v>25</v>
      </c>
      <c r="C18" s="21" t="s">
        <v>20</v>
      </c>
      <c r="D18" s="23">
        <f>485045+2645600+24489+2598952</f>
        <v>5754086</v>
      </c>
    </row>
    <row r="19" spans="1:4" ht="32.25" customHeight="1">
      <c r="A19" s="36" t="s">
        <v>8</v>
      </c>
      <c r="B19" s="33" t="s">
        <v>29</v>
      </c>
      <c r="C19" s="21" t="s">
        <v>30</v>
      </c>
      <c r="D19" s="23">
        <v>0</v>
      </c>
    </row>
    <row r="20" spans="1:4" ht="24.75" customHeight="1">
      <c r="A20" s="36" t="s">
        <v>38</v>
      </c>
      <c r="B20" s="22" t="s">
        <v>23</v>
      </c>
      <c r="C20" s="21" t="s">
        <v>19</v>
      </c>
      <c r="D20" s="23">
        <v>14993000</v>
      </c>
    </row>
    <row r="21" spans="1:4" ht="27" customHeight="1">
      <c r="A21" s="36" t="s">
        <v>37</v>
      </c>
      <c r="B21" s="24" t="s">
        <v>24</v>
      </c>
      <c r="C21" s="21" t="s">
        <v>19</v>
      </c>
      <c r="D21" s="25">
        <v>0</v>
      </c>
    </row>
    <row r="22" spans="1:4" ht="24.75" customHeight="1">
      <c r="A22" s="352" t="s">
        <v>21</v>
      </c>
      <c r="B22" s="353"/>
      <c r="C22" s="26"/>
      <c r="D22" s="20">
        <f>SUM(D23:D25)</f>
        <v>4542000</v>
      </c>
    </row>
    <row r="23" spans="1:4" s="34" customFormat="1" ht="24.75" customHeight="1">
      <c r="A23" s="21" t="s">
        <v>4</v>
      </c>
      <c r="B23" s="24" t="s">
        <v>32</v>
      </c>
      <c r="C23" s="21" t="s">
        <v>31</v>
      </c>
      <c r="D23" s="23">
        <v>0</v>
      </c>
    </row>
    <row r="24" spans="1:4" ht="24.75" customHeight="1">
      <c r="A24" s="21" t="s">
        <v>5</v>
      </c>
      <c r="B24" s="24" t="s">
        <v>26</v>
      </c>
      <c r="C24" s="21" t="s">
        <v>22</v>
      </c>
      <c r="D24" s="23">
        <v>4542000</v>
      </c>
    </row>
    <row r="25" spans="1:4" ht="24.75" customHeight="1">
      <c r="A25" s="21" t="s">
        <v>6</v>
      </c>
      <c r="B25" s="24" t="s">
        <v>27</v>
      </c>
      <c r="C25" s="21" t="s">
        <v>22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7SjZIbOo7Xc8xBhSLkE8whzLhe1TRcqaUbxghPTLKgwJ+CGZfYlRN6HvPunqYjY97gCvhfMRYh5gDmJYT6VWIQ==" saltValue="GORjrLAlOog45+jNKNUDFQ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181"/>
  <sheetViews>
    <sheetView tabSelected="1" view="pageBreakPreview" topLeftCell="A34" zoomScale="96" zoomScaleNormal="91" zoomScaleSheetLayoutView="96" workbookViewId="0">
      <selection activeCell="A39" sqref="A39:XFD39"/>
    </sheetView>
  </sheetViews>
  <sheetFormatPr defaultRowHeight="12.75"/>
  <cols>
    <col min="1" max="1" width="9.33203125" style="269"/>
    <col min="2" max="2" width="6.83203125" style="269" customWidth="1"/>
    <col min="3" max="3" width="9.83203125" style="269" customWidth="1"/>
    <col min="4" max="4" width="9.6640625" style="269" customWidth="1"/>
    <col min="5" max="5" width="66.33203125" style="269" customWidth="1"/>
    <col min="6" max="6" width="18.33203125" style="269" customWidth="1"/>
    <col min="7" max="7" width="18" style="269" customWidth="1"/>
    <col min="8" max="8" width="16.5" style="269" bestFit="1" customWidth="1"/>
    <col min="9" max="18" width="9.33203125" style="269"/>
    <col min="19" max="19" width="15.33203125" style="269" bestFit="1" customWidth="1"/>
    <col min="20" max="243" width="9.33203125" style="269"/>
    <col min="244" max="244" width="3" style="269" customWidth="1"/>
    <col min="245" max="245" width="5.33203125" style="269" customWidth="1"/>
    <col min="246" max="246" width="5.6640625" style="269" customWidth="1"/>
    <col min="247" max="247" width="22" style="269" customWidth="1"/>
    <col min="248" max="249" width="10.5" style="269" customWidth="1"/>
    <col min="250" max="250" width="8.33203125" style="269" customWidth="1"/>
    <col min="251" max="251" width="10.5" style="269" customWidth="1"/>
    <col min="252" max="252" width="9" style="269" customWidth="1"/>
    <col min="253" max="256" width="8.33203125" style="269" customWidth="1"/>
    <col min="257" max="257" width="9" style="269" customWidth="1"/>
    <col min="258" max="258" width="8.33203125" style="269" customWidth="1"/>
    <col min="259" max="259" width="5.5" style="269" customWidth="1"/>
    <col min="260" max="260" width="2.83203125" style="269" customWidth="1"/>
    <col min="261" max="261" width="2" style="269" customWidth="1"/>
    <col min="262" max="262" width="6.5" style="269" customWidth="1"/>
    <col min="263" max="263" width="8.5" style="269" customWidth="1"/>
    <col min="264" max="499" width="9.33203125" style="269"/>
    <col min="500" max="500" width="3" style="269" customWidth="1"/>
    <col min="501" max="501" width="5.33203125" style="269" customWidth="1"/>
    <col min="502" max="502" width="5.6640625" style="269" customWidth="1"/>
    <col min="503" max="503" width="22" style="269" customWidth="1"/>
    <col min="504" max="505" width="10.5" style="269" customWidth="1"/>
    <col min="506" max="506" width="8.33203125" style="269" customWidth="1"/>
    <col min="507" max="507" width="10.5" style="269" customWidth="1"/>
    <col min="508" max="508" width="9" style="269" customWidth="1"/>
    <col min="509" max="512" width="8.33203125" style="269" customWidth="1"/>
    <col min="513" max="513" width="9" style="269" customWidth="1"/>
    <col min="514" max="514" width="8.33203125" style="269" customWidth="1"/>
    <col min="515" max="515" width="5.5" style="269" customWidth="1"/>
    <col min="516" max="516" width="2.83203125" style="269" customWidth="1"/>
    <col min="517" max="517" width="2" style="269" customWidth="1"/>
    <col min="518" max="518" width="6.5" style="269" customWidth="1"/>
    <col min="519" max="519" width="8.5" style="269" customWidth="1"/>
    <col min="520" max="755" width="9.33203125" style="269"/>
    <col min="756" max="756" width="3" style="269" customWidth="1"/>
    <col min="757" max="757" width="5.33203125" style="269" customWidth="1"/>
    <col min="758" max="758" width="5.6640625" style="269" customWidth="1"/>
    <col min="759" max="759" width="22" style="269" customWidth="1"/>
    <col min="760" max="761" width="10.5" style="269" customWidth="1"/>
    <col min="762" max="762" width="8.33203125" style="269" customWidth="1"/>
    <col min="763" max="763" width="10.5" style="269" customWidth="1"/>
    <col min="764" max="764" width="9" style="269" customWidth="1"/>
    <col min="765" max="768" width="8.33203125" style="269" customWidth="1"/>
    <col min="769" max="769" width="9" style="269" customWidth="1"/>
    <col min="770" max="770" width="8.33203125" style="269" customWidth="1"/>
    <col min="771" max="771" width="5.5" style="269" customWidth="1"/>
    <col min="772" max="772" width="2.83203125" style="269" customWidth="1"/>
    <col min="773" max="773" width="2" style="269" customWidth="1"/>
    <col min="774" max="774" width="6.5" style="269" customWidth="1"/>
    <col min="775" max="775" width="8.5" style="269" customWidth="1"/>
    <col min="776" max="1011" width="9.33203125" style="269"/>
    <col min="1012" max="1012" width="3" style="269" customWidth="1"/>
    <col min="1013" max="1013" width="5.33203125" style="269" customWidth="1"/>
    <col min="1014" max="1014" width="5.6640625" style="269" customWidth="1"/>
    <col min="1015" max="1015" width="22" style="269" customWidth="1"/>
    <col min="1016" max="1017" width="10.5" style="269" customWidth="1"/>
    <col min="1018" max="1018" width="8.33203125" style="269" customWidth="1"/>
    <col min="1019" max="1019" width="10.5" style="269" customWidth="1"/>
    <col min="1020" max="1020" width="9" style="269" customWidth="1"/>
    <col min="1021" max="1024" width="8.33203125" style="269" customWidth="1"/>
    <col min="1025" max="1025" width="9" style="269" customWidth="1"/>
    <col min="1026" max="1026" width="8.33203125" style="269" customWidth="1"/>
    <col min="1027" max="1027" width="5.5" style="269" customWidth="1"/>
    <col min="1028" max="1028" width="2.83203125" style="269" customWidth="1"/>
    <col min="1029" max="1029" width="2" style="269" customWidth="1"/>
    <col min="1030" max="1030" width="6.5" style="269" customWidth="1"/>
    <col min="1031" max="1031" width="8.5" style="269" customWidth="1"/>
    <col min="1032" max="1267" width="9.33203125" style="269"/>
    <col min="1268" max="1268" width="3" style="269" customWidth="1"/>
    <col min="1269" max="1269" width="5.33203125" style="269" customWidth="1"/>
    <col min="1270" max="1270" width="5.6640625" style="269" customWidth="1"/>
    <col min="1271" max="1271" width="22" style="269" customWidth="1"/>
    <col min="1272" max="1273" width="10.5" style="269" customWidth="1"/>
    <col min="1274" max="1274" width="8.33203125" style="269" customWidth="1"/>
    <col min="1275" max="1275" width="10.5" style="269" customWidth="1"/>
    <col min="1276" max="1276" width="9" style="269" customWidth="1"/>
    <col min="1277" max="1280" width="8.33203125" style="269" customWidth="1"/>
    <col min="1281" max="1281" width="9" style="269" customWidth="1"/>
    <col min="1282" max="1282" width="8.33203125" style="269" customWidth="1"/>
    <col min="1283" max="1283" width="5.5" style="269" customWidth="1"/>
    <col min="1284" max="1284" width="2.83203125" style="269" customWidth="1"/>
    <col min="1285" max="1285" width="2" style="269" customWidth="1"/>
    <col min="1286" max="1286" width="6.5" style="269" customWidth="1"/>
    <col min="1287" max="1287" width="8.5" style="269" customWidth="1"/>
    <col min="1288" max="1523" width="9.33203125" style="269"/>
    <col min="1524" max="1524" width="3" style="269" customWidth="1"/>
    <col min="1525" max="1525" width="5.33203125" style="269" customWidth="1"/>
    <col min="1526" max="1526" width="5.6640625" style="269" customWidth="1"/>
    <col min="1527" max="1527" width="22" style="269" customWidth="1"/>
    <col min="1528" max="1529" width="10.5" style="269" customWidth="1"/>
    <col min="1530" max="1530" width="8.33203125" style="269" customWidth="1"/>
    <col min="1531" max="1531" width="10.5" style="269" customWidth="1"/>
    <col min="1532" max="1532" width="9" style="269" customWidth="1"/>
    <col min="1533" max="1536" width="8.33203125" style="269" customWidth="1"/>
    <col min="1537" max="1537" width="9" style="269" customWidth="1"/>
    <col min="1538" max="1538" width="8.33203125" style="269" customWidth="1"/>
    <col min="1539" max="1539" width="5.5" style="269" customWidth="1"/>
    <col min="1540" max="1540" width="2.83203125" style="269" customWidth="1"/>
    <col min="1541" max="1541" width="2" style="269" customWidth="1"/>
    <col min="1542" max="1542" width="6.5" style="269" customWidth="1"/>
    <col min="1543" max="1543" width="8.5" style="269" customWidth="1"/>
    <col min="1544" max="1779" width="9.33203125" style="269"/>
    <col min="1780" max="1780" width="3" style="269" customWidth="1"/>
    <col min="1781" max="1781" width="5.33203125" style="269" customWidth="1"/>
    <col min="1782" max="1782" width="5.6640625" style="269" customWidth="1"/>
    <col min="1783" max="1783" width="22" style="269" customWidth="1"/>
    <col min="1784" max="1785" width="10.5" style="269" customWidth="1"/>
    <col min="1786" max="1786" width="8.33203125" style="269" customWidth="1"/>
    <col min="1787" max="1787" width="10.5" style="269" customWidth="1"/>
    <col min="1788" max="1788" width="9" style="269" customWidth="1"/>
    <col min="1789" max="1792" width="8.33203125" style="269" customWidth="1"/>
    <col min="1793" max="1793" width="9" style="269" customWidth="1"/>
    <col min="1794" max="1794" width="8.33203125" style="269" customWidth="1"/>
    <col min="1795" max="1795" width="5.5" style="269" customWidth="1"/>
    <col min="1796" max="1796" width="2.83203125" style="269" customWidth="1"/>
    <col min="1797" max="1797" width="2" style="269" customWidth="1"/>
    <col min="1798" max="1798" width="6.5" style="269" customWidth="1"/>
    <col min="1799" max="1799" width="8.5" style="269" customWidth="1"/>
    <col min="1800" max="2035" width="9.33203125" style="269"/>
    <col min="2036" max="2036" width="3" style="269" customWidth="1"/>
    <col min="2037" max="2037" width="5.33203125" style="269" customWidth="1"/>
    <col min="2038" max="2038" width="5.6640625" style="269" customWidth="1"/>
    <col min="2039" max="2039" width="22" style="269" customWidth="1"/>
    <col min="2040" max="2041" width="10.5" style="269" customWidth="1"/>
    <col min="2042" max="2042" width="8.33203125" style="269" customWidth="1"/>
    <col min="2043" max="2043" width="10.5" style="269" customWidth="1"/>
    <col min="2044" max="2044" width="9" style="269" customWidth="1"/>
    <col min="2045" max="2048" width="8.33203125" style="269" customWidth="1"/>
    <col min="2049" max="2049" width="9" style="269" customWidth="1"/>
    <col min="2050" max="2050" width="8.33203125" style="269" customWidth="1"/>
    <col min="2051" max="2051" width="5.5" style="269" customWidth="1"/>
    <col min="2052" max="2052" width="2.83203125" style="269" customWidth="1"/>
    <col min="2053" max="2053" width="2" style="269" customWidth="1"/>
    <col min="2054" max="2054" width="6.5" style="269" customWidth="1"/>
    <col min="2055" max="2055" width="8.5" style="269" customWidth="1"/>
    <col min="2056" max="2291" width="9.33203125" style="269"/>
    <col min="2292" max="2292" width="3" style="269" customWidth="1"/>
    <col min="2293" max="2293" width="5.33203125" style="269" customWidth="1"/>
    <col min="2294" max="2294" width="5.6640625" style="269" customWidth="1"/>
    <col min="2295" max="2295" width="22" style="269" customWidth="1"/>
    <col min="2296" max="2297" width="10.5" style="269" customWidth="1"/>
    <col min="2298" max="2298" width="8.33203125" style="269" customWidth="1"/>
    <col min="2299" max="2299" width="10.5" style="269" customWidth="1"/>
    <col min="2300" max="2300" width="9" style="269" customWidth="1"/>
    <col min="2301" max="2304" width="8.33203125" style="269" customWidth="1"/>
    <col min="2305" max="2305" width="9" style="269" customWidth="1"/>
    <col min="2306" max="2306" width="8.33203125" style="269" customWidth="1"/>
    <col min="2307" max="2307" width="5.5" style="269" customWidth="1"/>
    <col min="2308" max="2308" width="2.83203125" style="269" customWidth="1"/>
    <col min="2309" max="2309" width="2" style="269" customWidth="1"/>
    <col min="2310" max="2310" width="6.5" style="269" customWidth="1"/>
    <col min="2311" max="2311" width="8.5" style="269" customWidth="1"/>
    <col min="2312" max="2547" width="9.33203125" style="269"/>
    <col min="2548" max="2548" width="3" style="269" customWidth="1"/>
    <col min="2549" max="2549" width="5.33203125" style="269" customWidth="1"/>
    <col min="2550" max="2550" width="5.6640625" style="269" customWidth="1"/>
    <col min="2551" max="2551" width="22" style="269" customWidth="1"/>
    <col min="2552" max="2553" width="10.5" style="269" customWidth="1"/>
    <col min="2554" max="2554" width="8.33203125" style="269" customWidth="1"/>
    <col min="2555" max="2555" width="10.5" style="269" customWidth="1"/>
    <col min="2556" max="2556" width="9" style="269" customWidth="1"/>
    <col min="2557" max="2560" width="8.33203125" style="269" customWidth="1"/>
    <col min="2561" max="2561" width="9" style="269" customWidth="1"/>
    <col min="2562" max="2562" width="8.33203125" style="269" customWidth="1"/>
    <col min="2563" max="2563" width="5.5" style="269" customWidth="1"/>
    <col min="2564" max="2564" width="2.83203125" style="269" customWidth="1"/>
    <col min="2565" max="2565" width="2" style="269" customWidth="1"/>
    <col min="2566" max="2566" width="6.5" style="269" customWidth="1"/>
    <col min="2567" max="2567" width="8.5" style="269" customWidth="1"/>
    <col min="2568" max="2803" width="9.33203125" style="269"/>
    <col min="2804" max="2804" width="3" style="269" customWidth="1"/>
    <col min="2805" max="2805" width="5.33203125" style="269" customWidth="1"/>
    <col min="2806" max="2806" width="5.6640625" style="269" customWidth="1"/>
    <col min="2807" max="2807" width="22" style="269" customWidth="1"/>
    <col min="2808" max="2809" width="10.5" style="269" customWidth="1"/>
    <col min="2810" max="2810" width="8.33203125" style="269" customWidth="1"/>
    <col min="2811" max="2811" width="10.5" style="269" customWidth="1"/>
    <col min="2812" max="2812" width="9" style="269" customWidth="1"/>
    <col min="2813" max="2816" width="8.33203125" style="269" customWidth="1"/>
    <col min="2817" max="2817" width="9" style="269" customWidth="1"/>
    <col min="2818" max="2818" width="8.33203125" style="269" customWidth="1"/>
    <col min="2819" max="2819" width="5.5" style="269" customWidth="1"/>
    <col min="2820" max="2820" width="2.83203125" style="269" customWidth="1"/>
    <col min="2821" max="2821" width="2" style="269" customWidth="1"/>
    <col min="2822" max="2822" width="6.5" style="269" customWidth="1"/>
    <col min="2823" max="2823" width="8.5" style="269" customWidth="1"/>
    <col min="2824" max="3059" width="9.33203125" style="269"/>
    <col min="3060" max="3060" width="3" style="269" customWidth="1"/>
    <col min="3061" max="3061" width="5.33203125" style="269" customWidth="1"/>
    <col min="3062" max="3062" width="5.6640625" style="269" customWidth="1"/>
    <col min="3063" max="3063" width="22" style="269" customWidth="1"/>
    <col min="3064" max="3065" width="10.5" style="269" customWidth="1"/>
    <col min="3066" max="3066" width="8.33203125" style="269" customWidth="1"/>
    <col min="3067" max="3067" width="10.5" style="269" customWidth="1"/>
    <col min="3068" max="3068" width="9" style="269" customWidth="1"/>
    <col min="3069" max="3072" width="8.33203125" style="269" customWidth="1"/>
    <col min="3073" max="3073" width="9" style="269" customWidth="1"/>
    <col min="3074" max="3074" width="8.33203125" style="269" customWidth="1"/>
    <col min="3075" max="3075" width="5.5" style="269" customWidth="1"/>
    <col min="3076" max="3076" width="2.83203125" style="269" customWidth="1"/>
    <col min="3077" max="3077" width="2" style="269" customWidth="1"/>
    <col min="3078" max="3078" width="6.5" style="269" customWidth="1"/>
    <col min="3079" max="3079" width="8.5" style="269" customWidth="1"/>
    <col min="3080" max="3315" width="9.33203125" style="269"/>
    <col min="3316" max="3316" width="3" style="269" customWidth="1"/>
    <col min="3317" max="3317" width="5.33203125" style="269" customWidth="1"/>
    <col min="3318" max="3318" width="5.6640625" style="269" customWidth="1"/>
    <col min="3319" max="3319" width="22" style="269" customWidth="1"/>
    <col min="3320" max="3321" width="10.5" style="269" customWidth="1"/>
    <col min="3322" max="3322" width="8.33203125" style="269" customWidth="1"/>
    <col min="3323" max="3323" width="10.5" style="269" customWidth="1"/>
    <col min="3324" max="3324" width="9" style="269" customWidth="1"/>
    <col min="3325" max="3328" width="8.33203125" style="269" customWidth="1"/>
    <col min="3329" max="3329" width="9" style="269" customWidth="1"/>
    <col min="3330" max="3330" width="8.33203125" style="269" customWidth="1"/>
    <col min="3331" max="3331" width="5.5" style="269" customWidth="1"/>
    <col min="3332" max="3332" width="2.83203125" style="269" customWidth="1"/>
    <col min="3333" max="3333" width="2" style="269" customWidth="1"/>
    <col min="3334" max="3334" width="6.5" style="269" customWidth="1"/>
    <col min="3335" max="3335" width="8.5" style="269" customWidth="1"/>
    <col min="3336" max="3571" width="9.33203125" style="269"/>
    <col min="3572" max="3572" width="3" style="269" customWidth="1"/>
    <col min="3573" max="3573" width="5.33203125" style="269" customWidth="1"/>
    <col min="3574" max="3574" width="5.6640625" style="269" customWidth="1"/>
    <col min="3575" max="3575" width="22" style="269" customWidth="1"/>
    <col min="3576" max="3577" width="10.5" style="269" customWidth="1"/>
    <col min="3578" max="3578" width="8.33203125" style="269" customWidth="1"/>
    <col min="3579" max="3579" width="10.5" style="269" customWidth="1"/>
    <col min="3580" max="3580" width="9" style="269" customWidth="1"/>
    <col min="3581" max="3584" width="8.33203125" style="269" customWidth="1"/>
    <col min="3585" max="3585" width="9" style="269" customWidth="1"/>
    <col min="3586" max="3586" width="8.33203125" style="269" customWidth="1"/>
    <col min="3587" max="3587" width="5.5" style="269" customWidth="1"/>
    <col min="3588" max="3588" width="2.83203125" style="269" customWidth="1"/>
    <col min="3589" max="3589" width="2" style="269" customWidth="1"/>
    <col min="3590" max="3590" width="6.5" style="269" customWidth="1"/>
    <col min="3591" max="3591" width="8.5" style="269" customWidth="1"/>
    <col min="3592" max="3827" width="9.33203125" style="269"/>
    <col min="3828" max="3828" width="3" style="269" customWidth="1"/>
    <col min="3829" max="3829" width="5.33203125" style="269" customWidth="1"/>
    <col min="3830" max="3830" width="5.6640625" style="269" customWidth="1"/>
    <col min="3831" max="3831" width="22" style="269" customWidth="1"/>
    <col min="3832" max="3833" width="10.5" style="269" customWidth="1"/>
    <col min="3834" max="3834" width="8.33203125" style="269" customWidth="1"/>
    <col min="3835" max="3835" width="10.5" style="269" customWidth="1"/>
    <col min="3836" max="3836" width="9" style="269" customWidth="1"/>
    <col min="3837" max="3840" width="8.33203125" style="269" customWidth="1"/>
    <col min="3841" max="3841" width="9" style="269" customWidth="1"/>
    <col min="3842" max="3842" width="8.33203125" style="269" customWidth="1"/>
    <col min="3843" max="3843" width="5.5" style="269" customWidth="1"/>
    <col min="3844" max="3844" width="2.83203125" style="269" customWidth="1"/>
    <col min="3845" max="3845" width="2" style="269" customWidth="1"/>
    <col min="3846" max="3846" width="6.5" style="269" customWidth="1"/>
    <col min="3847" max="3847" width="8.5" style="269" customWidth="1"/>
    <col min="3848" max="4083" width="9.33203125" style="269"/>
    <col min="4084" max="4084" width="3" style="269" customWidth="1"/>
    <col min="4085" max="4085" width="5.33203125" style="269" customWidth="1"/>
    <col min="4086" max="4086" width="5.6640625" style="269" customWidth="1"/>
    <col min="4087" max="4087" width="22" style="269" customWidth="1"/>
    <col min="4088" max="4089" width="10.5" style="269" customWidth="1"/>
    <col min="4090" max="4090" width="8.33203125" style="269" customWidth="1"/>
    <col min="4091" max="4091" width="10.5" style="269" customWidth="1"/>
    <col min="4092" max="4092" width="9" style="269" customWidth="1"/>
    <col min="4093" max="4096" width="8.33203125" style="269" customWidth="1"/>
    <col min="4097" max="4097" width="9" style="269" customWidth="1"/>
    <col min="4098" max="4098" width="8.33203125" style="269" customWidth="1"/>
    <col min="4099" max="4099" width="5.5" style="269" customWidth="1"/>
    <col min="4100" max="4100" width="2.83203125" style="269" customWidth="1"/>
    <col min="4101" max="4101" width="2" style="269" customWidth="1"/>
    <col min="4102" max="4102" width="6.5" style="269" customWidth="1"/>
    <col min="4103" max="4103" width="8.5" style="269" customWidth="1"/>
    <col min="4104" max="4339" width="9.33203125" style="269"/>
    <col min="4340" max="4340" width="3" style="269" customWidth="1"/>
    <col min="4341" max="4341" width="5.33203125" style="269" customWidth="1"/>
    <col min="4342" max="4342" width="5.6640625" style="269" customWidth="1"/>
    <col min="4343" max="4343" width="22" style="269" customWidth="1"/>
    <col min="4344" max="4345" width="10.5" style="269" customWidth="1"/>
    <col min="4346" max="4346" width="8.33203125" style="269" customWidth="1"/>
    <col min="4347" max="4347" width="10.5" style="269" customWidth="1"/>
    <col min="4348" max="4348" width="9" style="269" customWidth="1"/>
    <col min="4349" max="4352" width="8.33203125" style="269" customWidth="1"/>
    <col min="4353" max="4353" width="9" style="269" customWidth="1"/>
    <col min="4354" max="4354" width="8.33203125" style="269" customWidth="1"/>
    <col min="4355" max="4355" width="5.5" style="269" customWidth="1"/>
    <col min="4356" max="4356" width="2.83203125" style="269" customWidth="1"/>
    <col min="4357" max="4357" width="2" style="269" customWidth="1"/>
    <col min="4358" max="4358" width="6.5" style="269" customWidth="1"/>
    <col min="4359" max="4359" width="8.5" style="269" customWidth="1"/>
    <col min="4360" max="4595" width="9.33203125" style="269"/>
    <col min="4596" max="4596" width="3" style="269" customWidth="1"/>
    <col min="4597" max="4597" width="5.33203125" style="269" customWidth="1"/>
    <col min="4598" max="4598" width="5.6640625" style="269" customWidth="1"/>
    <col min="4599" max="4599" width="22" style="269" customWidth="1"/>
    <col min="4600" max="4601" width="10.5" style="269" customWidth="1"/>
    <col min="4602" max="4602" width="8.33203125" style="269" customWidth="1"/>
    <col min="4603" max="4603" width="10.5" style="269" customWidth="1"/>
    <col min="4604" max="4604" width="9" style="269" customWidth="1"/>
    <col min="4605" max="4608" width="8.33203125" style="269" customWidth="1"/>
    <col min="4609" max="4609" width="9" style="269" customWidth="1"/>
    <col min="4610" max="4610" width="8.33203125" style="269" customWidth="1"/>
    <col min="4611" max="4611" width="5.5" style="269" customWidth="1"/>
    <col min="4612" max="4612" width="2.83203125" style="269" customWidth="1"/>
    <col min="4613" max="4613" width="2" style="269" customWidth="1"/>
    <col min="4614" max="4614" width="6.5" style="269" customWidth="1"/>
    <col min="4615" max="4615" width="8.5" style="269" customWidth="1"/>
    <col min="4616" max="4851" width="9.33203125" style="269"/>
    <col min="4852" max="4852" width="3" style="269" customWidth="1"/>
    <col min="4853" max="4853" width="5.33203125" style="269" customWidth="1"/>
    <col min="4854" max="4854" width="5.6640625" style="269" customWidth="1"/>
    <col min="4855" max="4855" width="22" style="269" customWidth="1"/>
    <col min="4856" max="4857" width="10.5" style="269" customWidth="1"/>
    <col min="4858" max="4858" width="8.33203125" style="269" customWidth="1"/>
    <col min="4859" max="4859" width="10.5" style="269" customWidth="1"/>
    <col min="4860" max="4860" width="9" style="269" customWidth="1"/>
    <col min="4861" max="4864" width="8.33203125" style="269" customWidth="1"/>
    <col min="4865" max="4865" width="9" style="269" customWidth="1"/>
    <col min="4866" max="4866" width="8.33203125" style="269" customWidth="1"/>
    <col min="4867" max="4867" width="5.5" style="269" customWidth="1"/>
    <col min="4868" max="4868" width="2.83203125" style="269" customWidth="1"/>
    <col min="4869" max="4869" width="2" style="269" customWidth="1"/>
    <col min="4870" max="4870" width="6.5" style="269" customWidth="1"/>
    <col min="4871" max="4871" width="8.5" style="269" customWidth="1"/>
    <col min="4872" max="5107" width="9.33203125" style="269"/>
    <col min="5108" max="5108" width="3" style="269" customWidth="1"/>
    <col min="5109" max="5109" width="5.33203125" style="269" customWidth="1"/>
    <col min="5110" max="5110" width="5.6640625" style="269" customWidth="1"/>
    <col min="5111" max="5111" width="22" style="269" customWidth="1"/>
    <col min="5112" max="5113" width="10.5" style="269" customWidth="1"/>
    <col min="5114" max="5114" width="8.33203125" style="269" customWidth="1"/>
    <col min="5115" max="5115" width="10.5" style="269" customWidth="1"/>
    <col min="5116" max="5116" width="9" style="269" customWidth="1"/>
    <col min="5117" max="5120" width="8.33203125" style="269" customWidth="1"/>
    <col min="5121" max="5121" width="9" style="269" customWidth="1"/>
    <col min="5122" max="5122" width="8.33203125" style="269" customWidth="1"/>
    <col min="5123" max="5123" width="5.5" style="269" customWidth="1"/>
    <col min="5124" max="5124" width="2.83203125" style="269" customWidth="1"/>
    <col min="5125" max="5125" width="2" style="269" customWidth="1"/>
    <col min="5126" max="5126" width="6.5" style="269" customWidth="1"/>
    <col min="5127" max="5127" width="8.5" style="269" customWidth="1"/>
    <col min="5128" max="5363" width="9.33203125" style="269"/>
    <col min="5364" max="5364" width="3" style="269" customWidth="1"/>
    <col min="5365" max="5365" width="5.33203125" style="269" customWidth="1"/>
    <col min="5366" max="5366" width="5.6640625" style="269" customWidth="1"/>
    <col min="5367" max="5367" width="22" style="269" customWidth="1"/>
    <col min="5368" max="5369" width="10.5" style="269" customWidth="1"/>
    <col min="5370" max="5370" width="8.33203125" style="269" customWidth="1"/>
    <col min="5371" max="5371" width="10.5" style="269" customWidth="1"/>
    <col min="5372" max="5372" width="9" style="269" customWidth="1"/>
    <col min="5373" max="5376" width="8.33203125" style="269" customWidth="1"/>
    <col min="5377" max="5377" width="9" style="269" customWidth="1"/>
    <col min="5378" max="5378" width="8.33203125" style="269" customWidth="1"/>
    <col min="5379" max="5379" width="5.5" style="269" customWidth="1"/>
    <col min="5380" max="5380" width="2.83203125" style="269" customWidth="1"/>
    <col min="5381" max="5381" width="2" style="269" customWidth="1"/>
    <col min="5382" max="5382" width="6.5" style="269" customWidth="1"/>
    <col min="5383" max="5383" width="8.5" style="269" customWidth="1"/>
    <col min="5384" max="5619" width="9.33203125" style="269"/>
    <col min="5620" max="5620" width="3" style="269" customWidth="1"/>
    <col min="5621" max="5621" width="5.33203125" style="269" customWidth="1"/>
    <col min="5622" max="5622" width="5.6640625" style="269" customWidth="1"/>
    <col min="5623" max="5623" width="22" style="269" customWidth="1"/>
    <col min="5624" max="5625" width="10.5" style="269" customWidth="1"/>
    <col min="5626" max="5626" width="8.33203125" style="269" customWidth="1"/>
    <col min="5627" max="5627" width="10.5" style="269" customWidth="1"/>
    <col min="5628" max="5628" width="9" style="269" customWidth="1"/>
    <col min="5629" max="5632" width="8.33203125" style="269" customWidth="1"/>
    <col min="5633" max="5633" width="9" style="269" customWidth="1"/>
    <col min="5634" max="5634" width="8.33203125" style="269" customWidth="1"/>
    <col min="5635" max="5635" width="5.5" style="269" customWidth="1"/>
    <col min="5636" max="5636" width="2.83203125" style="269" customWidth="1"/>
    <col min="5637" max="5637" width="2" style="269" customWidth="1"/>
    <col min="5638" max="5638" width="6.5" style="269" customWidth="1"/>
    <col min="5639" max="5639" width="8.5" style="269" customWidth="1"/>
    <col min="5640" max="5875" width="9.33203125" style="269"/>
    <col min="5876" max="5876" width="3" style="269" customWidth="1"/>
    <col min="5877" max="5877" width="5.33203125" style="269" customWidth="1"/>
    <col min="5878" max="5878" width="5.6640625" style="269" customWidth="1"/>
    <col min="5879" max="5879" width="22" style="269" customWidth="1"/>
    <col min="5880" max="5881" width="10.5" style="269" customWidth="1"/>
    <col min="5882" max="5882" width="8.33203125" style="269" customWidth="1"/>
    <col min="5883" max="5883" width="10.5" style="269" customWidth="1"/>
    <col min="5884" max="5884" width="9" style="269" customWidth="1"/>
    <col min="5885" max="5888" width="8.33203125" style="269" customWidth="1"/>
    <col min="5889" max="5889" width="9" style="269" customWidth="1"/>
    <col min="5890" max="5890" width="8.33203125" style="269" customWidth="1"/>
    <col min="5891" max="5891" width="5.5" style="269" customWidth="1"/>
    <col min="5892" max="5892" width="2.83203125" style="269" customWidth="1"/>
    <col min="5893" max="5893" width="2" style="269" customWidth="1"/>
    <col min="5894" max="5894" width="6.5" style="269" customWidth="1"/>
    <col min="5895" max="5895" width="8.5" style="269" customWidth="1"/>
    <col min="5896" max="6131" width="9.33203125" style="269"/>
    <col min="6132" max="6132" width="3" style="269" customWidth="1"/>
    <col min="6133" max="6133" width="5.33203125" style="269" customWidth="1"/>
    <col min="6134" max="6134" width="5.6640625" style="269" customWidth="1"/>
    <col min="6135" max="6135" width="22" style="269" customWidth="1"/>
    <col min="6136" max="6137" width="10.5" style="269" customWidth="1"/>
    <col min="6138" max="6138" width="8.33203125" style="269" customWidth="1"/>
    <col min="6139" max="6139" width="10.5" style="269" customWidth="1"/>
    <col min="6140" max="6140" width="9" style="269" customWidth="1"/>
    <col min="6141" max="6144" width="8.33203125" style="269" customWidth="1"/>
    <col min="6145" max="6145" width="9" style="269" customWidth="1"/>
    <col min="6146" max="6146" width="8.33203125" style="269" customWidth="1"/>
    <col min="6147" max="6147" width="5.5" style="269" customWidth="1"/>
    <col min="6148" max="6148" width="2.83203125" style="269" customWidth="1"/>
    <col min="6149" max="6149" width="2" style="269" customWidth="1"/>
    <col min="6150" max="6150" width="6.5" style="269" customWidth="1"/>
    <col min="6151" max="6151" width="8.5" style="269" customWidth="1"/>
    <col min="6152" max="6387" width="9.33203125" style="269"/>
    <col min="6388" max="6388" width="3" style="269" customWidth="1"/>
    <col min="6389" max="6389" width="5.33203125" style="269" customWidth="1"/>
    <col min="6390" max="6390" width="5.6640625" style="269" customWidth="1"/>
    <col min="6391" max="6391" width="22" style="269" customWidth="1"/>
    <col min="6392" max="6393" width="10.5" style="269" customWidth="1"/>
    <col min="6394" max="6394" width="8.33203125" style="269" customWidth="1"/>
    <col min="6395" max="6395" width="10.5" style="269" customWidth="1"/>
    <col min="6396" max="6396" width="9" style="269" customWidth="1"/>
    <col min="6397" max="6400" width="8.33203125" style="269" customWidth="1"/>
    <col min="6401" max="6401" width="9" style="269" customWidth="1"/>
    <col min="6402" max="6402" width="8.33203125" style="269" customWidth="1"/>
    <col min="6403" max="6403" width="5.5" style="269" customWidth="1"/>
    <col min="6404" max="6404" width="2.83203125" style="269" customWidth="1"/>
    <col min="6405" max="6405" width="2" style="269" customWidth="1"/>
    <col min="6406" max="6406" width="6.5" style="269" customWidth="1"/>
    <col min="6407" max="6407" width="8.5" style="269" customWidth="1"/>
    <col min="6408" max="6643" width="9.33203125" style="269"/>
    <col min="6644" max="6644" width="3" style="269" customWidth="1"/>
    <col min="6645" max="6645" width="5.33203125" style="269" customWidth="1"/>
    <col min="6646" max="6646" width="5.6640625" style="269" customWidth="1"/>
    <col min="6647" max="6647" width="22" style="269" customWidth="1"/>
    <col min="6648" max="6649" width="10.5" style="269" customWidth="1"/>
    <col min="6650" max="6650" width="8.33203125" style="269" customWidth="1"/>
    <col min="6651" max="6651" width="10.5" style="269" customWidth="1"/>
    <col min="6652" max="6652" width="9" style="269" customWidth="1"/>
    <col min="6653" max="6656" width="8.33203125" style="269" customWidth="1"/>
    <col min="6657" max="6657" width="9" style="269" customWidth="1"/>
    <col min="6658" max="6658" width="8.33203125" style="269" customWidth="1"/>
    <col min="6659" max="6659" width="5.5" style="269" customWidth="1"/>
    <col min="6660" max="6660" width="2.83203125" style="269" customWidth="1"/>
    <col min="6661" max="6661" width="2" style="269" customWidth="1"/>
    <col min="6662" max="6662" width="6.5" style="269" customWidth="1"/>
    <col min="6663" max="6663" width="8.5" style="269" customWidth="1"/>
    <col min="6664" max="6899" width="9.33203125" style="269"/>
    <col min="6900" max="6900" width="3" style="269" customWidth="1"/>
    <col min="6901" max="6901" width="5.33203125" style="269" customWidth="1"/>
    <col min="6902" max="6902" width="5.6640625" style="269" customWidth="1"/>
    <col min="6903" max="6903" width="22" style="269" customWidth="1"/>
    <col min="6904" max="6905" width="10.5" style="269" customWidth="1"/>
    <col min="6906" max="6906" width="8.33203125" style="269" customWidth="1"/>
    <col min="6907" max="6907" width="10.5" style="269" customWidth="1"/>
    <col min="6908" max="6908" width="9" style="269" customWidth="1"/>
    <col min="6909" max="6912" width="8.33203125" style="269" customWidth="1"/>
    <col min="6913" max="6913" width="9" style="269" customWidth="1"/>
    <col min="6914" max="6914" width="8.33203125" style="269" customWidth="1"/>
    <col min="6915" max="6915" width="5.5" style="269" customWidth="1"/>
    <col min="6916" max="6916" width="2.83203125" style="269" customWidth="1"/>
    <col min="6917" max="6917" width="2" style="269" customWidth="1"/>
    <col min="6918" max="6918" width="6.5" style="269" customWidth="1"/>
    <col min="6919" max="6919" width="8.5" style="269" customWidth="1"/>
    <col min="6920" max="7155" width="9.33203125" style="269"/>
    <col min="7156" max="7156" width="3" style="269" customWidth="1"/>
    <col min="7157" max="7157" width="5.33203125" style="269" customWidth="1"/>
    <col min="7158" max="7158" width="5.6640625" style="269" customWidth="1"/>
    <col min="7159" max="7159" width="22" style="269" customWidth="1"/>
    <col min="7160" max="7161" width="10.5" style="269" customWidth="1"/>
    <col min="7162" max="7162" width="8.33203125" style="269" customWidth="1"/>
    <col min="7163" max="7163" width="10.5" style="269" customWidth="1"/>
    <col min="7164" max="7164" width="9" style="269" customWidth="1"/>
    <col min="7165" max="7168" width="8.33203125" style="269" customWidth="1"/>
    <col min="7169" max="7169" width="9" style="269" customWidth="1"/>
    <col min="7170" max="7170" width="8.33203125" style="269" customWidth="1"/>
    <col min="7171" max="7171" width="5.5" style="269" customWidth="1"/>
    <col min="7172" max="7172" width="2.83203125" style="269" customWidth="1"/>
    <col min="7173" max="7173" width="2" style="269" customWidth="1"/>
    <col min="7174" max="7174" width="6.5" style="269" customWidth="1"/>
    <col min="7175" max="7175" width="8.5" style="269" customWidth="1"/>
    <col min="7176" max="7411" width="9.33203125" style="269"/>
    <col min="7412" max="7412" width="3" style="269" customWidth="1"/>
    <col min="7413" max="7413" width="5.33203125" style="269" customWidth="1"/>
    <col min="7414" max="7414" width="5.6640625" style="269" customWidth="1"/>
    <col min="7415" max="7415" width="22" style="269" customWidth="1"/>
    <col min="7416" max="7417" width="10.5" style="269" customWidth="1"/>
    <col min="7418" max="7418" width="8.33203125" style="269" customWidth="1"/>
    <col min="7419" max="7419" width="10.5" style="269" customWidth="1"/>
    <col min="7420" max="7420" width="9" style="269" customWidth="1"/>
    <col min="7421" max="7424" width="8.33203125" style="269" customWidth="1"/>
    <col min="7425" max="7425" width="9" style="269" customWidth="1"/>
    <col min="7426" max="7426" width="8.33203125" style="269" customWidth="1"/>
    <col min="7427" max="7427" width="5.5" style="269" customWidth="1"/>
    <col min="7428" max="7428" width="2.83203125" style="269" customWidth="1"/>
    <col min="7429" max="7429" width="2" style="269" customWidth="1"/>
    <col min="7430" max="7430" width="6.5" style="269" customWidth="1"/>
    <col min="7431" max="7431" width="8.5" style="269" customWidth="1"/>
    <col min="7432" max="7667" width="9.33203125" style="269"/>
    <col min="7668" max="7668" width="3" style="269" customWidth="1"/>
    <col min="7669" max="7669" width="5.33203125" style="269" customWidth="1"/>
    <col min="7670" max="7670" width="5.6640625" style="269" customWidth="1"/>
    <col min="7671" max="7671" width="22" style="269" customWidth="1"/>
    <col min="7672" max="7673" width="10.5" style="269" customWidth="1"/>
    <col min="7674" max="7674" width="8.33203125" style="269" customWidth="1"/>
    <col min="7675" max="7675" width="10.5" style="269" customWidth="1"/>
    <col min="7676" max="7676" width="9" style="269" customWidth="1"/>
    <col min="7677" max="7680" width="8.33203125" style="269" customWidth="1"/>
    <col min="7681" max="7681" width="9" style="269" customWidth="1"/>
    <col min="7682" max="7682" width="8.33203125" style="269" customWidth="1"/>
    <col min="7683" max="7683" width="5.5" style="269" customWidth="1"/>
    <col min="7684" max="7684" width="2.83203125" style="269" customWidth="1"/>
    <col min="7685" max="7685" width="2" style="269" customWidth="1"/>
    <col min="7686" max="7686" width="6.5" style="269" customWidth="1"/>
    <col min="7687" max="7687" width="8.5" style="269" customWidth="1"/>
    <col min="7688" max="7923" width="9.33203125" style="269"/>
    <col min="7924" max="7924" width="3" style="269" customWidth="1"/>
    <col min="7925" max="7925" width="5.33203125" style="269" customWidth="1"/>
    <col min="7926" max="7926" width="5.6640625" style="269" customWidth="1"/>
    <col min="7927" max="7927" width="22" style="269" customWidth="1"/>
    <col min="7928" max="7929" width="10.5" style="269" customWidth="1"/>
    <col min="7930" max="7930" width="8.33203125" style="269" customWidth="1"/>
    <col min="7931" max="7931" width="10.5" style="269" customWidth="1"/>
    <col min="7932" max="7932" width="9" style="269" customWidth="1"/>
    <col min="7933" max="7936" width="8.33203125" style="269" customWidth="1"/>
    <col min="7937" max="7937" width="9" style="269" customWidth="1"/>
    <col min="7938" max="7938" width="8.33203125" style="269" customWidth="1"/>
    <col min="7939" max="7939" width="5.5" style="269" customWidth="1"/>
    <col min="7940" max="7940" width="2.83203125" style="269" customWidth="1"/>
    <col min="7941" max="7941" width="2" style="269" customWidth="1"/>
    <col min="7942" max="7942" width="6.5" style="269" customWidth="1"/>
    <col min="7943" max="7943" width="8.5" style="269" customWidth="1"/>
    <col min="7944" max="8179" width="9.33203125" style="269"/>
    <col min="8180" max="8180" width="3" style="269" customWidth="1"/>
    <col min="8181" max="8181" width="5.33203125" style="269" customWidth="1"/>
    <col min="8182" max="8182" width="5.6640625" style="269" customWidth="1"/>
    <col min="8183" max="8183" width="22" style="269" customWidth="1"/>
    <col min="8184" max="8185" width="10.5" style="269" customWidth="1"/>
    <col min="8186" max="8186" width="8.33203125" style="269" customWidth="1"/>
    <col min="8187" max="8187" width="10.5" style="269" customWidth="1"/>
    <col min="8188" max="8188" width="9" style="269" customWidth="1"/>
    <col min="8189" max="8192" width="8.33203125" style="269" customWidth="1"/>
    <col min="8193" max="8193" width="9" style="269" customWidth="1"/>
    <col min="8194" max="8194" width="8.33203125" style="269" customWidth="1"/>
    <col min="8195" max="8195" width="5.5" style="269" customWidth="1"/>
    <col min="8196" max="8196" width="2.83203125" style="269" customWidth="1"/>
    <col min="8197" max="8197" width="2" style="269" customWidth="1"/>
    <col min="8198" max="8198" width="6.5" style="269" customWidth="1"/>
    <col min="8199" max="8199" width="8.5" style="269" customWidth="1"/>
    <col min="8200" max="8435" width="9.33203125" style="269"/>
    <col min="8436" max="8436" width="3" style="269" customWidth="1"/>
    <col min="8437" max="8437" width="5.33203125" style="269" customWidth="1"/>
    <col min="8438" max="8438" width="5.6640625" style="269" customWidth="1"/>
    <col min="8439" max="8439" width="22" style="269" customWidth="1"/>
    <col min="8440" max="8441" width="10.5" style="269" customWidth="1"/>
    <col min="8442" max="8442" width="8.33203125" style="269" customWidth="1"/>
    <col min="8443" max="8443" width="10.5" style="269" customWidth="1"/>
    <col min="8444" max="8444" width="9" style="269" customWidth="1"/>
    <col min="8445" max="8448" width="8.33203125" style="269" customWidth="1"/>
    <col min="8449" max="8449" width="9" style="269" customWidth="1"/>
    <col min="8450" max="8450" width="8.33203125" style="269" customWidth="1"/>
    <col min="8451" max="8451" width="5.5" style="269" customWidth="1"/>
    <col min="8452" max="8452" width="2.83203125" style="269" customWidth="1"/>
    <col min="8453" max="8453" width="2" style="269" customWidth="1"/>
    <col min="8454" max="8454" width="6.5" style="269" customWidth="1"/>
    <col min="8455" max="8455" width="8.5" style="269" customWidth="1"/>
    <col min="8456" max="8691" width="9.33203125" style="269"/>
    <col min="8692" max="8692" width="3" style="269" customWidth="1"/>
    <col min="8693" max="8693" width="5.33203125" style="269" customWidth="1"/>
    <col min="8694" max="8694" width="5.6640625" style="269" customWidth="1"/>
    <col min="8695" max="8695" width="22" style="269" customWidth="1"/>
    <col min="8696" max="8697" width="10.5" style="269" customWidth="1"/>
    <col min="8698" max="8698" width="8.33203125" style="269" customWidth="1"/>
    <col min="8699" max="8699" width="10.5" style="269" customWidth="1"/>
    <col min="8700" max="8700" width="9" style="269" customWidth="1"/>
    <col min="8701" max="8704" width="8.33203125" style="269" customWidth="1"/>
    <col min="8705" max="8705" width="9" style="269" customWidth="1"/>
    <col min="8706" max="8706" width="8.33203125" style="269" customWidth="1"/>
    <col min="8707" max="8707" width="5.5" style="269" customWidth="1"/>
    <col min="8708" max="8708" width="2.83203125" style="269" customWidth="1"/>
    <col min="8709" max="8709" width="2" style="269" customWidth="1"/>
    <col min="8710" max="8710" width="6.5" style="269" customWidth="1"/>
    <col min="8711" max="8711" width="8.5" style="269" customWidth="1"/>
    <col min="8712" max="8947" width="9.33203125" style="269"/>
    <col min="8948" max="8948" width="3" style="269" customWidth="1"/>
    <col min="8949" max="8949" width="5.33203125" style="269" customWidth="1"/>
    <col min="8950" max="8950" width="5.6640625" style="269" customWidth="1"/>
    <col min="8951" max="8951" width="22" style="269" customWidth="1"/>
    <col min="8952" max="8953" width="10.5" style="269" customWidth="1"/>
    <col min="8954" max="8954" width="8.33203125" style="269" customWidth="1"/>
    <col min="8955" max="8955" width="10.5" style="269" customWidth="1"/>
    <col min="8956" max="8956" width="9" style="269" customWidth="1"/>
    <col min="8957" max="8960" width="8.33203125" style="269" customWidth="1"/>
    <col min="8961" max="8961" width="9" style="269" customWidth="1"/>
    <col min="8962" max="8962" width="8.33203125" style="269" customWidth="1"/>
    <col min="8963" max="8963" width="5.5" style="269" customWidth="1"/>
    <col min="8964" max="8964" width="2.83203125" style="269" customWidth="1"/>
    <col min="8965" max="8965" width="2" style="269" customWidth="1"/>
    <col min="8966" max="8966" width="6.5" style="269" customWidth="1"/>
    <col min="8967" max="8967" width="8.5" style="269" customWidth="1"/>
    <col min="8968" max="9203" width="9.33203125" style="269"/>
    <col min="9204" max="9204" width="3" style="269" customWidth="1"/>
    <col min="9205" max="9205" width="5.33203125" style="269" customWidth="1"/>
    <col min="9206" max="9206" width="5.6640625" style="269" customWidth="1"/>
    <col min="9207" max="9207" width="22" style="269" customWidth="1"/>
    <col min="9208" max="9209" width="10.5" style="269" customWidth="1"/>
    <col min="9210" max="9210" width="8.33203125" style="269" customWidth="1"/>
    <col min="9211" max="9211" width="10.5" style="269" customWidth="1"/>
    <col min="9212" max="9212" width="9" style="269" customWidth="1"/>
    <col min="9213" max="9216" width="8.33203125" style="269" customWidth="1"/>
    <col min="9217" max="9217" width="9" style="269" customWidth="1"/>
    <col min="9218" max="9218" width="8.33203125" style="269" customWidth="1"/>
    <col min="9219" max="9219" width="5.5" style="269" customWidth="1"/>
    <col min="9220" max="9220" width="2.83203125" style="269" customWidth="1"/>
    <col min="9221" max="9221" width="2" style="269" customWidth="1"/>
    <col min="9222" max="9222" width="6.5" style="269" customWidth="1"/>
    <col min="9223" max="9223" width="8.5" style="269" customWidth="1"/>
    <col min="9224" max="9459" width="9.33203125" style="269"/>
    <col min="9460" max="9460" width="3" style="269" customWidth="1"/>
    <col min="9461" max="9461" width="5.33203125" style="269" customWidth="1"/>
    <col min="9462" max="9462" width="5.6640625" style="269" customWidth="1"/>
    <col min="9463" max="9463" width="22" style="269" customWidth="1"/>
    <col min="9464" max="9465" width="10.5" style="269" customWidth="1"/>
    <col min="9466" max="9466" width="8.33203125" style="269" customWidth="1"/>
    <col min="9467" max="9467" width="10.5" style="269" customWidth="1"/>
    <col min="9468" max="9468" width="9" style="269" customWidth="1"/>
    <col min="9469" max="9472" width="8.33203125" style="269" customWidth="1"/>
    <col min="9473" max="9473" width="9" style="269" customWidth="1"/>
    <col min="9474" max="9474" width="8.33203125" style="269" customWidth="1"/>
    <col min="9475" max="9475" width="5.5" style="269" customWidth="1"/>
    <col min="9476" max="9476" width="2.83203125" style="269" customWidth="1"/>
    <col min="9477" max="9477" width="2" style="269" customWidth="1"/>
    <col min="9478" max="9478" width="6.5" style="269" customWidth="1"/>
    <col min="9479" max="9479" width="8.5" style="269" customWidth="1"/>
    <col min="9480" max="9715" width="9.33203125" style="269"/>
    <col min="9716" max="9716" width="3" style="269" customWidth="1"/>
    <col min="9717" max="9717" width="5.33203125" style="269" customWidth="1"/>
    <col min="9718" max="9718" width="5.6640625" style="269" customWidth="1"/>
    <col min="9719" max="9719" width="22" style="269" customWidth="1"/>
    <col min="9720" max="9721" width="10.5" style="269" customWidth="1"/>
    <col min="9722" max="9722" width="8.33203125" style="269" customWidth="1"/>
    <col min="9723" max="9723" width="10.5" style="269" customWidth="1"/>
    <col min="9724" max="9724" width="9" style="269" customWidth="1"/>
    <col min="9725" max="9728" width="8.33203125" style="269" customWidth="1"/>
    <col min="9729" max="9729" width="9" style="269" customWidth="1"/>
    <col min="9730" max="9730" width="8.33203125" style="269" customWidth="1"/>
    <col min="9731" max="9731" width="5.5" style="269" customWidth="1"/>
    <col min="9732" max="9732" width="2.83203125" style="269" customWidth="1"/>
    <col min="9733" max="9733" width="2" style="269" customWidth="1"/>
    <col min="9734" max="9734" width="6.5" style="269" customWidth="1"/>
    <col min="9735" max="9735" width="8.5" style="269" customWidth="1"/>
    <col min="9736" max="9971" width="9.33203125" style="269"/>
    <col min="9972" max="9972" width="3" style="269" customWidth="1"/>
    <col min="9973" max="9973" width="5.33203125" style="269" customWidth="1"/>
    <col min="9974" max="9974" width="5.6640625" style="269" customWidth="1"/>
    <col min="9975" max="9975" width="22" style="269" customWidth="1"/>
    <col min="9976" max="9977" width="10.5" style="269" customWidth="1"/>
    <col min="9978" max="9978" width="8.33203125" style="269" customWidth="1"/>
    <col min="9979" max="9979" width="10.5" style="269" customWidth="1"/>
    <col min="9980" max="9980" width="9" style="269" customWidth="1"/>
    <col min="9981" max="9984" width="8.33203125" style="269" customWidth="1"/>
    <col min="9985" max="9985" width="9" style="269" customWidth="1"/>
    <col min="9986" max="9986" width="8.33203125" style="269" customWidth="1"/>
    <col min="9987" max="9987" width="5.5" style="269" customWidth="1"/>
    <col min="9988" max="9988" width="2.83203125" style="269" customWidth="1"/>
    <col min="9989" max="9989" width="2" style="269" customWidth="1"/>
    <col min="9990" max="9990" width="6.5" style="269" customWidth="1"/>
    <col min="9991" max="9991" width="8.5" style="269" customWidth="1"/>
    <col min="9992" max="10227" width="9.33203125" style="269"/>
    <col min="10228" max="10228" width="3" style="269" customWidth="1"/>
    <col min="10229" max="10229" width="5.33203125" style="269" customWidth="1"/>
    <col min="10230" max="10230" width="5.6640625" style="269" customWidth="1"/>
    <col min="10231" max="10231" width="22" style="269" customWidth="1"/>
    <col min="10232" max="10233" width="10.5" style="269" customWidth="1"/>
    <col min="10234" max="10234" width="8.33203125" style="269" customWidth="1"/>
    <col min="10235" max="10235" width="10.5" style="269" customWidth="1"/>
    <col min="10236" max="10236" width="9" style="269" customWidth="1"/>
    <col min="10237" max="10240" width="8.33203125" style="269" customWidth="1"/>
    <col min="10241" max="10241" width="9" style="269" customWidth="1"/>
    <col min="10242" max="10242" width="8.33203125" style="269" customWidth="1"/>
    <col min="10243" max="10243" width="5.5" style="269" customWidth="1"/>
    <col min="10244" max="10244" width="2.83203125" style="269" customWidth="1"/>
    <col min="10245" max="10245" width="2" style="269" customWidth="1"/>
    <col min="10246" max="10246" width="6.5" style="269" customWidth="1"/>
    <col min="10247" max="10247" width="8.5" style="269" customWidth="1"/>
    <col min="10248" max="10483" width="9.33203125" style="269"/>
    <col min="10484" max="10484" width="3" style="269" customWidth="1"/>
    <col min="10485" max="10485" width="5.33203125" style="269" customWidth="1"/>
    <col min="10486" max="10486" width="5.6640625" style="269" customWidth="1"/>
    <col min="10487" max="10487" width="22" style="269" customWidth="1"/>
    <col min="10488" max="10489" width="10.5" style="269" customWidth="1"/>
    <col min="10490" max="10490" width="8.33203125" style="269" customWidth="1"/>
    <col min="10491" max="10491" width="10.5" style="269" customWidth="1"/>
    <col min="10492" max="10492" width="9" style="269" customWidth="1"/>
    <col min="10493" max="10496" width="8.33203125" style="269" customWidth="1"/>
    <col min="10497" max="10497" width="9" style="269" customWidth="1"/>
    <col min="10498" max="10498" width="8.33203125" style="269" customWidth="1"/>
    <col min="10499" max="10499" width="5.5" style="269" customWidth="1"/>
    <col min="10500" max="10500" width="2.83203125" style="269" customWidth="1"/>
    <col min="10501" max="10501" width="2" style="269" customWidth="1"/>
    <col min="10502" max="10502" width="6.5" style="269" customWidth="1"/>
    <col min="10503" max="10503" width="8.5" style="269" customWidth="1"/>
    <col min="10504" max="10739" width="9.33203125" style="269"/>
    <col min="10740" max="10740" width="3" style="269" customWidth="1"/>
    <col min="10741" max="10741" width="5.33203125" style="269" customWidth="1"/>
    <col min="10742" max="10742" width="5.6640625" style="269" customWidth="1"/>
    <col min="10743" max="10743" width="22" style="269" customWidth="1"/>
    <col min="10744" max="10745" width="10.5" style="269" customWidth="1"/>
    <col min="10746" max="10746" width="8.33203125" style="269" customWidth="1"/>
    <col min="10747" max="10747" width="10.5" style="269" customWidth="1"/>
    <col min="10748" max="10748" width="9" style="269" customWidth="1"/>
    <col min="10749" max="10752" width="8.33203125" style="269" customWidth="1"/>
    <col min="10753" max="10753" width="9" style="269" customWidth="1"/>
    <col min="10754" max="10754" width="8.33203125" style="269" customWidth="1"/>
    <col min="10755" max="10755" width="5.5" style="269" customWidth="1"/>
    <col min="10756" max="10756" width="2.83203125" style="269" customWidth="1"/>
    <col min="10757" max="10757" width="2" style="269" customWidth="1"/>
    <col min="10758" max="10758" width="6.5" style="269" customWidth="1"/>
    <col min="10759" max="10759" width="8.5" style="269" customWidth="1"/>
    <col min="10760" max="10995" width="9.33203125" style="269"/>
    <col min="10996" max="10996" width="3" style="269" customWidth="1"/>
    <col min="10997" max="10997" width="5.33203125" style="269" customWidth="1"/>
    <col min="10998" max="10998" width="5.6640625" style="269" customWidth="1"/>
    <col min="10999" max="10999" width="22" style="269" customWidth="1"/>
    <col min="11000" max="11001" width="10.5" style="269" customWidth="1"/>
    <col min="11002" max="11002" width="8.33203125" style="269" customWidth="1"/>
    <col min="11003" max="11003" width="10.5" style="269" customWidth="1"/>
    <col min="11004" max="11004" width="9" style="269" customWidth="1"/>
    <col min="11005" max="11008" width="8.33203125" style="269" customWidth="1"/>
    <col min="11009" max="11009" width="9" style="269" customWidth="1"/>
    <col min="11010" max="11010" width="8.33203125" style="269" customWidth="1"/>
    <col min="11011" max="11011" width="5.5" style="269" customWidth="1"/>
    <col min="11012" max="11012" width="2.83203125" style="269" customWidth="1"/>
    <col min="11013" max="11013" width="2" style="269" customWidth="1"/>
    <col min="11014" max="11014" width="6.5" style="269" customWidth="1"/>
    <col min="11015" max="11015" width="8.5" style="269" customWidth="1"/>
    <col min="11016" max="11251" width="9.33203125" style="269"/>
    <col min="11252" max="11252" width="3" style="269" customWidth="1"/>
    <col min="11253" max="11253" width="5.33203125" style="269" customWidth="1"/>
    <col min="11254" max="11254" width="5.6640625" style="269" customWidth="1"/>
    <col min="11255" max="11255" width="22" style="269" customWidth="1"/>
    <col min="11256" max="11257" width="10.5" style="269" customWidth="1"/>
    <col min="11258" max="11258" width="8.33203125" style="269" customWidth="1"/>
    <col min="11259" max="11259" width="10.5" style="269" customWidth="1"/>
    <col min="11260" max="11260" width="9" style="269" customWidth="1"/>
    <col min="11261" max="11264" width="8.33203125" style="269" customWidth="1"/>
    <col min="11265" max="11265" width="9" style="269" customWidth="1"/>
    <col min="11266" max="11266" width="8.33203125" style="269" customWidth="1"/>
    <col min="11267" max="11267" width="5.5" style="269" customWidth="1"/>
    <col min="11268" max="11268" width="2.83203125" style="269" customWidth="1"/>
    <col min="11269" max="11269" width="2" style="269" customWidth="1"/>
    <col min="11270" max="11270" width="6.5" style="269" customWidth="1"/>
    <col min="11271" max="11271" width="8.5" style="269" customWidth="1"/>
    <col min="11272" max="11507" width="9.33203125" style="269"/>
    <col min="11508" max="11508" width="3" style="269" customWidth="1"/>
    <col min="11509" max="11509" width="5.33203125" style="269" customWidth="1"/>
    <col min="11510" max="11510" width="5.6640625" style="269" customWidth="1"/>
    <col min="11511" max="11511" width="22" style="269" customWidth="1"/>
    <col min="11512" max="11513" width="10.5" style="269" customWidth="1"/>
    <col min="11514" max="11514" width="8.33203125" style="269" customWidth="1"/>
    <col min="11515" max="11515" width="10.5" style="269" customWidth="1"/>
    <col min="11516" max="11516" width="9" style="269" customWidth="1"/>
    <col min="11517" max="11520" width="8.33203125" style="269" customWidth="1"/>
    <col min="11521" max="11521" width="9" style="269" customWidth="1"/>
    <col min="11522" max="11522" width="8.33203125" style="269" customWidth="1"/>
    <col min="11523" max="11523" width="5.5" style="269" customWidth="1"/>
    <col min="11524" max="11524" width="2.83203125" style="269" customWidth="1"/>
    <col min="11525" max="11525" width="2" style="269" customWidth="1"/>
    <col min="11526" max="11526" width="6.5" style="269" customWidth="1"/>
    <col min="11527" max="11527" width="8.5" style="269" customWidth="1"/>
    <col min="11528" max="11763" width="9.33203125" style="269"/>
    <col min="11764" max="11764" width="3" style="269" customWidth="1"/>
    <col min="11765" max="11765" width="5.33203125" style="269" customWidth="1"/>
    <col min="11766" max="11766" width="5.6640625" style="269" customWidth="1"/>
    <col min="11767" max="11767" width="22" style="269" customWidth="1"/>
    <col min="11768" max="11769" width="10.5" style="269" customWidth="1"/>
    <col min="11770" max="11770" width="8.33203125" style="269" customWidth="1"/>
    <col min="11771" max="11771" width="10.5" style="269" customWidth="1"/>
    <col min="11772" max="11772" width="9" style="269" customWidth="1"/>
    <col min="11773" max="11776" width="8.33203125" style="269" customWidth="1"/>
    <col min="11777" max="11777" width="9" style="269" customWidth="1"/>
    <col min="11778" max="11778" width="8.33203125" style="269" customWidth="1"/>
    <col min="11779" max="11779" width="5.5" style="269" customWidth="1"/>
    <col min="11780" max="11780" width="2.83203125" style="269" customWidth="1"/>
    <col min="11781" max="11781" width="2" style="269" customWidth="1"/>
    <col min="11782" max="11782" width="6.5" style="269" customWidth="1"/>
    <col min="11783" max="11783" width="8.5" style="269" customWidth="1"/>
    <col min="11784" max="12019" width="9.33203125" style="269"/>
    <col min="12020" max="12020" width="3" style="269" customWidth="1"/>
    <col min="12021" max="12021" width="5.33203125" style="269" customWidth="1"/>
    <col min="12022" max="12022" width="5.6640625" style="269" customWidth="1"/>
    <col min="12023" max="12023" width="22" style="269" customWidth="1"/>
    <col min="12024" max="12025" width="10.5" style="269" customWidth="1"/>
    <col min="12026" max="12026" width="8.33203125" style="269" customWidth="1"/>
    <col min="12027" max="12027" width="10.5" style="269" customWidth="1"/>
    <col min="12028" max="12028" width="9" style="269" customWidth="1"/>
    <col min="12029" max="12032" width="8.33203125" style="269" customWidth="1"/>
    <col min="12033" max="12033" width="9" style="269" customWidth="1"/>
    <col min="12034" max="12034" width="8.33203125" style="269" customWidth="1"/>
    <col min="12035" max="12035" width="5.5" style="269" customWidth="1"/>
    <col min="12036" max="12036" width="2.83203125" style="269" customWidth="1"/>
    <col min="12037" max="12037" width="2" style="269" customWidth="1"/>
    <col min="12038" max="12038" width="6.5" style="269" customWidth="1"/>
    <col min="12039" max="12039" width="8.5" style="269" customWidth="1"/>
    <col min="12040" max="12275" width="9.33203125" style="269"/>
    <col min="12276" max="12276" width="3" style="269" customWidth="1"/>
    <col min="12277" max="12277" width="5.33203125" style="269" customWidth="1"/>
    <col min="12278" max="12278" width="5.6640625" style="269" customWidth="1"/>
    <col min="12279" max="12279" width="22" style="269" customWidth="1"/>
    <col min="12280" max="12281" width="10.5" style="269" customWidth="1"/>
    <col min="12282" max="12282" width="8.33203125" style="269" customWidth="1"/>
    <col min="12283" max="12283" width="10.5" style="269" customWidth="1"/>
    <col min="12284" max="12284" width="9" style="269" customWidth="1"/>
    <col min="12285" max="12288" width="8.33203125" style="269" customWidth="1"/>
    <col min="12289" max="12289" width="9" style="269" customWidth="1"/>
    <col min="12290" max="12290" width="8.33203125" style="269" customWidth="1"/>
    <col min="12291" max="12291" width="5.5" style="269" customWidth="1"/>
    <col min="12292" max="12292" width="2.83203125" style="269" customWidth="1"/>
    <col min="12293" max="12293" width="2" style="269" customWidth="1"/>
    <col min="12294" max="12294" width="6.5" style="269" customWidth="1"/>
    <col min="12295" max="12295" width="8.5" style="269" customWidth="1"/>
    <col min="12296" max="12531" width="9.33203125" style="269"/>
    <col min="12532" max="12532" width="3" style="269" customWidth="1"/>
    <col min="12533" max="12533" width="5.33203125" style="269" customWidth="1"/>
    <col min="12534" max="12534" width="5.6640625" style="269" customWidth="1"/>
    <col min="12535" max="12535" width="22" style="269" customWidth="1"/>
    <col min="12536" max="12537" width="10.5" style="269" customWidth="1"/>
    <col min="12538" max="12538" width="8.33203125" style="269" customWidth="1"/>
    <col min="12539" max="12539" width="10.5" style="269" customWidth="1"/>
    <col min="12540" max="12540" width="9" style="269" customWidth="1"/>
    <col min="12541" max="12544" width="8.33203125" style="269" customWidth="1"/>
    <col min="12545" max="12545" width="9" style="269" customWidth="1"/>
    <col min="12546" max="12546" width="8.33203125" style="269" customWidth="1"/>
    <col min="12547" max="12547" width="5.5" style="269" customWidth="1"/>
    <col min="12548" max="12548" width="2.83203125" style="269" customWidth="1"/>
    <col min="12549" max="12549" width="2" style="269" customWidth="1"/>
    <col min="12550" max="12550" width="6.5" style="269" customWidth="1"/>
    <col min="12551" max="12551" width="8.5" style="269" customWidth="1"/>
    <col min="12552" max="12787" width="9.33203125" style="269"/>
    <col min="12788" max="12788" width="3" style="269" customWidth="1"/>
    <col min="12789" max="12789" width="5.33203125" style="269" customWidth="1"/>
    <col min="12790" max="12790" width="5.6640625" style="269" customWidth="1"/>
    <col min="12791" max="12791" width="22" style="269" customWidth="1"/>
    <col min="12792" max="12793" width="10.5" style="269" customWidth="1"/>
    <col min="12794" max="12794" width="8.33203125" style="269" customWidth="1"/>
    <col min="12795" max="12795" width="10.5" style="269" customWidth="1"/>
    <col min="12796" max="12796" width="9" style="269" customWidth="1"/>
    <col min="12797" max="12800" width="8.33203125" style="269" customWidth="1"/>
    <col min="12801" max="12801" width="9" style="269" customWidth="1"/>
    <col min="12802" max="12802" width="8.33203125" style="269" customWidth="1"/>
    <col min="12803" max="12803" width="5.5" style="269" customWidth="1"/>
    <col min="12804" max="12804" width="2.83203125" style="269" customWidth="1"/>
    <col min="12805" max="12805" width="2" style="269" customWidth="1"/>
    <col min="12806" max="12806" width="6.5" style="269" customWidth="1"/>
    <col min="12807" max="12807" width="8.5" style="269" customWidth="1"/>
    <col min="12808" max="13043" width="9.33203125" style="269"/>
    <col min="13044" max="13044" width="3" style="269" customWidth="1"/>
    <col min="13045" max="13045" width="5.33203125" style="269" customWidth="1"/>
    <col min="13046" max="13046" width="5.6640625" style="269" customWidth="1"/>
    <col min="13047" max="13047" width="22" style="269" customWidth="1"/>
    <col min="13048" max="13049" width="10.5" style="269" customWidth="1"/>
    <col min="13050" max="13050" width="8.33203125" style="269" customWidth="1"/>
    <col min="13051" max="13051" width="10.5" style="269" customWidth="1"/>
    <col min="13052" max="13052" width="9" style="269" customWidth="1"/>
    <col min="13053" max="13056" width="8.33203125" style="269" customWidth="1"/>
    <col min="13057" max="13057" width="9" style="269" customWidth="1"/>
    <col min="13058" max="13058" width="8.33203125" style="269" customWidth="1"/>
    <col min="13059" max="13059" width="5.5" style="269" customWidth="1"/>
    <col min="13060" max="13060" width="2.83203125" style="269" customWidth="1"/>
    <col min="13061" max="13061" width="2" style="269" customWidth="1"/>
    <col min="13062" max="13062" width="6.5" style="269" customWidth="1"/>
    <col min="13063" max="13063" width="8.5" style="269" customWidth="1"/>
    <col min="13064" max="13299" width="9.33203125" style="269"/>
    <col min="13300" max="13300" width="3" style="269" customWidth="1"/>
    <col min="13301" max="13301" width="5.33203125" style="269" customWidth="1"/>
    <col min="13302" max="13302" width="5.6640625" style="269" customWidth="1"/>
    <col min="13303" max="13303" width="22" style="269" customWidth="1"/>
    <col min="13304" max="13305" width="10.5" style="269" customWidth="1"/>
    <col min="13306" max="13306" width="8.33203125" style="269" customWidth="1"/>
    <col min="13307" max="13307" width="10.5" style="269" customWidth="1"/>
    <col min="13308" max="13308" width="9" style="269" customWidth="1"/>
    <col min="13309" max="13312" width="8.33203125" style="269" customWidth="1"/>
    <col min="13313" max="13313" width="9" style="269" customWidth="1"/>
    <col min="13314" max="13314" width="8.33203125" style="269" customWidth="1"/>
    <col min="13315" max="13315" width="5.5" style="269" customWidth="1"/>
    <col min="13316" max="13316" width="2.83203125" style="269" customWidth="1"/>
    <col min="13317" max="13317" width="2" style="269" customWidth="1"/>
    <col min="13318" max="13318" width="6.5" style="269" customWidth="1"/>
    <col min="13319" max="13319" width="8.5" style="269" customWidth="1"/>
    <col min="13320" max="13555" width="9.33203125" style="269"/>
    <col min="13556" max="13556" width="3" style="269" customWidth="1"/>
    <col min="13557" max="13557" width="5.33203125" style="269" customWidth="1"/>
    <col min="13558" max="13558" width="5.6640625" style="269" customWidth="1"/>
    <col min="13559" max="13559" width="22" style="269" customWidth="1"/>
    <col min="13560" max="13561" width="10.5" style="269" customWidth="1"/>
    <col min="13562" max="13562" width="8.33203125" style="269" customWidth="1"/>
    <col min="13563" max="13563" width="10.5" style="269" customWidth="1"/>
    <col min="13564" max="13564" width="9" style="269" customWidth="1"/>
    <col min="13565" max="13568" width="8.33203125" style="269" customWidth="1"/>
    <col min="13569" max="13569" width="9" style="269" customWidth="1"/>
    <col min="13570" max="13570" width="8.33203125" style="269" customWidth="1"/>
    <col min="13571" max="13571" width="5.5" style="269" customWidth="1"/>
    <col min="13572" max="13572" width="2.83203125" style="269" customWidth="1"/>
    <col min="13573" max="13573" width="2" style="269" customWidth="1"/>
    <col min="13574" max="13574" width="6.5" style="269" customWidth="1"/>
    <col min="13575" max="13575" width="8.5" style="269" customWidth="1"/>
    <col min="13576" max="13811" width="9.33203125" style="269"/>
    <col min="13812" max="13812" width="3" style="269" customWidth="1"/>
    <col min="13813" max="13813" width="5.33203125" style="269" customWidth="1"/>
    <col min="13814" max="13814" width="5.6640625" style="269" customWidth="1"/>
    <col min="13815" max="13815" width="22" style="269" customWidth="1"/>
    <col min="13816" max="13817" width="10.5" style="269" customWidth="1"/>
    <col min="13818" max="13818" width="8.33203125" style="269" customWidth="1"/>
    <col min="13819" max="13819" width="10.5" style="269" customWidth="1"/>
    <col min="13820" max="13820" width="9" style="269" customWidth="1"/>
    <col min="13821" max="13824" width="8.33203125" style="269" customWidth="1"/>
    <col min="13825" max="13825" width="9" style="269" customWidth="1"/>
    <col min="13826" max="13826" width="8.33203125" style="269" customWidth="1"/>
    <col min="13827" max="13827" width="5.5" style="269" customWidth="1"/>
    <col min="13828" max="13828" width="2.83203125" style="269" customWidth="1"/>
    <col min="13829" max="13829" width="2" style="269" customWidth="1"/>
    <col min="13830" max="13830" width="6.5" style="269" customWidth="1"/>
    <col min="13831" max="13831" width="8.5" style="269" customWidth="1"/>
    <col min="13832" max="14067" width="9.33203125" style="269"/>
    <col min="14068" max="14068" width="3" style="269" customWidth="1"/>
    <col min="14069" max="14069" width="5.33203125" style="269" customWidth="1"/>
    <col min="14070" max="14070" width="5.6640625" style="269" customWidth="1"/>
    <col min="14071" max="14071" width="22" style="269" customWidth="1"/>
    <col min="14072" max="14073" width="10.5" style="269" customWidth="1"/>
    <col min="14074" max="14074" width="8.33203125" style="269" customWidth="1"/>
    <col min="14075" max="14075" width="10.5" style="269" customWidth="1"/>
    <col min="14076" max="14076" width="9" style="269" customWidth="1"/>
    <col min="14077" max="14080" width="8.33203125" style="269" customWidth="1"/>
    <col min="14081" max="14081" width="9" style="269" customWidth="1"/>
    <col min="14082" max="14082" width="8.33203125" style="269" customWidth="1"/>
    <col min="14083" max="14083" width="5.5" style="269" customWidth="1"/>
    <col min="14084" max="14084" width="2.83203125" style="269" customWidth="1"/>
    <col min="14085" max="14085" width="2" style="269" customWidth="1"/>
    <col min="14086" max="14086" width="6.5" style="269" customWidth="1"/>
    <col min="14087" max="14087" width="8.5" style="269" customWidth="1"/>
    <col min="14088" max="14323" width="9.33203125" style="269"/>
    <col min="14324" max="14324" width="3" style="269" customWidth="1"/>
    <col min="14325" max="14325" width="5.33203125" style="269" customWidth="1"/>
    <col min="14326" max="14326" width="5.6640625" style="269" customWidth="1"/>
    <col min="14327" max="14327" width="22" style="269" customWidth="1"/>
    <col min="14328" max="14329" width="10.5" style="269" customWidth="1"/>
    <col min="14330" max="14330" width="8.33203125" style="269" customWidth="1"/>
    <col min="14331" max="14331" width="10.5" style="269" customWidth="1"/>
    <col min="14332" max="14332" width="9" style="269" customWidth="1"/>
    <col min="14333" max="14336" width="8.33203125" style="269" customWidth="1"/>
    <col min="14337" max="14337" width="9" style="269" customWidth="1"/>
    <col min="14338" max="14338" width="8.33203125" style="269" customWidth="1"/>
    <col min="14339" max="14339" width="5.5" style="269" customWidth="1"/>
    <col min="14340" max="14340" width="2.83203125" style="269" customWidth="1"/>
    <col min="14341" max="14341" width="2" style="269" customWidth="1"/>
    <col min="14342" max="14342" width="6.5" style="269" customWidth="1"/>
    <col min="14343" max="14343" width="8.5" style="269" customWidth="1"/>
    <col min="14344" max="14579" width="9.33203125" style="269"/>
    <col min="14580" max="14580" width="3" style="269" customWidth="1"/>
    <col min="14581" max="14581" width="5.33203125" style="269" customWidth="1"/>
    <col min="14582" max="14582" width="5.6640625" style="269" customWidth="1"/>
    <col min="14583" max="14583" width="22" style="269" customWidth="1"/>
    <col min="14584" max="14585" width="10.5" style="269" customWidth="1"/>
    <col min="14586" max="14586" width="8.33203125" style="269" customWidth="1"/>
    <col min="14587" max="14587" width="10.5" style="269" customWidth="1"/>
    <col min="14588" max="14588" width="9" style="269" customWidth="1"/>
    <col min="14589" max="14592" width="8.33203125" style="269" customWidth="1"/>
    <col min="14593" max="14593" width="9" style="269" customWidth="1"/>
    <col min="14594" max="14594" width="8.33203125" style="269" customWidth="1"/>
    <col min="14595" max="14595" width="5.5" style="269" customWidth="1"/>
    <col min="14596" max="14596" width="2.83203125" style="269" customWidth="1"/>
    <col min="14597" max="14597" width="2" style="269" customWidth="1"/>
    <col min="14598" max="14598" width="6.5" style="269" customWidth="1"/>
    <col min="14599" max="14599" width="8.5" style="269" customWidth="1"/>
    <col min="14600" max="14835" width="9.33203125" style="269"/>
    <col min="14836" max="14836" width="3" style="269" customWidth="1"/>
    <col min="14837" max="14837" width="5.33203125" style="269" customWidth="1"/>
    <col min="14838" max="14838" width="5.6640625" style="269" customWidth="1"/>
    <col min="14839" max="14839" width="22" style="269" customWidth="1"/>
    <col min="14840" max="14841" width="10.5" style="269" customWidth="1"/>
    <col min="14842" max="14842" width="8.33203125" style="269" customWidth="1"/>
    <col min="14843" max="14843" width="10.5" style="269" customWidth="1"/>
    <col min="14844" max="14844" width="9" style="269" customWidth="1"/>
    <col min="14845" max="14848" width="8.33203125" style="269" customWidth="1"/>
    <col min="14849" max="14849" width="9" style="269" customWidth="1"/>
    <col min="14850" max="14850" width="8.33203125" style="269" customWidth="1"/>
    <col min="14851" max="14851" width="5.5" style="269" customWidth="1"/>
    <col min="14852" max="14852" width="2.83203125" style="269" customWidth="1"/>
    <col min="14853" max="14853" width="2" style="269" customWidth="1"/>
    <col min="14854" max="14854" width="6.5" style="269" customWidth="1"/>
    <col min="14855" max="14855" width="8.5" style="269" customWidth="1"/>
    <col min="14856" max="15091" width="9.33203125" style="269"/>
    <col min="15092" max="15092" width="3" style="269" customWidth="1"/>
    <col min="15093" max="15093" width="5.33203125" style="269" customWidth="1"/>
    <col min="15094" max="15094" width="5.6640625" style="269" customWidth="1"/>
    <col min="15095" max="15095" width="22" style="269" customWidth="1"/>
    <col min="15096" max="15097" width="10.5" style="269" customWidth="1"/>
    <col min="15098" max="15098" width="8.33203125" style="269" customWidth="1"/>
    <col min="15099" max="15099" width="10.5" style="269" customWidth="1"/>
    <col min="15100" max="15100" width="9" style="269" customWidth="1"/>
    <col min="15101" max="15104" width="8.33203125" style="269" customWidth="1"/>
    <col min="15105" max="15105" width="9" style="269" customWidth="1"/>
    <col min="15106" max="15106" width="8.33203125" style="269" customWidth="1"/>
    <col min="15107" max="15107" width="5.5" style="269" customWidth="1"/>
    <col min="15108" max="15108" width="2.83203125" style="269" customWidth="1"/>
    <col min="15109" max="15109" width="2" style="269" customWidth="1"/>
    <col min="15110" max="15110" width="6.5" style="269" customWidth="1"/>
    <col min="15111" max="15111" width="8.5" style="269" customWidth="1"/>
    <col min="15112" max="15347" width="9.33203125" style="269"/>
    <col min="15348" max="15348" width="3" style="269" customWidth="1"/>
    <col min="15349" max="15349" width="5.33203125" style="269" customWidth="1"/>
    <col min="15350" max="15350" width="5.6640625" style="269" customWidth="1"/>
    <col min="15351" max="15351" width="22" style="269" customWidth="1"/>
    <col min="15352" max="15353" width="10.5" style="269" customWidth="1"/>
    <col min="15354" max="15354" width="8.33203125" style="269" customWidth="1"/>
    <col min="15355" max="15355" width="10.5" style="269" customWidth="1"/>
    <col min="15356" max="15356" width="9" style="269" customWidth="1"/>
    <col min="15357" max="15360" width="8.33203125" style="269" customWidth="1"/>
    <col min="15361" max="15361" width="9" style="269" customWidth="1"/>
    <col min="15362" max="15362" width="8.33203125" style="269" customWidth="1"/>
    <col min="15363" max="15363" width="5.5" style="269" customWidth="1"/>
    <col min="15364" max="15364" width="2.83203125" style="269" customWidth="1"/>
    <col min="15365" max="15365" width="2" style="269" customWidth="1"/>
    <col min="15366" max="15366" width="6.5" style="269" customWidth="1"/>
    <col min="15367" max="15367" width="8.5" style="269" customWidth="1"/>
    <col min="15368" max="15603" width="9.33203125" style="269"/>
    <col min="15604" max="15604" width="3" style="269" customWidth="1"/>
    <col min="15605" max="15605" width="5.33203125" style="269" customWidth="1"/>
    <col min="15606" max="15606" width="5.6640625" style="269" customWidth="1"/>
    <col min="15607" max="15607" width="22" style="269" customWidth="1"/>
    <col min="15608" max="15609" width="10.5" style="269" customWidth="1"/>
    <col min="15610" max="15610" width="8.33203125" style="269" customWidth="1"/>
    <col min="15611" max="15611" width="10.5" style="269" customWidth="1"/>
    <col min="15612" max="15612" width="9" style="269" customWidth="1"/>
    <col min="15613" max="15616" width="8.33203125" style="269" customWidth="1"/>
    <col min="15617" max="15617" width="9" style="269" customWidth="1"/>
    <col min="15618" max="15618" width="8.33203125" style="269" customWidth="1"/>
    <col min="15619" max="15619" width="5.5" style="269" customWidth="1"/>
    <col min="15620" max="15620" width="2.83203125" style="269" customWidth="1"/>
    <col min="15621" max="15621" width="2" style="269" customWidth="1"/>
    <col min="15622" max="15622" width="6.5" style="269" customWidth="1"/>
    <col min="15623" max="15623" width="8.5" style="269" customWidth="1"/>
    <col min="15624" max="15859" width="9.33203125" style="269"/>
    <col min="15860" max="15860" width="3" style="269" customWidth="1"/>
    <col min="15861" max="15861" width="5.33203125" style="269" customWidth="1"/>
    <col min="15862" max="15862" width="5.6640625" style="269" customWidth="1"/>
    <col min="15863" max="15863" width="22" style="269" customWidth="1"/>
    <col min="15864" max="15865" width="10.5" style="269" customWidth="1"/>
    <col min="15866" max="15866" width="8.33203125" style="269" customWidth="1"/>
    <col min="15867" max="15867" width="10.5" style="269" customWidth="1"/>
    <col min="15868" max="15868" width="9" style="269" customWidth="1"/>
    <col min="15869" max="15872" width="8.33203125" style="269" customWidth="1"/>
    <col min="15873" max="15873" width="9" style="269" customWidth="1"/>
    <col min="15874" max="15874" width="8.33203125" style="269" customWidth="1"/>
    <col min="15875" max="15875" width="5.5" style="269" customWidth="1"/>
    <col min="15876" max="15876" width="2.83203125" style="269" customWidth="1"/>
    <col min="15877" max="15877" width="2" style="269" customWidth="1"/>
    <col min="15878" max="15878" width="6.5" style="269" customWidth="1"/>
    <col min="15879" max="15879" width="8.5" style="269" customWidth="1"/>
    <col min="15880" max="16115" width="9.33203125" style="269"/>
    <col min="16116" max="16116" width="3" style="269" customWidth="1"/>
    <col min="16117" max="16117" width="5.33203125" style="269" customWidth="1"/>
    <col min="16118" max="16118" width="5.6640625" style="269" customWidth="1"/>
    <col min="16119" max="16119" width="22" style="269" customWidth="1"/>
    <col min="16120" max="16121" width="10.5" style="269" customWidth="1"/>
    <col min="16122" max="16122" width="8.33203125" style="269" customWidth="1"/>
    <col min="16123" max="16123" width="10.5" style="269" customWidth="1"/>
    <col min="16124" max="16124" width="9" style="269" customWidth="1"/>
    <col min="16125" max="16128" width="8.33203125" style="269" customWidth="1"/>
    <col min="16129" max="16129" width="9" style="269" customWidth="1"/>
    <col min="16130" max="16130" width="8.33203125" style="269" customWidth="1"/>
    <col min="16131" max="16131" width="5.5" style="269" customWidth="1"/>
    <col min="16132" max="16132" width="2.83203125" style="269" customWidth="1"/>
    <col min="16133" max="16133" width="2" style="269" customWidth="1"/>
    <col min="16134" max="16134" width="6.5" style="269" customWidth="1"/>
    <col min="16135" max="16135" width="8.5" style="269" customWidth="1"/>
    <col min="16136" max="16384" width="9.33203125" style="269"/>
  </cols>
  <sheetData>
    <row r="1" spans="2:7">
      <c r="B1" s="270" t="s">
        <v>111</v>
      </c>
      <c r="C1" s="270"/>
      <c r="D1" s="270"/>
      <c r="E1" s="270"/>
      <c r="F1" s="270"/>
      <c r="G1" s="270"/>
    </row>
    <row r="2" spans="2:7" ht="36" customHeight="1">
      <c r="B2" s="354" t="s">
        <v>170</v>
      </c>
      <c r="C2" s="354"/>
      <c r="D2" s="354"/>
      <c r="E2" s="354"/>
      <c r="F2" s="354"/>
      <c r="G2" s="354"/>
    </row>
    <row r="3" spans="2:7">
      <c r="B3" s="270"/>
      <c r="C3" s="270"/>
      <c r="D3" s="270"/>
      <c r="E3" s="270"/>
      <c r="F3" s="270"/>
      <c r="G3" s="270"/>
    </row>
    <row r="4" spans="2:7" ht="18.75" customHeight="1">
      <c r="B4" s="41" t="s">
        <v>0</v>
      </c>
      <c r="C4" s="42" t="s">
        <v>1</v>
      </c>
      <c r="D4" s="42" t="s">
        <v>173</v>
      </c>
      <c r="E4" s="41" t="s">
        <v>174</v>
      </c>
      <c r="F4" s="41" t="s">
        <v>175</v>
      </c>
      <c r="G4" s="41" t="s">
        <v>176</v>
      </c>
    </row>
    <row r="5" spans="2:7" s="279" customFormat="1">
      <c r="B5" s="283" t="s">
        <v>2</v>
      </c>
      <c r="C5" s="283" t="s">
        <v>111</v>
      </c>
      <c r="D5" s="283" t="s">
        <v>111</v>
      </c>
      <c r="E5" s="284" t="s">
        <v>45</v>
      </c>
      <c r="F5" s="285">
        <v>12000</v>
      </c>
      <c r="G5" s="285">
        <v>12000</v>
      </c>
    </row>
    <row r="6" spans="2:7" s="279" customFormat="1">
      <c r="B6" s="287" t="s">
        <v>111</v>
      </c>
      <c r="C6" s="287" t="s">
        <v>46</v>
      </c>
      <c r="D6" s="287" t="s">
        <v>111</v>
      </c>
      <c r="E6" s="288" t="s">
        <v>47</v>
      </c>
      <c r="F6" s="289">
        <v>12000</v>
      </c>
      <c r="G6" s="289">
        <v>12000</v>
      </c>
    </row>
    <row r="7" spans="2:7" s="279" customFormat="1" ht="45" customHeight="1">
      <c r="B7" s="280" t="s">
        <v>111</v>
      </c>
      <c r="C7" s="280" t="s">
        <v>111</v>
      </c>
      <c r="D7" s="280" t="s">
        <v>112</v>
      </c>
      <c r="E7" s="281" t="s">
        <v>450</v>
      </c>
      <c r="F7" s="282">
        <v>12000</v>
      </c>
      <c r="G7" s="282">
        <v>0</v>
      </c>
    </row>
    <row r="8" spans="2:7" s="279" customFormat="1" ht="15.95" customHeight="1">
      <c r="B8" s="280" t="s">
        <v>111</v>
      </c>
      <c r="C8" s="280" t="s">
        <v>111</v>
      </c>
      <c r="D8" s="280" t="s">
        <v>113</v>
      </c>
      <c r="E8" s="281" t="s">
        <v>48</v>
      </c>
      <c r="F8" s="282">
        <v>0</v>
      </c>
      <c r="G8" s="282">
        <v>12000</v>
      </c>
    </row>
    <row r="9" spans="2:7" s="279" customFormat="1">
      <c r="B9" s="283" t="s">
        <v>114</v>
      </c>
      <c r="C9" s="283" t="s">
        <v>111</v>
      </c>
      <c r="D9" s="283" t="s">
        <v>111</v>
      </c>
      <c r="E9" s="284" t="s">
        <v>49</v>
      </c>
      <c r="F9" s="285">
        <v>379758</v>
      </c>
      <c r="G9" s="285">
        <v>379758</v>
      </c>
    </row>
    <row r="10" spans="2:7" s="279" customFormat="1" ht="15.95" customHeight="1">
      <c r="B10" s="287" t="s">
        <v>111</v>
      </c>
      <c r="C10" s="287" t="s">
        <v>115</v>
      </c>
      <c r="D10" s="287" t="s">
        <v>111</v>
      </c>
      <c r="E10" s="288" t="s">
        <v>50</v>
      </c>
      <c r="F10" s="289">
        <v>379758</v>
      </c>
      <c r="G10" s="289">
        <v>379758</v>
      </c>
    </row>
    <row r="11" spans="2:7" s="279" customFormat="1" ht="45" customHeight="1">
      <c r="B11" s="280" t="s">
        <v>111</v>
      </c>
      <c r="C11" s="280" t="s">
        <v>111</v>
      </c>
      <c r="D11" s="280" t="s">
        <v>112</v>
      </c>
      <c r="E11" s="281" t="s">
        <v>450</v>
      </c>
      <c r="F11" s="282">
        <v>379758</v>
      </c>
      <c r="G11" s="282">
        <v>0</v>
      </c>
    </row>
    <row r="12" spans="2:7" s="279" customFormat="1" ht="15.95" customHeight="1">
      <c r="B12" s="280" t="s">
        <v>111</v>
      </c>
      <c r="C12" s="280" t="s">
        <v>111</v>
      </c>
      <c r="D12" s="280" t="s">
        <v>116</v>
      </c>
      <c r="E12" s="281" t="s">
        <v>51</v>
      </c>
      <c r="F12" s="282">
        <v>0</v>
      </c>
      <c r="G12" s="282">
        <v>52248</v>
      </c>
    </row>
    <row r="13" spans="2:7" s="279" customFormat="1" ht="15.95" customHeight="1">
      <c r="B13" s="280" t="s">
        <v>111</v>
      </c>
      <c r="C13" s="280" t="s">
        <v>111</v>
      </c>
      <c r="D13" s="280" t="s">
        <v>117</v>
      </c>
      <c r="E13" s="281" t="s">
        <v>52</v>
      </c>
      <c r="F13" s="282">
        <v>0</v>
      </c>
      <c r="G13" s="282">
        <v>8982</v>
      </c>
    </row>
    <row r="14" spans="2:7" s="279" customFormat="1">
      <c r="B14" s="280" t="s">
        <v>111</v>
      </c>
      <c r="C14" s="280" t="s">
        <v>111</v>
      </c>
      <c r="D14" s="280" t="s">
        <v>118</v>
      </c>
      <c r="E14" s="281" t="s">
        <v>53</v>
      </c>
      <c r="F14" s="282">
        <v>0</v>
      </c>
      <c r="G14" s="282">
        <v>1280</v>
      </c>
    </row>
    <row r="15" spans="2:7" s="279" customFormat="1" ht="15.95" customHeight="1">
      <c r="B15" s="280" t="s">
        <v>111</v>
      </c>
      <c r="C15" s="280" t="s">
        <v>111</v>
      </c>
      <c r="D15" s="280" t="s">
        <v>119</v>
      </c>
      <c r="E15" s="281" t="s">
        <v>54</v>
      </c>
      <c r="F15" s="282">
        <v>0</v>
      </c>
      <c r="G15" s="282">
        <v>2000</v>
      </c>
    </row>
    <row r="16" spans="2:7" s="279" customFormat="1" ht="15.95" customHeight="1">
      <c r="B16" s="280" t="s">
        <v>111</v>
      </c>
      <c r="C16" s="280" t="s">
        <v>111</v>
      </c>
      <c r="D16" s="280" t="s">
        <v>120</v>
      </c>
      <c r="E16" s="281" t="s">
        <v>55</v>
      </c>
      <c r="F16" s="282">
        <v>0</v>
      </c>
      <c r="G16" s="282">
        <v>435</v>
      </c>
    </row>
    <row r="17" spans="2:7" s="279" customFormat="1" ht="15.95" customHeight="1">
      <c r="B17" s="280" t="s">
        <v>111</v>
      </c>
      <c r="C17" s="280" t="s">
        <v>111</v>
      </c>
      <c r="D17" s="280" t="s">
        <v>121</v>
      </c>
      <c r="E17" s="281" t="s">
        <v>56</v>
      </c>
      <c r="F17" s="282">
        <v>0</v>
      </c>
      <c r="G17" s="282">
        <v>0</v>
      </c>
    </row>
    <row r="18" spans="2:7" s="279" customFormat="1" ht="15.95" customHeight="1">
      <c r="B18" s="280" t="s">
        <v>111</v>
      </c>
      <c r="C18" s="280" t="s">
        <v>111</v>
      </c>
      <c r="D18" s="280" t="s">
        <v>122</v>
      </c>
      <c r="E18" s="281" t="s">
        <v>57</v>
      </c>
      <c r="F18" s="282">
        <v>0</v>
      </c>
      <c r="G18" s="282">
        <v>24000</v>
      </c>
    </row>
    <row r="19" spans="2:7" s="279" customFormat="1" ht="15.95" customHeight="1">
      <c r="B19" s="280" t="s">
        <v>111</v>
      </c>
      <c r="C19" s="280" t="s">
        <v>111</v>
      </c>
      <c r="D19" s="280" t="s">
        <v>113</v>
      </c>
      <c r="E19" s="281" t="s">
        <v>48</v>
      </c>
      <c r="F19" s="282">
        <v>0</v>
      </c>
      <c r="G19" s="282">
        <v>57000</v>
      </c>
    </row>
    <row r="20" spans="2:7" s="279" customFormat="1">
      <c r="B20" s="280" t="s">
        <v>111</v>
      </c>
      <c r="C20" s="280" t="s">
        <v>111</v>
      </c>
      <c r="D20" s="280" t="s">
        <v>123</v>
      </c>
      <c r="E20" s="281" t="s">
        <v>58</v>
      </c>
      <c r="F20" s="282">
        <v>0</v>
      </c>
      <c r="G20" s="282">
        <v>58700</v>
      </c>
    </row>
    <row r="21" spans="2:7" s="279" customFormat="1" ht="15.95" customHeight="1">
      <c r="B21" s="280" t="s">
        <v>111</v>
      </c>
      <c r="C21" s="280" t="s">
        <v>111</v>
      </c>
      <c r="D21" s="280" t="s">
        <v>124</v>
      </c>
      <c r="E21" s="281" t="s">
        <v>59</v>
      </c>
      <c r="F21" s="282">
        <v>0</v>
      </c>
      <c r="G21" s="282">
        <v>4100</v>
      </c>
    </row>
    <row r="22" spans="2:7" s="279" customFormat="1" ht="15.95" customHeight="1">
      <c r="B22" s="280" t="s">
        <v>111</v>
      </c>
      <c r="C22" s="280" t="s">
        <v>111</v>
      </c>
      <c r="D22" s="280" t="s">
        <v>125</v>
      </c>
      <c r="E22" s="281" t="s">
        <v>60</v>
      </c>
      <c r="F22" s="282">
        <v>0</v>
      </c>
      <c r="G22" s="282">
        <v>49000</v>
      </c>
    </row>
    <row r="23" spans="2:7" s="279" customFormat="1">
      <c r="B23" s="280" t="s">
        <v>111</v>
      </c>
      <c r="C23" s="280" t="s">
        <v>111</v>
      </c>
      <c r="D23" s="280" t="s">
        <v>126</v>
      </c>
      <c r="E23" s="281" t="s">
        <v>61</v>
      </c>
      <c r="F23" s="282">
        <v>0</v>
      </c>
      <c r="G23" s="282">
        <v>10000</v>
      </c>
    </row>
    <row r="24" spans="2:7" s="279" customFormat="1" ht="15.95" customHeight="1">
      <c r="B24" s="280" t="s">
        <v>111</v>
      </c>
      <c r="C24" s="280" t="s">
        <v>111</v>
      </c>
      <c r="D24" s="280" t="s">
        <v>127</v>
      </c>
      <c r="E24" s="281" t="s">
        <v>62</v>
      </c>
      <c r="F24" s="282">
        <v>0</v>
      </c>
      <c r="G24" s="282">
        <v>15255</v>
      </c>
    </row>
    <row r="25" spans="2:7" s="279" customFormat="1">
      <c r="B25" s="280" t="s">
        <v>111</v>
      </c>
      <c r="C25" s="280" t="s">
        <v>111</v>
      </c>
      <c r="D25" s="280" t="s">
        <v>128</v>
      </c>
      <c r="E25" s="281" t="s">
        <v>63</v>
      </c>
      <c r="F25" s="282">
        <v>0</v>
      </c>
      <c r="G25" s="282">
        <v>45758</v>
      </c>
    </row>
    <row r="26" spans="2:7" s="279" customFormat="1">
      <c r="B26" s="280" t="s">
        <v>111</v>
      </c>
      <c r="C26" s="280" t="s">
        <v>111</v>
      </c>
      <c r="D26" s="280" t="s">
        <v>129</v>
      </c>
      <c r="E26" s="281" t="s">
        <v>64</v>
      </c>
      <c r="F26" s="282">
        <v>0</v>
      </c>
      <c r="G26" s="282">
        <v>51000</v>
      </c>
    </row>
    <row r="27" spans="2:7" s="279" customFormat="1">
      <c r="B27" s="283" t="s">
        <v>130</v>
      </c>
      <c r="C27" s="283" t="s">
        <v>111</v>
      </c>
      <c r="D27" s="283" t="s">
        <v>111</v>
      </c>
      <c r="E27" s="284" t="s">
        <v>65</v>
      </c>
      <c r="F27" s="285">
        <v>1371628</v>
      </c>
      <c r="G27" s="285">
        <v>1371628</v>
      </c>
    </row>
    <row r="28" spans="2:7" s="279" customFormat="1" ht="15.95" customHeight="1">
      <c r="B28" s="287" t="s">
        <v>111</v>
      </c>
      <c r="C28" s="287" t="s">
        <v>66</v>
      </c>
      <c r="D28" s="287" t="s">
        <v>111</v>
      </c>
      <c r="E28" s="288" t="s">
        <v>67</v>
      </c>
      <c r="F28" s="289">
        <v>365000</v>
      </c>
      <c r="G28" s="289">
        <v>365000</v>
      </c>
    </row>
    <row r="29" spans="2:7" s="279" customFormat="1" ht="45" customHeight="1">
      <c r="B29" s="280" t="s">
        <v>111</v>
      </c>
      <c r="C29" s="280" t="s">
        <v>111</v>
      </c>
      <c r="D29" s="280" t="s">
        <v>112</v>
      </c>
      <c r="E29" s="281" t="s">
        <v>450</v>
      </c>
      <c r="F29" s="282">
        <v>365000</v>
      </c>
      <c r="G29" s="282">
        <v>0</v>
      </c>
    </row>
    <row r="30" spans="2:7" s="279" customFormat="1" ht="15.95" customHeight="1">
      <c r="B30" s="280" t="s">
        <v>111</v>
      </c>
      <c r="C30" s="280" t="s">
        <v>111</v>
      </c>
      <c r="D30" s="280" t="s">
        <v>116</v>
      </c>
      <c r="E30" s="281" t="s">
        <v>51</v>
      </c>
      <c r="F30" s="282">
        <v>0</v>
      </c>
      <c r="G30" s="282">
        <v>229652</v>
      </c>
    </row>
    <row r="31" spans="2:7" s="279" customFormat="1" ht="15.95" customHeight="1">
      <c r="B31" s="280" t="s">
        <v>111</v>
      </c>
      <c r="C31" s="280" t="s">
        <v>111</v>
      </c>
      <c r="D31" s="280" t="s">
        <v>117</v>
      </c>
      <c r="E31" s="281" t="s">
        <v>52</v>
      </c>
      <c r="F31" s="282">
        <v>0</v>
      </c>
      <c r="G31" s="282">
        <v>39478</v>
      </c>
    </row>
    <row r="32" spans="2:7" s="279" customFormat="1">
      <c r="B32" s="280" t="s">
        <v>111</v>
      </c>
      <c r="C32" s="280" t="s">
        <v>111</v>
      </c>
      <c r="D32" s="280" t="s">
        <v>118</v>
      </c>
      <c r="E32" s="281" t="s">
        <v>53</v>
      </c>
      <c r="F32" s="282">
        <v>0</v>
      </c>
      <c r="G32" s="282">
        <v>1335</v>
      </c>
    </row>
    <row r="33" spans="2:7" s="279" customFormat="1" ht="15.95" customHeight="1">
      <c r="B33" s="280" t="s">
        <v>111</v>
      </c>
      <c r="C33" s="280" t="s">
        <v>111</v>
      </c>
      <c r="D33" s="280" t="s">
        <v>113</v>
      </c>
      <c r="E33" s="281" t="s">
        <v>48</v>
      </c>
      <c r="F33" s="282">
        <v>0</v>
      </c>
      <c r="G33" s="282">
        <v>94535</v>
      </c>
    </row>
    <row r="34" spans="2:7" s="279" customFormat="1" ht="15.95" customHeight="1">
      <c r="B34" s="287" t="s">
        <v>111</v>
      </c>
      <c r="C34" s="287" t="s">
        <v>131</v>
      </c>
      <c r="D34" s="287" t="s">
        <v>111</v>
      </c>
      <c r="E34" s="288" t="s">
        <v>68</v>
      </c>
      <c r="F34" s="289">
        <v>1006628</v>
      </c>
      <c r="G34" s="289">
        <v>1006628</v>
      </c>
    </row>
    <row r="35" spans="2:7" s="279" customFormat="1" ht="45" customHeight="1">
      <c r="B35" s="280" t="s">
        <v>111</v>
      </c>
      <c r="C35" s="280" t="s">
        <v>111</v>
      </c>
      <c r="D35" s="280" t="s">
        <v>112</v>
      </c>
      <c r="E35" s="281" t="s">
        <v>450</v>
      </c>
      <c r="F35" s="282">
        <v>1006628</v>
      </c>
      <c r="G35" s="282">
        <v>0</v>
      </c>
    </row>
    <row r="36" spans="2:7" s="279" customFormat="1">
      <c r="B36" s="280" t="s">
        <v>111</v>
      </c>
      <c r="C36" s="280" t="s">
        <v>111</v>
      </c>
      <c r="D36" s="280" t="s">
        <v>132</v>
      </c>
      <c r="E36" s="281" t="s">
        <v>69</v>
      </c>
      <c r="F36" s="282">
        <v>0</v>
      </c>
      <c r="G36" s="282">
        <v>220</v>
      </c>
    </row>
    <row r="37" spans="2:7" s="279" customFormat="1" ht="15.95" customHeight="1">
      <c r="B37" s="280" t="s">
        <v>111</v>
      </c>
      <c r="C37" s="280" t="s">
        <v>111</v>
      </c>
      <c r="D37" s="280" t="s">
        <v>116</v>
      </c>
      <c r="E37" s="281" t="s">
        <v>51</v>
      </c>
      <c r="F37" s="282">
        <v>0</v>
      </c>
      <c r="G37" s="282">
        <v>169430</v>
      </c>
    </row>
    <row r="38" spans="2:7" s="279" customFormat="1">
      <c r="B38" s="280" t="s">
        <v>111</v>
      </c>
      <c r="C38" s="280" t="s">
        <v>111</v>
      </c>
      <c r="D38" s="280" t="s">
        <v>133</v>
      </c>
      <c r="E38" s="281" t="s">
        <v>70</v>
      </c>
      <c r="F38" s="282">
        <v>0</v>
      </c>
      <c r="G38" s="282">
        <v>476288</v>
      </c>
    </row>
    <row r="39" spans="2:7" s="279" customFormat="1" ht="15.95" customHeight="1">
      <c r="B39" s="280" t="s">
        <v>111</v>
      </c>
      <c r="C39" s="280" t="s">
        <v>111</v>
      </c>
      <c r="D39" s="280" t="s">
        <v>134</v>
      </c>
      <c r="E39" s="281" t="s">
        <v>71</v>
      </c>
      <c r="F39" s="282">
        <v>0</v>
      </c>
      <c r="G39" s="282">
        <v>47048</v>
      </c>
    </row>
    <row r="40" spans="2:7" s="279" customFormat="1" ht="15.95" customHeight="1">
      <c r="B40" s="280" t="s">
        <v>111</v>
      </c>
      <c r="C40" s="280" t="s">
        <v>111</v>
      </c>
      <c r="D40" s="280" t="s">
        <v>117</v>
      </c>
      <c r="E40" s="281" t="s">
        <v>52</v>
      </c>
      <c r="F40" s="282">
        <v>0</v>
      </c>
      <c r="G40" s="282">
        <v>118580</v>
      </c>
    </row>
    <row r="41" spans="2:7" s="279" customFormat="1">
      <c r="B41" s="280" t="s">
        <v>111</v>
      </c>
      <c r="C41" s="280" t="s">
        <v>111</v>
      </c>
      <c r="D41" s="280" t="s">
        <v>118</v>
      </c>
      <c r="E41" s="281" t="s">
        <v>53</v>
      </c>
      <c r="F41" s="282">
        <v>0</v>
      </c>
      <c r="G41" s="282">
        <v>9394</v>
      </c>
    </row>
    <row r="42" spans="2:7" s="279" customFormat="1" ht="15.95" customHeight="1">
      <c r="B42" s="280" t="s">
        <v>111</v>
      </c>
      <c r="C42" s="280" t="s">
        <v>111</v>
      </c>
      <c r="D42" s="280" t="s">
        <v>119</v>
      </c>
      <c r="E42" s="281" t="s">
        <v>54</v>
      </c>
      <c r="F42" s="282">
        <v>0</v>
      </c>
      <c r="G42" s="282">
        <v>1173</v>
      </c>
    </row>
    <row r="43" spans="2:7" s="279" customFormat="1" ht="15.95" customHeight="1">
      <c r="B43" s="280" t="s">
        <v>111</v>
      </c>
      <c r="C43" s="280" t="s">
        <v>111</v>
      </c>
      <c r="D43" s="280" t="s">
        <v>120</v>
      </c>
      <c r="E43" s="281" t="s">
        <v>55</v>
      </c>
      <c r="F43" s="282">
        <v>0</v>
      </c>
      <c r="G43" s="282">
        <v>34351</v>
      </c>
    </row>
    <row r="44" spans="2:7" s="279" customFormat="1" ht="15.95" customHeight="1">
      <c r="B44" s="280" t="s">
        <v>111</v>
      </c>
      <c r="C44" s="280" t="s">
        <v>111</v>
      </c>
      <c r="D44" s="280" t="s">
        <v>121</v>
      </c>
      <c r="E44" s="281" t="s">
        <v>56</v>
      </c>
      <c r="F44" s="282">
        <v>0</v>
      </c>
      <c r="G44" s="282">
        <v>22590</v>
      </c>
    </row>
    <row r="45" spans="2:7" s="279" customFormat="1" ht="15.95" customHeight="1">
      <c r="B45" s="280" t="s">
        <v>111</v>
      </c>
      <c r="C45" s="280" t="s">
        <v>111</v>
      </c>
      <c r="D45" s="280" t="s">
        <v>122</v>
      </c>
      <c r="E45" s="281" t="s">
        <v>57</v>
      </c>
      <c r="F45" s="282">
        <v>0</v>
      </c>
      <c r="G45" s="282">
        <v>1927</v>
      </c>
    </row>
    <row r="46" spans="2:7" s="279" customFormat="1" ht="15.95" customHeight="1">
      <c r="B46" s="280" t="s">
        <v>111</v>
      </c>
      <c r="C46" s="280" t="s">
        <v>111</v>
      </c>
      <c r="D46" s="280" t="s">
        <v>135</v>
      </c>
      <c r="E46" s="281" t="s">
        <v>72</v>
      </c>
      <c r="F46" s="282">
        <v>0</v>
      </c>
      <c r="G46" s="282">
        <v>941</v>
      </c>
    </row>
    <row r="47" spans="2:7" s="279" customFormat="1" ht="15.95" customHeight="1">
      <c r="B47" s="280" t="s">
        <v>111</v>
      </c>
      <c r="C47" s="280" t="s">
        <v>111</v>
      </c>
      <c r="D47" s="280" t="s">
        <v>113</v>
      </c>
      <c r="E47" s="281" t="s">
        <v>48</v>
      </c>
      <c r="F47" s="282">
        <v>0</v>
      </c>
      <c r="G47" s="282">
        <v>95010</v>
      </c>
    </row>
    <row r="48" spans="2:7" s="279" customFormat="1">
      <c r="B48" s="280" t="s">
        <v>111</v>
      </c>
      <c r="C48" s="280" t="s">
        <v>111</v>
      </c>
      <c r="D48" s="280" t="s">
        <v>136</v>
      </c>
      <c r="E48" s="281" t="s">
        <v>137</v>
      </c>
      <c r="F48" s="282">
        <v>0</v>
      </c>
      <c r="G48" s="282">
        <v>4147</v>
      </c>
    </row>
    <row r="49" spans="2:7" s="279" customFormat="1" ht="15.95" customHeight="1">
      <c r="B49" s="280" t="s">
        <v>111</v>
      </c>
      <c r="C49" s="280" t="s">
        <v>111</v>
      </c>
      <c r="D49" s="280" t="s">
        <v>138</v>
      </c>
      <c r="E49" s="281" t="s">
        <v>73</v>
      </c>
      <c r="F49" s="282">
        <v>0</v>
      </c>
      <c r="G49" s="282">
        <v>500</v>
      </c>
    </row>
    <row r="50" spans="2:7" s="279" customFormat="1" ht="15.95" customHeight="1">
      <c r="B50" s="280" t="s">
        <v>111</v>
      </c>
      <c r="C50" s="280" t="s">
        <v>111</v>
      </c>
      <c r="D50" s="280" t="s">
        <v>124</v>
      </c>
      <c r="E50" s="281" t="s">
        <v>59</v>
      </c>
      <c r="F50" s="282">
        <v>0</v>
      </c>
      <c r="G50" s="282">
        <v>3179</v>
      </c>
    </row>
    <row r="51" spans="2:7" s="279" customFormat="1">
      <c r="B51" s="280" t="s">
        <v>111</v>
      </c>
      <c r="C51" s="280" t="s">
        <v>111</v>
      </c>
      <c r="D51" s="280" t="s">
        <v>139</v>
      </c>
      <c r="E51" s="281" t="s">
        <v>74</v>
      </c>
      <c r="F51" s="282">
        <v>0</v>
      </c>
      <c r="G51" s="282">
        <v>17441</v>
      </c>
    </row>
    <row r="52" spans="2:7" s="279" customFormat="1" ht="15.95" customHeight="1">
      <c r="B52" s="280" t="s">
        <v>111</v>
      </c>
      <c r="C52" s="280" t="s">
        <v>111</v>
      </c>
      <c r="D52" s="280" t="s">
        <v>125</v>
      </c>
      <c r="E52" s="281" t="s">
        <v>60</v>
      </c>
      <c r="F52" s="282">
        <v>0</v>
      </c>
      <c r="G52" s="282">
        <v>1592</v>
      </c>
    </row>
    <row r="53" spans="2:7" s="279" customFormat="1" ht="15.95" customHeight="1">
      <c r="B53" s="280" t="s">
        <v>111</v>
      </c>
      <c r="C53" s="280" t="s">
        <v>111</v>
      </c>
      <c r="D53" s="280" t="s">
        <v>140</v>
      </c>
      <c r="E53" s="281" t="s">
        <v>75</v>
      </c>
      <c r="F53" s="282">
        <v>0</v>
      </c>
      <c r="G53" s="282">
        <v>0</v>
      </c>
    </row>
    <row r="54" spans="2:7" s="279" customFormat="1">
      <c r="B54" s="280" t="s">
        <v>111</v>
      </c>
      <c r="C54" s="280" t="s">
        <v>111</v>
      </c>
      <c r="D54" s="280" t="s">
        <v>129</v>
      </c>
      <c r="E54" s="281" t="s">
        <v>64</v>
      </c>
      <c r="F54" s="282">
        <v>0</v>
      </c>
      <c r="G54" s="282">
        <v>1059</v>
      </c>
    </row>
    <row r="55" spans="2:7" s="279" customFormat="1" ht="25.5">
      <c r="B55" s="280" t="s">
        <v>111</v>
      </c>
      <c r="C55" s="280" t="s">
        <v>111</v>
      </c>
      <c r="D55" s="280" t="s">
        <v>141</v>
      </c>
      <c r="E55" s="281" t="s">
        <v>76</v>
      </c>
      <c r="F55" s="282">
        <v>0</v>
      </c>
      <c r="G55" s="282">
        <v>300</v>
      </c>
    </row>
    <row r="56" spans="2:7" s="279" customFormat="1">
      <c r="B56" s="280" t="s">
        <v>111</v>
      </c>
      <c r="C56" s="280" t="s">
        <v>111</v>
      </c>
      <c r="D56" s="280" t="s">
        <v>163</v>
      </c>
      <c r="E56" s="281" t="s">
        <v>99</v>
      </c>
      <c r="F56" s="282">
        <v>0</v>
      </c>
      <c r="G56" s="282">
        <v>1458</v>
      </c>
    </row>
    <row r="57" spans="2:7" s="279" customFormat="1">
      <c r="B57" s="283" t="s">
        <v>142</v>
      </c>
      <c r="C57" s="283" t="s">
        <v>111</v>
      </c>
      <c r="D57" s="283" t="s">
        <v>111</v>
      </c>
      <c r="E57" s="284" t="s">
        <v>77</v>
      </c>
      <c r="F57" s="285">
        <v>56544</v>
      </c>
      <c r="G57" s="285">
        <v>56544</v>
      </c>
    </row>
    <row r="58" spans="2:7" s="279" customFormat="1" ht="15.95" customHeight="1">
      <c r="B58" s="287" t="s">
        <v>111</v>
      </c>
      <c r="C58" s="287" t="s">
        <v>143</v>
      </c>
      <c r="D58" s="287" t="s">
        <v>111</v>
      </c>
      <c r="E58" s="288" t="s">
        <v>78</v>
      </c>
      <c r="F58" s="289">
        <v>40244</v>
      </c>
      <c r="G58" s="289">
        <v>40244</v>
      </c>
    </row>
    <row r="59" spans="2:7" s="279" customFormat="1" ht="45" customHeight="1">
      <c r="B59" s="280" t="s">
        <v>111</v>
      </c>
      <c r="C59" s="280" t="s">
        <v>111</v>
      </c>
      <c r="D59" s="280" t="s">
        <v>112</v>
      </c>
      <c r="E59" s="281" t="s">
        <v>450</v>
      </c>
      <c r="F59" s="282">
        <v>40244</v>
      </c>
      <c r="G59" s="282">
        <v>0</v>
      </c>
    </row>
    <row r="60" spans="2:7" s="279" customFormat="1" ht="15.95" customHeight="1">
      <c r="B60" s="280" t="s">
        <v>111</v>
      </c>
      <c r="C60" s="280" t="s">
        <v>111</v>
      </c>
      <c r="D60" s="280" t="s">
        <v>116</v>
      </c>
      <c r="E60" s="281" t="s">
        <v>51</v>
      </c>
      <c r="F60" s="282">
        <v>0</v>
      </c>
      <c r="G60" s="282">
        <v>33637</v>
      </c>
    </row>
    <row r="61" spans="2:7" s="279" customFormat="1" ht="15.95" customHeight="1">
      <c r="B61" s="280" t="s">
        <v>111</v>
      </c>
      <c r="C61" s="280" t="s">
        <v>111</v>
      </c>
      <c r="D61" s="280" t="s">
        <v>117</v>
      </c>
      <c r="E61" s="281" t="s">
        <v>52</v>
      </c>
      <c r="F61" s="282">
        <v>0</v>
      </c>
      <c r="G61" s="282">
        <v>5783</v>
      </c>
    </row>
    <row r="62" spans="2:7" s="279" customFormat="1">
      <c r="B62" s="280" t="s">
        <v>111</v>
      </c>
      <c r="C62" s="280" t="s">
        <v>111</v>
      </c>
      <c r="D62" s="280" t="s">
        <v>118</v>
      </c>
      <c r="E62" s="281" t="s">
        <v>53</v>
      </c>
      <c r="F62" s="282">
        <v>0</v>
      </c>
      <c r="G62" s="282">
        <v>824</v>
      </c>
    </row>
    <row r="63" spans="2:7" s="279" customFormat="1" ht="15.95" customHeight="1">
      <c r="B63" s="287" t="s">
        <v>111</v>
      </c>
      <c r="C63" s="287" t="s">
        <v>144</v>
      </c>
      <c r="D63" s="287" t="s">
        <v>111</v>
      </c>
      <c r="E63" s="288" t="s">
        <v>79</v>
      </c>
      <c r="F63" s="289">
        <v>16300</v>
      </c>
      <c r="G63" s="289">
        <v>16300</v>
      </c>
    </row>
    <row r="64" spans="2:7" s="279" customFormat="1" ht="45" customHeight="1">
      <c r="B64" s="280" t="s">
        <v>111</v>
      </c>
      <c r="C64" s="280" t="s">
        <v>111</v>
      </c>
      <c r="D64" s="280" t="s">
        <v>112</v>
      </c>
      <c r="E64" s="281" t="s">
        <v>450</v>
      </c>
      <c r="F64" s="282">
        <v>16300</v>
      </c>
      <c r="G64" s="282">
        <v>0</v>
      </c>
    </row>
    <row r="65" spans="2:7" s="279" customFormat="1" ht="15.95" customHeight="1">
      <c r="B65" s="280" t="s">
        <v>111</v>
      </c>
      <c r="C65" s="280" t="s">
        <v>111</v>
      </c>
      <c r="D65" s="280" t="s">
        <v>117</v>
      </c>
      <c r="E65" s="281" t="s">
        <v>52</v>
      </c>
      <c r="F65" s="282">
        <v>0</v>
      </c>
      <c r="G65" s="282">
        <v>1931</v>
      </c>
    </row>
    <row r="66" spans="2:7" s="279" customFormat="1">
      <c r="B66" s="280" t="s">
        <v>111</v>
      </c>
      <c r="C66" s="280" t="s">
        <v>111</v>
      </c>
      <c r="D66" s="280" t="s">
        <v>118</v>
      </c>
      <c r="E66" s="281" t="s">
        <v>53</v>
      </c>
      <c r="F66" s="282">
        <v>0</v>
      </c>
      <c r="G66" s="282">
        <v>247</v>
      </c>
    </row>
    <row r="67" spans="2:7" s="279" customFormat="1" ht="15.95" customHeight="1">
      <c r="B67" s="280" t="s">
        <v>111</v>
      </c>
      <c r="C67" s="280" t="s">
        <v>111</v>
      </c>
      <c r="D67" s="280" t="s">
        <v>119</v>
      </c>
      <c r="E67" s="281" t="s">
        <v>54</v>
      </c>
      <c r="F67" s="282">
        <v>0</v>
      </c>
      <c r="G67" s="282">
        <v>12522</v>
      </c>
    </row>
    <row r="68" spans="2:7" s="279" customFormat="1" ht="15.95" customHeight="1">
      <c r="B68" s="280" t="s">
        <v>111</v>
      </c>
      <c r="C68" s="280" t="s">
        <v>111</v>
      </c>
      <c r="D68" s="280" t="s">
        <v>120</v>
      </c>
      <c r="E68" s="281" t="s">
        <v>55</v>
      </c>
      <c r="F68" s="282">
        <v>0</v>
      </c>
      <c r="G68" s="282">
        <v>1511</v>
      </c>
    </row>
    <row r="69" spans="2:7" s="279" customFormat="1" ht="15.95" customHeight="1">
      <c r="B69" s="280" t="s">
        <v>111</v>
      </c>
      <c r="C69" s="280" t="s">
        <v>111</v>
      </c>
      <c r="D69" s="280" t="s">
        <v>113</v>
      </c>
      <c r="E69" s="281" t="s">
        <v>48</v>
      </c>
      <c r="F69" s="282">
        <v>0</v>
      </c>
      <c r="G69" s="282">
        <v>89</v>
      </c>
    </row>
    <row r="70" spans="2:7" s="279" customFormat="1">
      <c r="B70" s="283" t="s">
        <v>145</v>
      </c>
      <c r="C70" s="283" t="s">
        <v>111</v>
      </c>
      <c r="D70" s="283" t="s">
        <v>111</v>
      </c>
      <c r="E70" s="284" t="s">
        <v>80</v>
      </c>
      <c r="F70" s="285">
        <v>9158906</v>
      </c>
      <c r="G70" s="285">
        <v>9158906</v>
      </c>
    </row>
    <row r="71" spans="2:7" s="279" customFormat="1" ht="15.95" customHeight="1">
      <c r="B71" s="287" t="s">
        <v>111</v>
      </c>
      <c r="C71" s="287" t="s">
        <v>146</v>
      </c>
      <c r="D71" s="287" t="s">
        <v>111</v>
      </c>
      <c r="E71" s="288" t="s">
        <v>81</v>
      </c>
      <c r="F71" s="289">
        <v>9158906</v>
      </c>
      <c r="G71" s="289">
        <v>9158906</v>
      </c>
    </row>
    <row r="72" spans="2:7" s="279" customFormat="1" ht="45" customHeight="1">
      <c r="B72" s="280" t="s">
        <v>111</v>
      </c>
      <c r="C72" s="280" t="s">
        <v>111</v>
      </c>
      <c r="D72" s="280" t="s">
        <v>112</v>
      </c>
      <c r="E72" s="281" t="s">
        <v>450</v>
      </c>
      <c r="F72" s="282">
        <v>9158906</v>
      </c>
      <c r="G72" s="282">
        <v>0</v>
      </c>
    </row>
    <row r="73" spans="2:7" s="279" customFormat="1" ht="25.5">
      <c r="B73" s="280" t="s">
        <v>111</v>
      </c>
      <c r="C73" s="280" t="s">
        <v>111</v>
      </c>
      <c r="D73" s="280" t="s">
        <v>147</v>
      </c>
      <c r="E73" s="281" t="s">
        <v>82</v>
      </c>
      <c r="F73" s="282">
        <v>0</v>
      </c>
      <c r="G73" s="282">
        <v>348322</v>
      </c>
    </row>
    <row r="74" spans="2:7" s="279" customFormat="1" ht="15.95" customHeight="1">
      <c r="B74" s="280" t="s">
        <v>111</v>
      </c>
      <c r="C74" s="280" t="s">
        <v>111</v>
      </c>
      <c r="D74" s="280" t="s">
        <v>116</v>
      </c>
      <c r="E74" s="281" t="s">
        <v>51</v>
      </c>
      <c r="F74" s="282">
        <v>0</v>
      </c>
      <c r="G74" s="282">
        <v>50212</v>
      </c>
    </row>
    <row r="75" spans="2:7" s="279" customFormat="1">
      <c r="B75" s="280" t="s">
        <v>111</v>
      </c>
      <c r="C75" s="280" t="s">
        <v>111</v>
      </c>
      <c r="D75" s="280" t="s">
        <v>133</v>
      </c>
      <c r="E75" s="281" t="s">
        <v>70</v>
      </c>
      <c r="F75" s="282">
        <v>0</v>
      </c>
      <c r="G75" s="282">
        <v>129740</v>
      </c>
    </row>
    <row r="76" spans="2:7" s="279" customFormat="1" ht="15.95" customHeight="1">
      <c r="B76" s="280" t="s">
        <v>111</v>
      </c>
      <c r="C76" s="280" t="s">
        <v>111</v>
      </c>
      <c r="D76" s="280" t="s">
        <v>134</v>
      </c>
      <c r="E76" s="281" t="s">
        <v>71</v>
      </c>
      <c r="F76" s="282">
        <v>0</v>
      </c>
      <c r="G76" s="282">
        <v>12946</v>
      </c>
    </row>
    <row r="77" spans="2:7" s="279" customFormat="1">
      <c r="B77" s="280" t="s">
        <v>111</v>
      </c>
      <c r="C77" s="280" t="s">
        <v>111</v>
      </c>
      <c r="D77" s="280" t="s">
        <v>148</v>
      </c>
      <c r="E77" s="281" t="s">
        <v>83</v>
      </c>
      <c r="F77" s="282">
        <v>0</v>
      </c>
      <c r="G77" s="282">
        <v>5705740</v>
      </c>
    </row>
    <row r="78" spans="2:7" s="279" customFormat="1" ht="25.5">
      <c r="B78" s="280" t="s">
        <v>111</v>
      </c>
      <c r="C78" s="280" t="s">
        <v>111</v>
      </c>
      <c r="D78" s="280" t="s">
        <v>149</v>
      </c>
      <c r="E78" s="281" t="s">
        <v>84</v>
      </c>
      <c r="F78" s="282">
        <v>0</v>
      </c>
      <c r="G78" s="282">
        <v>496232</v>
      </c>
    </row>
    <row r="79" spans="2:7" s="279" customFormat="1" ht="25.5">
      <c r="B79" s="280" t="s">
        <v>111</v>
      </c>
      <c r="C79" s="280" t="s">
        <v>111</v>
      </c>
      <c r="D79" s="280" t="s">
        <v>150</v>
      </c>
      <c r="E79" s="281" t="s">
        <v>85</v>
      </c>
      <c r="F79" s="282">
        <v>0</v>
      </c>
      <c r="G79" s="282">
        <v>475477</v>
      </c>
    </row>
    <row r="80" spans="2:7" s="279" customFormat="1" ht="25.5">
      <c r="B80" s="280" t="s">
        <v>111</v>
      </c>
      <c r="C80" s="280" t="s">
        <v>111</v>
      </c>
      <c r="D80" s="280" t="s">
        <v>151</v>
      </c>
      <c r="E80" s="281" t="s">
        <v>86</v>
      </c>
      <c r="F80" s="282">
        <v>0</v>
      </c>
      <c r="G80" s="282">
        <v>159154</v>
      </c>
    </row>
    <row r="81" spans="2:7" s="279" customFormat="1" ht="15.95" customHeight="1">
      <c r="B81" s="280" t="s">
        <v>111</v>
      </c>
      <c r="C81" s="280" t="s">
        <v>111</v>
      </c>
      <c r="D81" s="280" t="s">
        <v>117</v>
      </c>
      <c r="E81" s="281" t="s">
        <v>52</v>
      </c>
      <c r="F81" s="282">
        <v>0</v>
      </c>
      <c r="G81" s="282">
        <v>40023</v>
      </c>
    </row>
    <row r="82" spans="2:7" s="279" customFormat="1">
      <c r="B82" s="280" t="s">
        <v>111</v>
      </c>
      <c r="C82" s="280" t="s">
        <v>111</v>
      </c>
      <c r="D82" s="280" t="s">
        <v>118</v>
      </c>
      <c r="E82" s="281" t="s">
        <v>53</v>
      </c>
      <c r="F82" s="282">
        <v>0</v>
      </c>
      <c r="G82" s="282">
        <v>4134</v>
      </c>
    </row>
    <row r="83" spans="2:7" s="279" customFormat="1" ht="15.95" customHeight="1">
      <c r="B83" s="280" t="s">
        <v>111</v>
      </c>
      <c r="C83" s="280" t="s">
        <v>111</v>
      </c>
      <c r="D83" s="280" t="s">
        <v>119</v>
      </c>
      <c r="E83" s="281" t="s">
        <v>54</v>
      </c>
      <c r="F83" s="282">
        <v>0</v>
      </c>
      <c r="G83" s="282">
        <v>14060</v>
      </c>
    </row>
    <row r="84" spans="2:7" s="279" customFormat="1" ht="25.5">
      <c r="B84" s="280" t="s">
        <v>111</v>
      </c>
      <c r="C84" s="280" t="s">
        <v>111</v>
      </c>
      <c r="D84" s="280" t="s">
        <v>152</v>
      </c>
      <c r="E84" s="281" t="s">
        <v>153</v>
      </c>
      <c r="F84" s="282">
        <v>0</v>
      </c>
      <c r="G84" s="282">
        <v>994856</v>
      </c>
    </row>
    <row r="85" spans="2:7" s="279" customFormat="1" ht="15.95" customHeight="1">
      <c r="B85" s="280" t="s">
        <v>111</v>
      </c>
      <c r="C85" s="280" t="s">
        <v>111</v>
      </c>
      <c r="D85" s="280" t="s">
        <v>120</v>
      </c>
      <c r="E85" s="281" t="s">
        <v>55</v>
      </c>
      <c r="F85" s="282">
        <v>0</v>
      </c>
      <c r="G85" s="282">
        <v>227691</v>
      </c>
    </row>
    <row r="86" spans="2:7" s="279" customFormat="1" ht="15.95" customHeight="1">
      <c r="B86" s="280" t="s">
        <v>111</v>
      </c>
      <c r="C86" s="280" t="s">
        <v>111</v>
      </c>
      <c r="D86" s="280" t="s">
        <v>154</v>
      </c>
      <c r="E86" s="281" t="s">
        <v>87</v>
      </c>
      <c r="F86" s="282">
        <v>0</v>
      </c>
      <c r="G86" s="282">
        <v>10000</v>
      </c>
    </row>
    <row r="87" spans="2:7" s="279" customFormat="1">
      <c r="B87" s="280" t="s">
        <v>111</v>
      </c>
      <c r="C87" s="280" t="s">
        <v>111</v>
      </c>
      <c r="D87" s="280" t="s">
        <v>155</v>
      </c>
      <c r="E87" s="281" t="s">
        <v>88</v>
      </c>
      <c r="F87" s="282">
        <v>0</v>
      </c>
      <c r="G87" s="282">
        <v>8000</v>
      </c>
    </row>
    <row r="88" spans="2:7" s="279" customFormat="1" ht="15.95" customHeight="1">
      <c r="B88" s="280" t="s">
        <v>111</v>
      </c>
      <c r="C88" s="280" t="s">
        <v>111</v>
      </c>
      <c r="D88" s="280" t="s">
        <v>156</v>
      </c>
      <c r="E88" s="281" t="s">
        <v>89</v>
      </c>
      <c r="F88" s="282">
        <v>0</v>
      </c>
      <c r="G88" s="282">
        <v>2804</v>
      </c>
    </row>
    <row r="89" spans="2:7" s="279" customFormat="1" ht="15.95" customHeight="1">
      <c r="B89" s="280" t="s">
        <v>111</v>
      </c>
      <c r="C89" s="280" t="s">
        <v>111</v>
      </c>
      <c r="D89" s="280" t="s">
        <v>121</v>
      </c>
      <c r="E89" s="281" t="s">
        <v>56</v>
      </c>
      <c r="F89" s="282">
        <v>0</v>
      </c>
      <c r="G89" s="282">
        <v>103943</v>
      </c>
    </row>
    <row r="90" spans="2:7" s="279" customFormat="1" ht="15.95" customHeight="1">
      <c r="B90" s="280" t="s">
        <v>111</v>
      </c>
      <c r="C90" s="280" t="s">
        <v>111</v>
      </c>
      <c r="D90" s="280" t="s">
        <v>122</v>
      </c>
      <c r="E90" s="281" t="s">
        <v>57</v>
      </c>
      <c r="F90" s="282">
        <v>0</v>
      </c>
      <c r="G90" s="282">
        <v>206034</v>
      </c>
    </row>
    <row r="91" spans="2:7" s="279" customFormat="1" ht="15.95" customHeight="1">
      <c r="B91" s="280" t="s">
        <v>111</v>
      </c>
      <c r="C91" s="280" t="s">
        <v>111</v>
      </c>
      <c r="D91" s="280" t="s">
        <v>135</v>
      </c>
      <c r="E91" s="281" t="s">
        <v>72</v>
      </c>
      <c r="F91" s="282">
        <v>0</v>
      </c>
      <c r="G91" s="282">
        <v>38000</v>
      </c>
    </row>
    <row r="92" spans="2:7" s="279" customFormat="1" ht="15.95" customHeight="1">
      <c r="B92" s="280" t="s">
        <v>111</v>
      </c>
      <c r="C92" s="280" t="s">
        <v>111</v>
      </c>
      <c r="D92" s="280" t="s">
        <v>113</v>
      </c>
      <c r="E92" s="281" t="s">
        <v>48</v>
      </c>
      <c r="F92" s="282">
        <v>0</v>
      </c>
      <c r="G92" s="282">
        <v>81990</v>
      </c>
    </row>
    <row r="93" spans="2:7" s="279" customFormat="1">
      <c r="B93" s="280" t="s">
        <v>111</v>
      </c>
      <c r="C93" s="280" t="s">
        <v>111</v>
      </c>
      <c r="D93" s="280" t="s">
        <v>136</v>
      </c>
      <c r="E93" s="281" t="s">
        <v>137</v>
      </c>
      <c r="F93" s="282">
        <v>0</v>
      </c>
      <c r="G93" s="282">
        <v>5580</v>
      </c>
    </row>
    <row r="94" spans="2:7" s="279" customFormat="1" ht="15.95" customHeight="1">
      <c r="B94" s="280" t="s">
        <v>111</v>
      </c>
      <c r="C94" s="280" t="s">
        <v>111</v>
      </c>
      <c r="D94" s="280" t="s">
        <v>138</v>
      </c>
      <c r="E94" s="281" t="s">
        <v>73</v>
      </c>
      <c r="F94" s="282">
        <v>0</v>
      </c>
      <c r="G94" s="282">
        <v>11000</v>
      </c>
    </row>
    <row r="95" spans="2:7" s="279" customFormat="1" ht="15.95" customHeight="1">
      <c r="B95" s="280" t="s">
        <v>111</v>
      </c>
      <c r="C95" s="280" t="s">
        <v>111</v>
      </c>
      <c r="D95" s="280" t="s">
        <v>124</v>
      </c>
      <c r="E95" s="281" t="s">
        <v>59</v>
      </c>
      <c r="F95" s="282">
        <v>0</v>
      </c>
      <c r="G95" s="282">
        <v>1889</v>
      </c>
    </row>
    <row r="96" spans="2:7" s="279" customFormat="1">
      <c r="B96" s="280" t="s">
        <v>111</v>
      </c>
      <c r="C96" s="280" t="s">
        <v>111</v>
      </c>
      <c r="D96" s="280" t="s">
        <v>139</v>
      </c>
      <c r="E96" s="281" t="s">
        <v>74</v>
      </c>
      <c r="F96" s="282">
        <v>0</v>
      </c>
      <c r="G96" s="282">
        <v>6201</v>
      </c>
    </row>
    <row r="97" spans="2:7" s="279" customFormat="1" ht="15.95" customHeight="1">
      <c r="B97" s="280" t="s">
        <v>111</v>
      </c>
      <c r="C97" s="280" t="s">
        <v>111</v>
      </c>
      <c r="D97" s="280" t="s">
        <v>125</v>
      </c>
      <c r="E97" s="281" t="s">
        <v>60</v>
      </c>
      <c r="F97" s="282">
        <v>0</v>
      </c>
      <c r="G97" s="282">
        <v>21378</v>
      </c>
    </row>
    <row r="98" spans="2:7" s="279" customFormat="1" ht="15.95" customHeight="1">
      <c r="B98" s="280" t="s">
        <v>111</v>
      </c>
      <c r="C98" s="280" t="s">
        <v>111</v>
      </c>
      <c r="D98" s="280" t="s">
        <v>140</v>
      </c>
      <c r="E98" s="281" t="s">
        <v>75</v>
      </c>
      <c r="F98" s="282">
        <v>0</v>
      </c>
      <c r="G98" s="282">
        <v>0</v>
      </c>
    </row>
    <row r="99" spans="2:7" s="279" customFormat="1" ht="25.5">
      <c r="B99" s="280" t="s">
        <v>111</v>
      </c>
      <c r="C99" s="280" t="s">
        <v>111</v>
      </c>
      <c r="D99" s="280" t="s">
        <v>141</v>
      </c>
      <c r="E99" s="281" t="s">
        <v>76</v>
      </c>
      <c r="F99" s="282">
        <v>0</v>
      </c>
      <c r="G99" s="282">
        <v>3500</v>
      </c>
    </row>
    <row r="100" spans="2:7" s="279" customFormat="1">
      <c r="B100" s="283" t="s">
        <v>90</v>
      </c>
      <c r="C100" s="283" t="s">
        <v>111</v>
      </c>
      <c r="D100" s="283" t="s">
        <v>111</v>
      </c>
      <c r="E100" s="284" t="s">
        <v>91</v>
      </c>
      <c r="F100" s="285">
        <v>330000</v>
      </c>
      <c r="G100" s="285">
        <v>330000</v>
      </c>
    </row>
    <row r="101" spans="2:7" s="279" customFormat="1" ht="15.95" customHeight="1">
      <c r="B101" s="287" t="s">
        <v>111</v>
      </c>
      <c r="C101" s="287" t="s">
        <v>92</v>
      </c>
      <c r="D101" s="287" t="s">
        <v>111</v>
      </c>
      <c r="E101" s="288" t="s">
        <v>93</v>
      </c>
      <c r="F101" s="289">
        <v>330000</v>
      </c>
      <c r="G101" s="289">
        <v>330000</v>
      </c>
    </row>
    <row r="102" spans="2:7" s="279" customFormat="1" ht="45" customHeight="1">
      <c r="B102" s="280" t="s">
        <v>111</v>
      </c>
      <c r="C102" s="280" t="s">
        <v>111</v>
      </c>
      <c r="D102" s="280" t="s">
        <v>112</v>
      </c>
      <c r="E102" s="281" t="s">
        <v>450</v>
      </c>
      <c r="F102" s="282">
        <v>330000</v>
      </c>
      <c r="G102" s="282">
        <v>0</v>
      </c>
    </row>
    <row r="103" spans="2:7" s="279" customFormat="1" ht="61.5" customHeight="1">
      <c r="B103" s="280" t="s">
        <v>111</v>
      </c>
      <c r="C103" s="280" t="s">
        <v>111</v>
      </c>
      <c r="D103" s="280" t="s">
        <v>157</v>
      </c>
      <c r="E103" s="281" t="s">
        <v>451</v>
      </c>
      <c r="F103" s="282">
        <v>0</v>
      </c>
      <c r="G103" s="282">
        <v>190080</v>
      </c>
    </row>
    <row r="104" spans="2:7" s="279" customFormat="1" ht="15.95" customHeight="1">
      <c r="B104" s="280" t="s">
        <v>111</v>
      </c>
      <c r="C104" s="280" t="s">
        <v>111</v>
      </c>
      <c r="D104" s="280" t="s">
        <v>116</v>
      </c>
      <c r="E104" s="281" t="s">
        <v>51</v>
      </c>
      <c r="F104" s="282">
        <v>0</v>
      </c>
      <c r="G104" s="282">
        <v>5400</v>
      </c>
    </row>
    <row r="105" spans="2:7" s="279" customFormat="1" ht="15.95" customHeight="1">
      <c r="B105" s="280" t="s">
        <v>111</v>
      </c>
      <c r="C105" s="280" t="s">
        <v>111</v>
      </c>
      <c r="D105" s="280" t="s">
        <v>117</v>
      </c>
      <c r="E105" s="281" t="s">
        <v>52</v>
      </c>
      <c r="F105" s="282">
        <v>0</v>
      </c>
      <c r="G105" s="282">
        <v>924</v>
      </c>
    </row>
    <row r="106" spans="2:7" s="279" customFormat="1">
      <c r="B106" s="280" t="s">
        <v>111</v>
      </c>
      <c r="C106" s="280" t="s">
        <v>111</v>
      </c>
      <c r="D106" s="280" t="s">
        <v>118</v>
      </c>
      <c r="E106" s="281" t="s">
        <v>53</v>
      </c>
      <c r="F106" s="282">
        <v>0</v>
      </c>
      <c r="G106" s="282">
        <v>132</v>
      </c>
    </row>
    <row r="107" spans="2:7" s="279" customFormat="1" ht="15.95" customHeight="1">
      <c r="B107" s="280" t="s">
        <v>111</v>
      </c>
      <c r="C107" s="280" t="s">
        <v>111</v>
      </c>
      <c r="D107" s="280" t="s">
        <v>120</v>
      </c>
      <c r="E107" s="281" t="s">
        <v>55</v>
      </c>
      <c r="F107" s="282">
        <v>0</v>
      </c>
      <c r="G107" s="282">
        <v>12344</v>
      </c>
    </row>
    <row r="108" spans="2:7" s="279" customFormat="1" ht="15.95" customHeight="1">
      <c r="B108" s="280" t="s">
        <v>111</v>
      </c>
      <c r="C108" s="280" t="s">
        <v>111</v>
      </c>
      <c r="D108" s="280" t="s">
        <v>113</v>
      </c>
      <c r="E108" s="281" t="s">
        <v>48</v>
      </c>
      <c r="F108" s="282">
        <v>0</v>
      </c>
      <c r="G108" s="282">
        <v>121120</v>
      </c>
    </row>
    <row r="109" spans="2:7" s="279" customFormat="1">
      <c r="B109" s="283" t="s">
        <v>177</v>
      </c>
      <c r="C109" s="283" t="s">
        <v>111</v>
      </c>
      <c r="D109" s="283" t="s">
        <v>111</v>
      </c>
      <c r="E109" s="284" t="s">
        <v>178</v>
      </c>
      <c r="F109" s="285">
        <v>69584</v>
      </c>
      <c r="G109" s="285">
        <v>69584</v>
      </c>
    </row>
    <row r="110" spans="2:7" s="279" customFormat="1" ht="38.25">
      <c r="B110" s="287" t="s">
        <v>111</v>
      </c>
      <c r="C110" s="287" t="s">
        <v>179</v>
      </c>
      <c r="D110" s="287" t="s">
        <v>111</v>
      </c>
      <c r="E110" s="288" t="s">
        <v>180</v>
      </c>
      <c r="F110" s="289">
        <v>69584</v>
      </c>
      <c r="G110" s="289">
        <v>69584</v>
      </c>
    </row>
    <row r="111" spans="2:7" s="279" customFormat="1" ht="45" customHeight="1">
      <c r="B111" s="280" t="s">
        <v>111</v>
      </c>
      <c r="C111" s="280" t="s">
        <v>111</v>
      </c>
      <c r="D111" s="280" t="s">
        <v>112</v>
      </c>
      <c r="E111" s="281" t="s">
        <v>450</v>
      </c>
      <c r="F111" s="282">
        <v>69584</v>
      </c>
      <c r="G111" s="282">
        <v>0</v>
      </c>
    </row>
    <row r="112" spans="2:7" s="279" customFormat="1" ht="45.75" customHeight="1">
      <c r="B112" s="280" t="s">
        <v>111</v>
      </c>
      <c r="C112" s="280" t="s">
        <v>111</v>
      </c>
      <c r="D112" s="280" t="s">
        <v>35</v>
      </c>
      <c r="E112" s="281" t="s">
        <v>36</v>
      </c>
      <c r="F112" s="282">
        <v>0</v>
      </c>
      <c r="G112" s="282">
        <v>21454</v>
      </c>
    </row>
    <row r="113" spans="2:7" s="279" customFormat="1" ht="15.95" customHeight="1">
      <c r="B113" s="280" t="s">
        <v>111</v>
      </c>
      <c r="C113" s="280" t="s">
        <v>111</v>
      </c>
      <c r="D113" s="280" t="s">
        <v>181</v>
      </c>
      <c r="E113" s="281" t="s">
        <v>182</v>
      </c>
      <c r="F113" s="282">
        <v>0</v>
      </c>
      <c r="G113" s="282">
        <v>48130</v>
      </c>
    </row>
    <row r="114" spans="2:7" s="279" customFormat="1">
      <c r="B114" s="283" t="s">
        <v>158</v>
      </c>
      <c r="C114" s="283" t="s">
        <v>111</v>
      </c>
      <c r="D114" s="283" t="s">
        <v>111</v>
      </c>
      <c r="E114" s="284" t="s">
        <v>94</v>
      </c>
      <c r="F114" s="285">
        <v>2120680</v>
      </c>
      <c r="G114" s="285">
        <v>2120680</v>
      </c>
    </row>
    <row r="115" spans="2:7" s="279" customFormat="1" ht="25.5">
      <c r="B115" s="287" t="s">
        <v>111</v>
      </c>
      <c r="C115" s="287" t="s">
        <v>159</v>
      </c>
      <c r="D115" s="287" t="s">
        <v>111</v>
      </c>
      <c r="E115" s="288" t="s">
        <v>160</v>
      </c>
      <c r="F115" s="289">
        <v>2120680</v>
      </c>
      <c r="G115" s="289">
        <v>2120680</v>
      </c>
    </row>
    <row r="116" spans="2:7" s="279" customFormat="1" ht="45" customHeight="1">
      <c r="B116" s="280" t="s">
        <v>111</v>
      </c>
      <c r="C116" s="280" t="s">
        <v>111</v>
      </c>
      <c r="D116" s="280" t="s">
        <v>112</v>
      </c>
      <c r="E116" s="281" t="s">
        <v>450</v>
      </c>
      <c r="F116" s="282">
        <v>2120680</v>
      </c>
      <c r="G116" s="282">
        <v>0</v>
      </c>
    </row>
    <row r="117" spans="2:7" s="279" customFormat="1">
      <c r="B117" s="280" t="s">
        <v>111</v>
      </c>
      <c r="C117" s="280" t="s">
        <v>111</v>
      </c>
      <c r="D117" s="280" t="s">
        <v>161</v>
      </c>
      <c r="E117" s="281" t="s">
        <v>95</v>
      </c>
      <c r="F117" s="282">
        <v>0</v>
      </c>
      <c r="G117" s="282">
        <v>2120680</v>
      </c>
    </row>
    <row r="118" spans="2:7" s="279" customFormat="1">
      <c r="B118" s="283" t="s">
        <v>96</v>
      </c>
      <c r="C118" s="283" t="s">
        <v>111</v>
      </c>
      <c r="D118" s="283" t="s">
        <v>111</v>
      </c>
      <c r="E118" s="284" t="s">
        <v>97</v>
      </c>
      <c r="F118" s="285">
        <v>865774</v>
      </c>
      <c r="G118" s="285">
        <v>865774</v>
      </c>
    </row>
    <row r="119" spans="2:7" s="279" customFormat="1" ht="15.95" customHeight="1">
      <c r="B119" s="287" t="s">
        <v>111</v>
      </c>
      <c r="C119" s="287" t="s">
        <v>162</v>
      </c>
      <c r="D119" s="287" t="s">
        <v>111</v>
      </c>
      <c r="E119" s="288" t="s">
        <v>98</v>
      </c>
      <c r="F119" s="289">
        <v>865774</v>
      </c>
      <c r="G119" s="289">
        <v>865774</v>
      </c>
    </row>
    <row r="120" spans="2:7" s="279" customFormat="1" ht="45" customHeight="1">
      <c r="B120" s="280" t="s">
        <v>111</v>
      </c>
      <c r="C120" s="280" t="s">
        <v>111</v>
      </c>
      <c r="D120" s="280" t="s">
        <v>112</v>
      </c>
      <c r="E120" s="281" t="s">
        <v>450</v>
      </c>
      <c r="F120" s="282">
        <v>858874</v>
      </c>
      <c r="G120" s="282">
        <v>0</v>
      </c>
    </row>
    <row r="121" spans="2:7" s="279" customFormat="1" ht="53.25" customHeight="1">
      <c r="B121" s="280" t="s">
        <v>111</v>
      </c>
      <c r="C121" s="280" t="s">
        <v>111</v>
      </c>
      <c r="D121" s="280" t="s">
        <v>452</v>
      </c>
      <c r="E121" s="281" t="s">
        <v>453</v>
      </c>
      <c r="F121" s="282">
        <v>6900</v>
      </c>
      <c r="G121" s="282">
        <v>0</v>
      </c>
    </row>
    <row r="122" spans="2:7" s="279" customFormat="1">
      <c r="B122" s="280" t="s">
        <v>111</v>
      </c>
      <c r="C122" s="280" t="s">
        <v>111</v>
      </c>
      <c r="D122" s="280" t="s">
        <v>132</v>
      </c>
      <c r="E122" s="281" t="s">
        <v>69</v>
      </c>
      <c r="F122" s="282">
        <v>0</v>
      </c>
      <c r="G122" s="282">
        <v>57</v>
      </c>
    </row>
    <row r="123" spans="2:7" s="279" customFormat="1" ht="15.95" customHeight="1">
      <c r="B123" s="280" t="s">
        <v>111</v>
      </c>
      <c r="C123" s="280" t="s">
        <v>111</v>
      </c>
      <c r="D123" s="280" t="s">
        <v>116</v>
      </c>
      <c r="E123" s="281" t="s">
        <v>51</v>
      </c>
      <c r="F123" s="282">
        <v>0</v>
      </c>
      <c r="G123" s="282">
        <v>502544</v>
      </c>
    </row>
    <row r="124" spans="2:7" s="279" customFormat="1" ht="15.95" customHeight="1">
      <c r="B124" s="280" t="s">
        <v>111</v>
      </c>
      <c r="C124" s="280" t="s">
        <v>111</v>
      </c>
      <c r="D124" s="280" t="s">
        <v>134</v>
      </c>
      <c r="E124" s="281" t="s">
        <v>71</v>
      </c>
      <c r="F124" s="282">
        <v>0</v>
      </c>
      <c r="G124" s="282">
        <v>31297</v>
      </c>
    </row>
    <row r="125" spans="2:7" s="279" customFormat="1" ht="15.95" customHeight="1">
      <c r="B125" s="280" t="s">
        <v>111</v>
      </c>
      <c r="C125" s="280" t="s">
        <v>111</v>
      </c>
      <c r="D125" s="280" t="s">
        <v>117</v>
      </c>
      <c r="E125" s="281" t="s">
        <v>52</v>
      </c>
      <c r="F125" s="282">
        <v>0</v>
      </c>
      <c r="G125" s="282">
        <v>93007</v>
      </c>
    </row>
    <row r="126" spans="2:7" s="279" customFormat="1">
      <c r="B126" s="280" t="s">
        <v>111</v>
      </c>
      <c r="C126" s="280" t="s">
        <v>111</v>
      </c>
      <c r="D126" s="280" t="s">
        <v>118</v>
      </c>
      <c r="E126" s="281" t="s">
        <v>53</v>
      </c>
      <c r="F126" s="282">
        <v>0</v>
      </c>
      <c r="G126" s="282">
        <v>9363</v>
      </c>
    </row>
    <row r="127" spans="2:7" s="279" customFormat="1" ht="15.95" customHeight="1">
      <c r="B127" s="280" t="s">
        <v>111</v>
      </c>
      <c r="C127" s="280" t="s">
        <v>111</v>
      </c>
      <c r="D127" s="280" t="s">
        <v>119</v>
      </c>
      <c r="E127" s="281" t="s">
        <v>54</v>
      </c>
      <c r="F127" s="282">
        <v>0</v>
      </c>
      <c r="G127" s="282">
        <v>6030</v>
      </c>
    </row>
    <row r="128" spans="2:7" s="279" customFormat="1" ht="15.95" customHeight="1">
      <c r="B128" s="280" t="s">
        <v>111</v>
      </c>
      <c r="C128" s="280" t="s">
        <v>111</v>
      </c>
      <c r="D128" s="280" t="s">
        <v>120</v>
      </c>
      <c r="E128" s="281" t="s">
        <v>55</v>
      </c>
      <c r="F128" s="282">
        <v>0</v>
      </c>
      <c r="G128" s="282">
        <v>46235</v>
      </c>
    </row>
    <row r="129" spans="2:7" s="279" customFormat="1" ht="15.95" customHeight="1">
      <c r="B129" s="280" t="s">
        <v>111</v>
      </c>
      <c r="C129" s="280" t="s">
        <v>111</v>
      </c>
      <c r="D129" s="280" t="s">
        <v>154</v>
      </c>
      <c r="E129" s="281" t="s">
        <v>87</v>
      </c>
      <c r="F129" s="282">
        <v>0</v>
      </c>
      <c r="G129" s="282">
        <v>17380</v>
      </c>
    </row>
    <row r="130" spans="2:7" s="279" customFormat="1" ht="15.95" customHeight="1">
      <c r="B130" s="280" t="s">
        <v>111</v>
      </c>
      <c r="C130" s="280" t="s">
        <v>111</v>
      </c>
      <c r="D130" s="280" t="s">
        <v>121</v>
      </c>
      <c r="E130" s="281" t="s">
        <v>56</v>
      </c>
      <c r="F130" s="282">
        <v>0</v>
      </c>
      <c r="G130" s="282">
        <v>7600</v>
      </c>
    </row>
    <row r="131" spans="2:7" s="279" customFormat="1" ht="15.95" customHeight="1">
      <c r="B131" s="280" t="s">
        <v>111</v>
      </c>
      <c r="C131" s="280" t="s">
        <v>111</v>
      </c>
      <c r="D131" s="280" t="s">
        <v>122</v>
      </c>
      <c r="E131" s="281" t="s">
        <v>57</v>
      </c>
      <c r="F131" s="282">
        <v>0</v>
      </c>
      <c r="G131" s="282">
        <v>7980</v>
      </c>
    </row>
    <row r="132" spans="2:7" s="279" customFormat="1" ht="15.95" customHeight="1">
      <c r="B132" s="280" t="s">
        <v>111</v>
      </c>
      <c r="C132" s="280" t="s">
        <v>111</v>
      </c>
      <c r="D132" s="280" t="s">
        <v>135</v>
      </c>
      <c r="E132" s="281" t="s">
        <v>72</v>
      </c>
      <c r="F132" s="282">
        <v>0</v>
      </c>
      <c r="G132" s="282">
        <v>450</v>
      </c>
    </row>
    <row r="133" spans="2:7" s="279" customFormat="1" ht="15.95" customHeight="1">
      <c r="B133" s="280" t="s">
        <v>111</v>
      </c>
      <c r="C133" s="280" t="s">
        <v>111</v>
      </c>
      <c r="D133" s="280" t="s">
        <v>113</v>
      </c>
      <c r="E133" s="281" t="s">
        <v>48</v>
      </c>
      <c r="F133" s="282">
        <v>0</v>
      </c>
      <c r="G133" s="282">
        <v>94672</v>
      </c>
    </row>
    <row r="134" spans="2:7" s="279" customFormat="1">
      <c r="B134" s="280" t="s">
        <v>111</v>
      </c>
      <c r="C134" s="280" t="s">
        <v>111</v>
      </c>
      <c r="D134" s="280" t="s">
        <v>136</v>
      </c>
      <c r="E134" s="281" t="s">
        <v>137</v>
      </c>
      <c r="F134" s="282">
        <v>0</v>
      </c>
      <c r="G134" s="282">
        <v>1927</v>
      </c>
    </row>
    <row r="135" spans="2:7" s="279" customFormat="1" ht="15.95" customHeight="1">
      <c r="B135" s="280" t="s">
        <v>111</v>
      </c>
      <c r="C135" s="280" t="s">
        <v>111</v>
      </c>
      <c r="D135" s="280" t="s">
        <v>138</v>
      </c>
      <c r="E135" s="281" t="s">
        <v>73</v>
      </c>
      <c r="F135" s="282">
        <v>0</v>
      </c>
      <c r="G135" s="282">
        <v>1829</v>
      </c>
    </row>
    <row r="136" spans="2:7" s="279" customFormat="1" ht="15.95" customHeight="1">
      <c r="B136" s="280" t="s">
        <v>111</v>
      </c>
      <c r="C136" s="280" t="s">
        <v>111</v>
      </c>
      <c r="D136" s="280" t="s">
        <v>124</v>
      </c>
      <c r="E136" s="281" t="s">
        <v>59</v>
      </c>
      <c r="F136" s="282">
        <v>0</v>
      </c>
      <c r="G136" s="282">
        <v>4649</v>
      </c>
    </row>
    <row r="137" spans="2:7" s="279" customFormat="1">
      <c r="B137" s="280" t="s">
        <v>111</v>
      </c>
      <c r="C137" s="280" t="s">
        <v>111</v>
      </c>
      <c r="D137" s="280" t="s">
        <v>139</v>
      </c>
      <c r="E137" s="281" t="s">
        <v>74</v>
      </c>
      <c r="F137" s="282">
        <v>0</v>
      </c>
      <c r="G137" s="282">
        <v>14470</v>
      </c>
    </row>
    <row r="138" spans="2:7" s="279" customFormat="1" ht="15.95" customHeight="1">
      <c r="B138" s="280" t="s">
        <v>111</v>
      </c>
      <c r="C138" s="280" t="s">
        <v>111</v>
      </c>
      <c r="D138" s="280" t="s">
        <v>125</v>
      </c>
      <c r="E138" s="281" t="s">
        <v>60</v>
      </c>
      <c r="F138" s="282">
        <v>0</v>
      </c>
      <c r="G138" s="282">
        <v>3632</v>
      </c>
    </row>
    <row r="139" spans="2:7" s="279" customFormat="1">
      <c r="B139" s="280" t="s">
        <v>111</v>
      </c>
      <c r="C139" s="280" t="s">
        <v>111</v>
      </c>
      <c r="D139" s="280" t="s">
        <v>126</v>
      </c>
      <c r="E139" s="281" t="s">
        <v>61</v>
      </c>
      <c r="F139" s="282">
        <v>0</v>
      </c>
      <c r="G139" s="282">
        <v>3057</v>
      </c>
    </row>
    <row r="140" spans="2:7" s="279" customFormat="1" ht="25.5">
      <c r="B140" s="280" t="s">
        <v>111</v>
      </c>
      <c r="C140" s="280" t="s">
        <v>111</v>
      </c>
      <c r="D140" s="280" t="s">
        <v>141</v>
      </c>
      <c r="E140" s="281" t="s">
        <v>76</v>
      </c>
      <c r="F140" s="282">
        <v>0</v>
      </c>
      <c r="G140" s="282">
        <v>10890</v>
      </c>
    </row>
    <row r="141" spans="2:7" s="279" customFormat="1">
      <c r="B141" s="280" t="s">
        <v>111</v>
      </c>
      <c r="C141" s="280" t="s">
        <v>111</v>
      </c>
      <c r="D141" s="280" t="s">
        <v>163</v>
      </c>
      <c r="E141" s="281" t="s">
        <v>99</v>
      </c>
      <c r="F141" s="282">
        <v>0</v>
      </c>
      <c r="G141" s="282">
        <v>1805</v>
      </c>
    </row>
    <row r="142" spans="2:7" s="279" customFormat="1">
      <c r="B142" s="280" t="s">
        <v>111</v>
      </c>
      <c r="C142" s="280" t="s">
        <v>111</v>
      </c>
      <c r="D142" s="280" t="s">
        <v>454</v>
      </c>
      <c r="E142" s="281" t="s">
        <v>455</v>
      </c>
      <c r="F142" s="282">
        <v>0</v>
      </c>
      <c r="G142" s="282">
        <v>6900</v>
      </c>
    </row>
    <row r="143" spans="2:7" s="279" customFormat="1">
      <c r="B143" s="283" t="s">
        <v>164</v>
      </c>
      <c r="C143" s="283" t="s">
        <v>111</v>
      </c>
      <c r="D143" s="283" t="s">
        <v>111</v>
      </c>
      <c r="E143" s="284" t="s">
        <v>100</v>
      </c>
      <c r="F143" s="285">
        <v>354656</v>
      </c>
      <c r="G143" s="285">
        <v>354656</v>
      </c>
    </row>
    <row r="144" spans="2:7" s="279" customFormat="1" ht="15.95" customHeight="1">
      <c r="B144" s="287" t="s">
        <v>111</v>
      </c>
      <c r="C144" s="287" t="s">
        <v>165</v>
      </c>
      <c r="D144" s="287" t="s">
        <v>111</v>
      </c>
      <c r="E144" s="288" t="s">
        <v>101</v>
      </c>
      <c r="F144" s="289">
        <v>274301</v>
      </c>
      <c r="G144" s="289">
        <v>274301</v>
      </c>
    </row>
    <row r="145" spans="2:7" s="279" customFormat="1" ht="45" customHeight="1">
      <c r="B145" s="280" t="s">
        <v>111</v>
      </c>
      <c r="C145" s="280" t="s">
        <v>111</v>
      </c>
      <c r="D145" s="280" t="s">
        <v>112</v>
      </c>
      <c r="E145" s="281" t="s">
        <v>450</v>
      </c>
      <c r="F145" s="282">
        <v>274301</v>
      </c>
      <c r="G145" s="282">
        <v>0</v>
      </c>
    </row>
    <row r="146" spans="2:7" s="279" customFormat="1">
      <c r="B146" s="280" t="s">
        <v>111</v>
      </c>
      <c r="C146" s="280" t="s">
        <v>111</v>
      </c>
      <c r="D146" s="280" t="s">
        <v>132</v>
      </c>
      <c r="E146" s="281" t="s">
        <v>69</v>
      </c>
      <c r="F146" s="282">
        <v>0</v>
      </c>
      <c r="G146" s="282">
        <v>300</v>
      </c>
    </row>
    <row r="147" spans="2:7" s="279" customFormat="1" ht="15.95" customHeight="1">
      <c r="B147" s="280" t="s">
        <v>111</v>
      </c>
      <c r="C147" s="280" t="s">
        <v>111</v>
      </c>
      <c r="D147" s="280" t="s">
        <v>116</v>
      </c>
      <c r="E147" s="281" t="s">
        <v>51</v>
      </c>
      <c r="F147" s="282">
        <v>0</v>
      </c>
      <c r="G147" s="282">
        <v>119473</v>
      </c>
    </row>
    <row r="148" spans="2:7" s="279" customFormat="1" ht="15.95" customHeight="1">
      <c r="B148" s="280" t="s">
        <v>111</v>
      </c>
      <c r="C148" s="280" t="s">
        <v>111</v>
      </c>
      <c r="D148" s="280" t="s">
        <v>134</v>
      </c>
      <c r="E148" s="281" t="s">
        <v>71</v>
      </c>
      <c r="F148" s="282">
        <v>0</v>
      </c>
      <c r="G148" s="282">
        <v>7382</v>
      </c>
    </row>
    <row r="149" spans="2:7" s="279" customFormat="1" ht="15.95" customHeight="1">
      <c r="B149" s="280" t="s">
        <v>111</v>
      </c>
      <c r="C149" s="280" t="s">
        <v>111</v>
      </c>
      <c r="D149" s="280" t="s">
        <v>117</v>
      </c>
      <c r="E149" s="281" t="s">
        <v>52</v>
      </c>
      <c r="F149" s="282">
        <v>0</v>
      </c>
      <c r="G149" s="282">
        <v>25737</v>
      </c>
    </row>
    <row r="150" spans="2:7" s="279" customFormat="1">
      <c r="B150" s="280" t="s">
        <v>111</v>
      </c>
      <c r="C150" s="280" t="s">
        <v>111</v>
      </c>
      <c r="D150" s="280" t="s">
        <v>118</v>
      </c>
      <c r="E150" s="281" t="s">
        <v>53</v>
      </c>
      <c r="F150" s="282">
        <v>0</v>
      </c>
      <c r="G150" s="282">
        <v>2057</v>
      </c>
    </row>
    <row r="151" spans="2:7" s="279" customFormat="1" ht="15.95" customHeight="1">
      <c r="B151" s="280" t="s">
        <v>111</v>
      </c>
      <c r="C151" s="280" t="s">
        <v>111</v>
      </c>
      <c r="D151" s="280" t="s">
        <v>119</v>
      </c>
      <c r="E151" s="281" t="s">
        <v>54</v>
      </c>
      <c r="F151" s="282">
        <v>0</v>
      </c>
      <c r="G151" s="282">
        <v>31215</v>
      </c>
    </row>
    <row r="152" spans="2:7" s="279" customFormat="1" ht="15.95" customHeight="1">
      <c r="B152" s="280" t="s">
        <v>111</v>
      </c>
      <c r="C152" s="280" t="s">
        <v>111</v>
      </c>
      <c r="D152" s="280" t="s">
        <v>120</v>
      </c>
      <c r="E152" s="281" t="s">
        <v>55</v>
      </c>
      <c r="F152" s="282">
        <v>0</v>
      </c>
      <c r="G152" s="282">
        <v>18341</v>
      </c>
    </row>
    <row r="153" spans="2:7" s="279" customFormat="1" ht="15.95" customHeight="1">
      <c r="B153" s="280" t="s">
        <v>111</v>
      </c>
      <c r="C153" s="280" t="s">
        <v>111</v>
      </c>
      <c r="D153" s="280" t="s">
        <v>135</v>
      </c>
      <c r="E153" s="281" t="s">
        <v>72</v>
      </c>
      <c r="F153" s="282">
        <v>0</v>
      </c>
      <c r="G153" s="282">
        <v>100</v>
      </c>
    </row>
    <row r="154" spans="2:7" s="279" customFormat="1" ht="15.95" customHeight="1">
      <c r="B154" s="280" t="s">
        <v>111</v>
      </c>
      <c r="C154" s="280" t="s">
        <v>111</v>
      </c>
      <c r="D154" s="280" t="s">
        <v>113</v>
      </c>
      <c r="E154" s="281" t="s">
        <v>48</v>
      </c>
      <c r="F154" s="282">
        <v>0</v>
      </c>
      <c r="G154" s="282">
        <v>66237</v>
      </c>
    </row>
    <row r="155" spans="2:7" s="279" customFormat="1">
      <c r="B155" s="280" t="s">
        <v>111</v>
      </c>
      <c r="C155" s="280" t="s">
        <v>111</v>
      </c>
      <c r="D155" s="280" t="s">
        <v>139</v>
      </c>
      <c r="E155" s="281" t="s">
        <v>74</v>
      </c>
      <c r="F155" s="282">
        <v>0</v>
      </c>
      <c r="G155" s="282">
        <v>3359</v>
      </c>
    </row>
    <row r="156" spans="2:7" s="279" customFormat="1" ht="25.5">
      <c r="B156" s="280" t="s">
        <v>111</v>
      </c>
      <c r="C156" s="280" t="s">
        <v>111</v>
      </c>
      <c r="D156" s="280" t="s">
        <v>141</v>
      </c>
      <c r="E156" s="281" t="s">
        <v>76</v>
      </c>
      <c r="F156" s="282">
        <v>0</v>
      </c>
      <c r="G156" s="282">
        <v>100</v>
      </c>
    </row>
    <row r="157" spans="2:7" s="279" customFormat="1">
      <c r="B157" s="280" t="s">
        <v>111</v>
      </c>
      <c r="C157" s="280" t="s">
        <v>111</v>
      </c>
      <c r="D157" s="280" t="s">
        <v>163</v>
      </c>
      <c r="E157" s="281" t="s">
        <v>99</v>
      </c>
      <c r="F157" s="282">
        <v>0</v>
      </c>
      <c r="G157" s="282">
        <v>0</v>
      </c>
    </row>
    <row r="158" spans="2:7" s="279" customFormat="1" ht="15.95" customHeight="1">
      <c r="B158" s="287" t="s">
        <v>111</v>
      </c>
      <c r="C158" s="287" t="s">
        <v>172</v>
      </c>
      <c r="D158" s="287" t="s">
        <v>111</v>
      </c>
      <c r="E158" s="288" t="s">
        <v>171</v>
      </c>
      <c r="F158" s="289">
        <v>80355</v>
      </c>
      <c r="G158" s="289">
        <v>80355</v>
      </c>
    </row>
    <row r="159" spans="2:7" s="279" customFormat="1" ht="45" customHeight="1">
      <c r="B159" s="280" t="s">
        <v>111</v>
      </c>
      <c r="C159" s="280" t="s">
        <v>111</v>
      </c>
      <c r="D159" s="280" t="s">
        <v>112</v>
      </c>
      <c r="E159" s="281" t="s">
        <v>450</v>
      </c>
      <c r="F159" s="282">
        <v>80355</v>
      </c>
      <c r="G159" s="282">
        <v>0</v>
      </c>
    </row>
    <row r="160" spans="2:7" s="279" customFormat="1" ht="15.95" customHeight="1">
      <c r="B160" s="280" t="s">
        <v>111</v>
      </c>
      <c r="C160" s="280" t="s">
        <v>111</v>
      </c>
      <c r="D160" s="280" t="s">
        <v>166</v>
      </c>
      <c r="E160" s="281" t="s">
        <v>108</v>
      </c>
      <c r="F160" s="282">
        <v>0</v>
      </c>
      <c r="G160" s="282">
        <v>80355</v>
      </c>
    </row>
    <row r="161" spans="2:7" s="279" customFormat="1">
      <c r="B161" s="283" t="s">
        <v>102</v>
      </c>
      <c r="C161" s="283" t="s">
        <v>111</v>
      </c>
      <c r="D161" s="283" t="s">
        <v>111</v>
      </c>
      <c r="E161" s="284" t="s">
        <v>103</v>
      </c>
      <c r="F161" s="285">
        <v>1001198</v>
      </c>
      <c r="G161" s="285">
        <v>1001198</v>
      </c>
    </row>
    <row r="162" spans="2:7" s="279" customFormat="1" ht="15.95" customHeight="1">
      <c r="B162" s="287" t="s">
        <v>111</v>
      </c>
      <c r="C162" s="287" t="s">
        <v>104</v>
      </c>
      <c r="D162" s="287" t="s">
        <v>111</v>
      </c>
      <c r="E162" s="288" t="s">
        <v>105</v>
      </c>
      <c r="F162" s="289">
        <v>0</v>
      </c>
      <c r="G162" s="289">
        <v>0</v>
      </c>
    </row>
    <row r="163" spans="2:7" s="279" customFormat="1" ht="45" customHeight="1">
      <c r="B163" s="280" t="s">
        <v>111</v>
      </c>
      <c r="C163" s="280" t="s">
        <v>111</v>
      </c>
      <c r="D163" s="280" t="s">
        <v>112</v>
      </c>
      <c r="E163" s="281" t="s">
        <v>450</v>
      </c>
      <c r="F163" s="282">
        <v>0</v>
      </c>
      <c r="G163" s="282">
        <v>0</v>
      </c>
    </row>
    <row r="164" spans="2:7" s="279" customFormat="1" ht="15.95" customHeight="1">
      <c r="B164" s="280" t="s">
        <v>111</v>
      </c>
      <c r="C164" s="280" t="s">
        <v>111</v>
      </c>
      <c r="D164" s="280" t="s">
        <v>166</v>
      </c>
      <c r="E164" s="281" t="s">
        <v>108</v>
      </c>
      <c r="F164" s="282">
        <v>0</v>
      </c>
      <c r="G164" s="282">
        <v>0</v>
      </c>
    </row>
    <row r="165" spans="2:7" s="279" customFormat="1" ht="15.95" customHeight="1">
      <c r="B165" s="280" t="s">
        <v>111</v>
      </c>
      <c r="C165" s="280" t="s">
        <v>111</v>
      </c>
      <c r="D165" s="280" t="s">
        <v>116</v>
      </c>
      <c r="E165" s="281" t="s">
        <v>51</v>
      </c>
      <c r="F165" s="282">
        <v>0</v>
      </c>
      <c r="G165" s="282">
        <v>0</v>
      </c>
    </row>
    <row r="166" spans="2:7" s="279" customFormat="1" ht="15.95" customHeight="1">
      <c r="B166" s="280" t="s">
        <v>111</v>
      </c>
      <c r="C166" s="280" t="s">
        <v>111</v>
      </c>
      <c r="D166" s="280" t="s">
        <v>117</v>
      </c>
      <c r="E166" s="281" t="s">
        <v>52</v>
      </c>
      <c r="F166" s="282">
        <v>0</v>
      </c>
      <c r="G166" s="282">
        <v>0</v>
      </c>
    </row>
    <row r="167" spans="2:7" s="279" customFormat="1">
      <c r="B167" s="280" t="s">
        <v>111</v>
      </c>
      <c r="C167" s="280" t="s">
        <v>111</v>
      </c>
      <c r="D167" s="280" t="s">
        <v>118</v>
      </c>
      <c r="E167" s="281" t="s">
        <v>53</v>
      </c>
      <c r="F167" s="282">
        <v>0</v>
      </c>
      <c r="G167" s="282">
        <v>0</v>
      </c>
    </row>
    <row r="168" spans="2:7" s="279" customFormat="1" ht="15.95" customHeight="1">
      <c r="B168" s="287" t="s">
        <v>111</v>
      </c>
      <c r="C168" s="287" t="s">
        <v>106</v>
      </c>
      <c r="D168" s="287" t="s">
        <v>111</v>
      </c>
      <c r="E168" s="288" t="s">
        <v>107</v>
      </c>
      <c r="F168" s="289">
        <v>506859</v>
      </c>
      <c r="G168" s="289">
        <v>506859</v>
      </c>
    </row>
    <row r="169" spans="2:7" s="279" customFormat="1" ht="84.95" customHeight="1">
      <c r="B169" s="280" t="s">
        <v>111</v>
      </c>
      <c r="C169" s="280" t="s">
        <v>111</v>
      </c>
      <c r="D169" s="280" t="s">
        <v>167</v>
      </c>
      <c r="E169" s="281" t="s">
        <v>456</v>
      </c>
      <c r="F169" s="282">
        <v>506859</v>
      </c>
      <c r="G169" s="282">
        <v>0</v>
      </c>
    </row>
    <row r="170" spans="2:7" s="279" customFormat="1" ht="15.95" customHeight="1">
      <c r="B170" s="280" t="s">
        <v>111</v>
      </c>
      <c r="C170" s="280" t="s">
        <v>111</v>
      </c>
      <c r="D170" s="280" t="s">
        <v>166</v>
      </c>
      <c r="E170" s="281" t="s">
        <v>108</v>
      </c>
      <c r="F170" s="282">
        <v>0</v>
      </c>
      <c r="G170" s="282">
        <v>501841</v>
      </c>
    </row>
    <row r="171" spans="2:7" s="279" customFormat="1" ht="15.95" customHeight="1">
      <c r="B171" s="280" t="s">
        <v>111</v>
      </c>
      <c r="C171" s="280" t="s">
        <v>111</v>
      </c>
      <c r="D171" s="280" t="s">
        <v>116</v>
      </c>
      <c r="E171" s="281" t="s">
        <v>51</v>
      </c>
      <c r="F171" s="282">
        <v>0</v>
      </c>
      <c r="G171" s="282">
        <v>5018</v>
      </c>
    </row>
    <row r="172" spans="2:7" s="279" customFormat="1">
      <c r="B172" s="287" t="s">
        <v>111</v>
      </c>
      <c r="C172" s="287" t="s">
        <v>109</v>
      </c>
      <c r="D172" s="287" t="s">
        <v>111</v>
      </c>
      <c r="E172" s="288" t="s">
        <v>110</v>
      </c>
      <c r="F172" s="289">
        <v>494339</v>
      </c>
      <c r="G172" s="289">
        <v>494339</v>
      </c>
    </row>
    <row r="173" spans="2:7" s="279" customFormat="1" ht="45" customHeight="1">
      <c r="B173" s="280" t="s">
        <v>111</v>
      </c>
      <c r="C173" s="280" t="s">
        <v>111</v>
      </c>
      <c r="D173" s="280" t="s">
        <v>112</v>
      </c>
      <c r="E173" s="281" t="s">
        <v>450</v>
      </c>
      <c r="F173" s="282">
        <v>63446</v>
      </c>
      <c r="G173" s="282">
        <v>0</v>
      </c>
    </row>
    <row r="174" spans="2:7" s="279" customFormat="1" ht="84.95" customHeight="1">
      <c r="B174" s="280" t="s">
        <v>111</v>
      </c>
      <c r="C174" s="280" t="s">
        <v>111</v>
      </c>
      <c r="D174" s="280" t="s">
        <v>167</v>
      </c>
      <c r="E174" s="281" t="s">
        <v>456</v>
      </c>
      <c r="F174" s="282">
        <v>430893</v>
      </c>
      <c r="G174" s="282">
        <v>0</v>
      </c>
    </row>
    <row r="175" spans="2:7" s="279" customFormat="1" ht="15.95" customHeight="1">
      <c r="B175" s="280" t="s">
        <v>111</v>
      </c>
      <c r="C175" s="280" t="s">
        <v>111</v>
      </c>
      <c r="D175" s="280" t="s">
        <v>166</v>
      </c>
      <c r="E175" s="281" t="s">
        <v>108</v>
      </c>
      <c r="F175" s="282">
        <v>0</v>
      </c>
      <c r="G175" s="282">
        <v>435319</v>
      </c>
    </row>
    <row r="176" spans="2:7" s="279" customFormat="1" ht="15.95" customHeight="1">
      <c r="B176" s="280" t="s">
        <v>111</v>
      </c>
      <c r="C176" s="280" t="s">
        <v>111</v>
      </c>
      <c r="D176" s="280" t="s">
        <v>116</v>
      </c>
      <c r="E176" s="281" t="s">
        <v>51</v>
      </c>
      <c r="F176" s="282">
        <v>0</v>
      </c>
      <c r="G176" s="282">
        <v>50021</v>
      </c>
    </row>
    <row r="177" spans="2:7" s="279" customFormat="1" ht="15.95" customHeight="1">
      <c r="B177" s="280" t="s">
        <v>111</v>
      </c>
      <c r="C177" s="280" t="s">
        <v>111</v>
      </c>
      <c r="D177" s="280" t="s">
        <v>117</v>
      </c>
      <c r="E177" s="281" t="s">
        <v>52</v>
      </c>
      <c r="F177" s="282">
        <v>0</v>
      </c>
      <c r="G177" s="282">
        <v>7879</v>
      </c>
    </row>
    <row r="178" spans="2:7" s="279" customFormat="1">
      <c r="B178" s="280" t="s">
        <v>111</v>
      </c>
      <c r="C178" s="280" t="s">
        <v>111</v>
      </c>
      <c r="D178" s="280" t="s">
        <v>118</v>
      </c>
      <c r="E178" s="281" t="s">
        <v>53</v>
      </c>
      <c r="F178" s="282">
        <v>0</v>
      </c>
      <c r="G178" s="282">
        <v>1120</v>
      </c>
    </row>
    <row r="179" spans="2:7" s="279" customFormat="1" ht="16.5" customHeight="1">
      <c r="B179" s="355" t="s">
        <v>168</v>
      </c>
      <c r="C179" s="355"/>
      <c r="D179" s="355"/>
      <c r="E179" s="355"/>
      <c r="F179" s="286">
        <v>15720728</v>
      </c>
      <c r="G179" s="286">
        <v>15720728</v>
      </c>
    </row>
    <row r="180" spans="2:7" s="271" customFormat="1"/>
    <row r="181" spans="2:7" s="271" customFormat="1"/>
  </sheetData>
  <sheetProtection algorithmName="SHA-512" hashValue="fFSxvWGKhnj1XUFGj7mFpSiQwYOXpjvJs/uTsixr4cKVT7joJFIrrXfGkrDTUGh4xssSYnMu4WQ3B9C1G/RVtA==" saltValue="sgajTNGYdRNLBVHMe47DgQ==" spinCount="100000" sheet="1" objects="1" scenarios="1"/>
  <autoFilter ref="D1:D181"/>
  <mergeCells count="2">
    <mergeCell ref="B2:G2"/>
    <mergeCell ref="B179:E179"/>
  </mergeCells>
  <pageMargins left="0.59055118110236227" right="0.39370078740157483" top="1.4960629921259843" bottom="0.9055118110236221" header="0.78740157480314965" footer="0.59055118110236227"/>
  <pageSetup paperSize="9" scale="88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4" manualBreakCount="4">
    <brk id="48" min="1" max="6" man="1"/>
    <brk id="91" min="1" max="6" man="1"/>
    <brk id="127" min="1" max="6" man="1"/>
    <brk id="168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Tab.2a  </vt:lpstr>
      <vt:lpstr>Tab.3</vt:lpstr>
      <vt:lpstr>Tab.5</vt:lpstr>
      <vt:lpstr>'Tab.2a  '!Obszar_wydruku</vt:lpstr>
      <vt:lpstr>Tab.3!Obszar_wydruku</vt:lpstr>
      <vt:lpstr>Tab.5!Obszar_wydruku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2021-12-07T08:50:13Z</cp:lastPrinted>
  <dcterms:created xsi:type="dcterms:W3CDTF">2015-10-09T11:05:37Z</dcterms:created>
  <dcterms:modified xsi:type="dcterms:W3CDTF">2021-12-07T10:08:58Z</dcterms:modified>
</cp:coreProperties>
</file>