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GAZ  po nowej stawce 0,327\"/>
    </mc:Choice>
  </mc:AlternateContent>
  <xr:revisionPtr revIDLastSave="0" documentId="13_ncr:1_{261A8FA9-A0BB-4154-8EFC-FC1735A8AE95}" xr6:coauthVersionLast="47" xr6:coauthVersionMax="47" xr10:uidLastSave="{00000000-0000-0000-0000-000000000000}"/>
  <bookViews>
    <workbookView xWindow="5355" yWindow="120" windowWidth="23025" windowHeight="14655" tabRatio="503" xr2:uid="{00000000-000D-0000-FFFF-FFFF00000000}"/>
  </bookViews>
  <sheets>
    <sheet name="wszystkie taryfy na rok" sheetId="9" r:id="rId1"/>
    <sheet name="taryfa W-2.1 na rok" sheetId="10" r:id="rId2"/>
    <sheet name="taryfa W.4" sheetId="11" r:id="rId3"/>
    <sheet name="taryfa W-3.6" sheetId="12" r:id="rId4"/>
    <sheet name="taryfa W-5.1" sheetId="1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3" l="1"/>
  <c r="K5" i="13"/>
  <c r="K6" i="13"/>
  <c r="K7" i="13"/>
  <c r="K8" i="13"/>
  <c r="K3" i="13"/>
  <c r="K10" i="13" s="1"/>
  <c r="J14" i="12"/>
  <c r="K5" i="12"/>
  <c r="K6" i="12"/>
  <c r="K7" i="12"/>
  <c r="K8" i="12"/>
  <c r="K9" i="12"/>
  <c r="K10" i="12"/>
  <c r="K11" i="12"/>
  <c r="K12" i="12"/>
  <c r="K4" i="12"/>
  <c r="K14" i="12" s="1"/>
  <c r="U8" i="12"/>
  <c r="T8" i="12"/>
  <c r="J7" i="11"/>
  <c r="K5" i="11"/>
  <c r="K4" i="11"/>
  <c r="K7" i="11" s="1"/>
  <c r="T5" i="11"/>
  <c r="U5" i="11" s="1"/>
  <c r="K8" i="10"/>
  <c r="K7" i="10"/>
  <c r="K10" i="10" s="1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4" i="9"/>
  <c r="J10" i="13"/>
  <c r="M6" i="13"/>
  <c r="T6" i="13" s="1"/>
  <c r="U6" i="13" s="1"/>
  <c r="O6" i="13"/>
  <c r="Q6" i="13"/>
  <c r="M7" i="13"/>
  <c r="T7" i="13" s="1"/>
  <c r="U7" i="13" s="1"/>
  <c r="O7" i="13"/>
  <c r="Q7" i="13"/>
  <c r="S7" i="13"/>
  <c r="M8" i="13"/>
  <c r="T8" i="13" s="1"/>
  <c r="U8" i="13" s="1"/>
  <c r="S6" i="13"/>
  <c r="S8" i="13"/>
  <c r="Q8" i="13"/>
  <c r="O8" i="13"/>
  <c r="L12" i="9"/>
  <c r="N12" i="9"/>
  <c r="P12" i="9"/>
  <c r="R12" i="9"/>
  <c r="S12" i="9" s="1"/>
  <c r="T12" i="9" s="1"/>
  <c r="M5" i="13"/>
  <c r="T5" i="13" s="1"/>
  <c r="U5" i="13" s="1"/>
  <c r="S5" i="13"/>
  <c r="Q5" i="13"/>
  <c r="O5" i="13"/>
  <c r="M4" i="13"/>
  <c r="S4" i="13"/>
  <c r="Q4" i="13"/>
  <c r="T4" i="13" s="1"/>
  <c r="U4" i="13" s="1"/>
  <c r="O4" i="13"/>
  <c r="M3" i="13"/>
  <c r="T3" i="13" s="1"/>
  <c r="S3" i="13"/>
  <c r="S10" i="13" s="1"/>
  <c r="Q3" i="13"/>
  <c r="Q10" i="13" s="1"/>
  <c r="O3" i="13"/>
  <c r="O10" i="13" s="1"/>
  <c r="S12" i="12"/>
  <c r="Q12" i="12"/>
  <c r="O12" i="12"/>
  <c r="M12" i="12"/>
  <c r="T12" i="12" s="1"/>
  <c r="U12" i="12" s="1"/>
  <c r="M11" i="12"/>
  <c r="T11" i="12" s="1"/>
  <c r="U11" i="12" s="1"/>
  <c r="S11" i="12"/>
  <c r="Q11" i="12"/>
  <c r="O11" i="12"/>
  <c r="M10" i="12"/>
  <c r="T10" i="12" s="1"/>
  <c r="U10" i="12" s="1"/>
  <c r="S10" i="12"/>
  <c r="Q10" i="12"/>
  <c r="O10" i="12"/>
  <c r="M9" i="12"/>
  <c r="S9" i="12"/>
  <c r="Q9" i="12"/>
  <c r="O9" i="12"/>
  <c r="T9" i="12" s="1"/>
  <c r="U9" i="12" s="1"/>
  <c r="M8" i="12"/>
  <c r="S8" i="12"/>
  <c r="Q8" i="12"/>
  <c r="O8" i="12"/>
  <c r="M7" i="12"/>
  <c r="T7" i="12" s="1"/>
  <c r="U7" i="12" s="1"/>
  <c r="S7" i="12"/>
  <c r="S14" i="12" s="1"/>
  <c r="Q7" i="12"/>
  <c r="O7" i="12"/>
  <c r="M6" i="12"/>
  <c r="T6" i="12" s="1"/>
  <c r="U6" i="12" s="1"/>
  <c r="S6" i="12"/>
  <c r="Q6" i="12"/>
  <c r="O6" i="12"/>
  <c r="M5" i="12"/>
  <c r="S5" i="12"/>
  <c r="Q5" i="12"/>
  <c r="O5" i="12"/>
  <c r="T5" i="12" s="1"/>
  <c r="U5" i="12" s="1"/>
  <c r="S4" i="12"/>
  <c r="Q4" i="12"/>
  <c r="T4" i="12" s="1"/>
  <c r="O4" i="12"/>
  <c r="M4" i="12"/>
  <c r="M14" i="12" s="1"/>
  <c r="S7" i="11"/>
  <c r="Q7" i="11"/>
  <c r="O7" i="11"/>
  <c r="S5" i="11"/>
  <c r="Q5" i="11"/>
  <c r="O5" i="11"/>
  <c r="M5" i="11"/>
  <c r="M4" i="11"/>
  <c r="M7" i="11" s="1"/>
  <c r="K10" i="11" s="1"/>
  <c r="S4" i="11"/>
  <c r="Q4" i="11"/>
  <c r="O4" i="11"/>
  <c r="S8" i="10"/>
  <c r="Q8" i="10"/>
  <c r="O8" i="10"/>
  <c r="T8" i="10" s="1"/>
  <c r="U8" i="10" s="1"/>
  <c r="S7" i="10"/>
  <c r="Q7" i="10"/>
  <c r="O7" i="10"/>
  <c r="J10" i="10"/>
  <c r="M8" i="10"/>
  <c r="M7" i="10"/>
  <c r="M10" i="10" s="1"/>
  <c r="U4" i="12" l="1"/>
  <c r="U14" i="12" s="1"/>
  <c r="T14" i="12"/>
  <c r="T10" i="13"/>
  <c r="U3" i="13"/>
  <c r="U10" i="13" s="1"/>
  <c r="O14" i="12"/>
  <c r="M17" i="12" s="1"/>
  <c r="T4" i="11"/>
  <c r="Q14" i="12"/>
  <c r="M10" i="13"/>
  <c r="M14" i="13" s="1"/>
  <c r="T7" i="10"/>
  <c r="Q10" i="10"/>
  <c r="O10" i="10"/>
  <c r="S10" i="10"/>
  <c r="T10" i="10" l="1"/>
  <c r="U7" i="10"/>
  <c r="U10" i="10" s="1"/>
  <c r="T7" i="11"/>
  <c r="U4" i="11"/>
  <c r="U7" i="11" s="1"/>
  <c r="R19" i="9" l="1"/>
  <c r="P19" i="9"/>
  <c r="N19" i="9"/>
  <c r="L19" i="9"/>
  <c r="S19" i="9" s="1"/>
  <c r="T19" i="9" s="1"/>
  <c r="L16" i="9" l="1"/>
  <c r="L17" i="9"/>
  <c r="L15" i="9"/>
  <c r="L14" i="9"/>
  <c r="L22" i="9"/>
  <c r="L21" i="9"/>
  <c r="L20" i="9"/>
  <c r="L18" i="9"/>
  <c r="L13" i="9"/>
  <c r="L10" i="9"/>
  <c r="L9" i="9"/>
  <c r="L8" i="9"/>
  <c r="L7" i="9"/>
  <c r="L6" i="9"/>
  <c r="L5" i="9"/>
  <c r="R22" i="9" l="1"/>
  <c r="S22" i="9" s="1"/>
  <c r="T22" i="9" s="1"/>
  <c r="R21" i="9"/>
  <c r="P22" i="9"/>
  <c r="N22" i="9"/>
  <c r="P21" i="9"/>
  <c r="N21" i="9"/>
  <c r="S21" i="9" s="1"/>
  <c r="T21" i="9" s="1"/>
  <c r="R20" i="9" l="1"/>
  <c r="P20" i="9"/>
  <c r="N20" i="9"/>
  <c r="S20" i="9" s="1"/>
  <c r="T20" i="9" s="1"/>
  <c r="R18" i="9" l="1"/>
  <c r="P18" i="9"/>
  <c r="N18" i="9"/>
  <c r="S18" i="9" s="1"/>
  <c r="T18" i="9" s="1"/>
  <c r="R17" i="9"/>
  <c r="P17" i="9"/>
  <c r="N17" i="9"/>
  <c r="S17" i="9" s="1"/>
  <c r="T17" i="9" s="1"/>
  <c r="R16" i="9"/>
  <c r="P16" i="9"/>
  <c r="N16" i="9"/>
  <c r="S16" i="9" s="1"/>
  <c r="T16" i="9" s="1"/>
  <c r="R15" i="9"/>
  <c r="P15" i="9"/>
  <c r="N15" i="9"/>
  <c r="S15" i="9" s="1"/>
  <c r="T15" i="9" s="1"/>
  <c r="R14" i="9"/>
  <c r="P14" i="9"/>
  <c r="N14" i="9"/>
  <c r="S14" i="9" s="1"/>
  <c r="T14" i="9" s="1"/>
  <c r="R13" i="9"/>
  <c r="P13" i="9"/>
  <c r="N13" i="9"/>
  <c r="S13" i="9" s="1"/>
  <c r="T13" i="9" s="1"/>
  <c r="R4" i="9" l="1"/>
  <c r="R5" i="9"/>
  <c r="R6" i="9"/>
  <c r="R7" i="9"/>
  <c r="R8" i="9"/>
  <c r="R9" i="9"/>
  <c r="R10" i="9"/>
  <c r="R11" i="9"/>
  <c r="P10" i="9"/>
  <c r="P11" i="9"/>
  <c r="P9" i="9"/>
  <c r="P8" i="9"/>
  <c r="P7" i="9"/>
  <c r="P5" i="9"/>
  <c r="R27" i="9" l="1"/>
  <c r="P6" i="9"/>
  <c r="P4" i="9"/>
  <c r="P27" i="9" s="1"/>
  <c r="N10" i="9" l="1"/>
  <c r="S10" i="9" s="1"/>
  <c r="T10" i="9" s="1"/>
  <c r="N11" i="9"/>
  <c r="N9" i="9"/>
  <c r="S9" i="9" s="1"/>
  <c r="T9" i="9" s="1"/>
  <c r="N7" i="9"/>
  <c r="S7" i="9" s="1"/>
  <c r="T7" i="9" s="1"/>
  <c r="N8" i="9"/>
  <c r="S8" i="9" s="1"/>
  <c r="T8" i="9" s="1"/>
  <c r="N5" i="9"/>
  <c r="S5" i="9" s="1"/>
  <c r="T5" i="9" s="1"/>
  <c r="N6" i="9"/>
  <c r="S6" i="9" s="1"/>
  <c r="T6" i="9" s="1"/>
  <c r="N4" i="9"/>
  <c r="L11" i="9"/>
  <c r="S11" i="9" s="1"/>
  <c r="T11" i="9" s="1"/>
  <c r="N27" i="9" l="1"/>
  <c r="L4" i="9"/>
  <c r="S4" i="9" l="1"/>
  <c r="L27" i="9"/>
  <c r="L33" i="9" s="1"/>
  <c r="T4" i="9" l="1"/>
  <c r="T25" i="9" s="1"/>
  <c r="S25" i="9"/>
</calcChain>
</file>

<file path=xl/sharedStrings.xml><?xml version="1.0" encoding="utf-8"?>
<sst xmlns="http://schemas.openxmlformats.org/spreadsheetml/2006/main" count="350" uniqueCount="84">
  <si>
    <t>lp.</t>
  </si>
  <si>
    <t>Nazwa Jednostki Adres miejsce i punkt odbioru</t>
  </si>
  <si>
    <t>Nr gazomierza</t>
  </si>
  <si>
    <t>Grupa taryfowa OSD</t>
  </si>
  <si>
    <t>Moc umowna</t>
  </si>
  <si>
    <t>Czas na jaki została zawarta umowa</t>
  </si>
  <si>
    <t>Nazwa OSD</t>
  </si>
  <si>
    <t>Młodzieżowy Ośrodek Socjoterapii „Jędruś” w Józefowie ul.Główna 10 05-410 Józefów</t>
  </si>
  <si>
    <t>12M2G65L72000149098</t>
  </si>
  <si>
    <t>W-5.1</t>
  </si>
  <si>
    <t>176  kWh/h</t>
  </si>
  <si>
    <t>czas określony do 31.12.2021r</t>
  </si>
  <si>
    <t>Polska Spółka Gazownictwa Oddział w Warszawie ul. Równoległa 4 a, 02-235 Warszawa</t>
  </si>
  <si>
    <t>17MUGG413001670998</t>
  </si>
  <si>
    <t>W-3.6</t>
  </si>
  <si>
    <t>110 kWh/h</t>
  </si>
  <si>
    <t>Specjalny Ośrodek Szkolno-Wychowawczy nr 1, ul. Majowa 17/19        05-400 Otwock</t>
  </si>
  <si>
    <t>CGT-DN50G65PN16-150115</t>
  </si>
  <si>
    <t>406 kWh/h</t>
  </si>
  <si>
    <t xml:space="preserve">Powiatowy Młodzieżowy Dom Kultury w Otwocku ul. Poniatowskiego 10   05-400 Otwock  </t>
  </si>
  <si>
    <t>04M5G613000001882</t>
  </si>
  <si>
    <t>Powiatowa Poradnia Psychologiczno-Pedagogiczna ul. Majowa 17/19      05-400 Otwock</t>
  </si>
  <si>
    <t>13M6G4L13000377385</t>
  </si>
  <si>
    <t>Liceum Ogólnokształcące  nr I  im. K.I Gałczyńskiego, w Otwocku ul. Filipowicza 9 05-400 Otwock</t>
  </si>
  <si>
    <t>12KBKG1028029238392</t>
  </si>
  <si>
    <t>Specjalny Ośrodek Szkolno-Wychowawczy Nr 2 Ul. Literacka 8 05-400 Otwock</t>
  </si>
  <si>
    <t>14M2G65L72000439667</t>
  </si>
  <si>
    <t>274 kWh/h</t>
  </si>
  <si>
    <t>11AG413025154506</t>
  </si>
  <si>
    <t>Zespół Szkół nr 2 im.MariiSkłodowskiwj Curie w otwocku ul. Pułaskiego 7, 05-400 Otwock</t>
  </si>
  <si>
    <t>18AG1628005969663</t>
  </si>
  <si>
    <t>263 kWh/h</t>
  </si>
  <si>
    <t>opłata abonamentowa</t>
  </si>
  <si>
    <t>nowa cena po przetargu</t>
  </si>
  <si>
    <t>opłata abonamentowa za 12 mcy</t>
  </si>
  <si>
    <t>opłata sieciowa stała</t>
  </si>
  <si>
    <t>Szacunkowa wartość zamówienia w okresie 12 m-cy</t>
  </si>
  <si>
    <t>Powiatowe Centrum Pomocy Rodzinie w Otwocku                                   ul. Komunardów 10 05-402 Otwock.                                             Punkt poboru:                               ul. A. Mickiewicza 43/47,                05-402 Otwock</t>
  </si>
  <si>
    <t xml:space="preserve">BW-4                 </t>
  </si>
  <si>
    <t>01.01.2021-31.12.2021 r. okres wypowiedzenia: 1 miesiąc</t>
  </si>
  <si>
    <t>PGNIG Obrót Detaliczny                Sp. z o.o.</t>
  </si>
  <si>
    <t>BW-2.1</t>
  </si>
  <si>
    <t>Powiatowe Centrum Pomocy Rodzinie w Otwocku - Dom dla Dzieci Nr 1 w Otwocku przy ul. Prądzyńskiego 1                          Punkt poboru:                                      ul. Prądzyńskiego 1, 05-400 Otwock</t>
  </si>
  <si>
    <t>Powiatowe Centrum Pomocy Rodzinie w Otwocku - Dom dla Dzieci Nr 2 w Otwocku przy ul. Ujejskiego 14        Punkt poboru:                                       ul. Ujejskiego 14, 05-400 Otwock</t>
  </si>
  <si>
    <t xml:space="preserve">   W-2.1</t>
  </si>
  <si>
    <t xml:space="preserve">W-3.6                       </t>
  </si>
  <si>
    <t>Powiatowe Centrum Pomocy Rodzinie w Otwocku - Dom dla Dzieci Nr 3 w Otwocku przy ul. Cieszyńskiej 9                           Punkt poboru:                                     ul. Cieszyńska 9, 05-400 Otwock</t>
  </si>
  <si>
    <t>PUP Otwock</t>
  </si>
  <si>
    <t>07M6G6130000062352753788/1492361237</t>
  </si>
  <si>
    <t>BW-3,6</t>
  </si>
  <si>
    <t>do 110 kWh/h</t>
  </si>
  <si>
    <t>01.01-31.12.2021r.Jedno miesięczny okres wypowiedzenia.</t>
  </si>
  <si>
    <t>PGNiG</t>
  </si>
  <si>
    <t>Starostwo Powiatowe w Otwocku ul. Górna 13, 05-400 Otwock</t>
  </si>
  <si>
    <t>8018590365500019281747</t>
  </si>
  <si>
    <t>01.01.2021 – 31.12.2021</t>
  </si>
  <si>
    <t>Starostwo Powiatowe w Otwocku ul. Komunardów 10, 05-400 Otwock</t>
  </si>
  <si>
    <t>8018590365500019281730</t>
  </si>
  <si>
    <t>Dom Pomocy Społecznej  05-400 Otwock ul.Konopnickiej 17</t>
  </si>
  <si>
    <t>05KBKG2533521284827</t>
  </si>
  <si>
    <t>W-4</t>
  </si>
  <si>
    <t>01.01.2020-31.12.2021 okres wypowiedzenia 1 m-c</t>
  </si>
  <si>
    <t>PGNiG Obrot Detaliczny sp.zo.o.  Warszawa   01-248 ul.Jana Kazimierza 3</t>
  </si>
  <si>
    <t>punkt poboru gazu</t>
  </si>
  <si>
    <t>Powiatowe Centrum Pomocy Rodzinie w Otwocku                                   ul. Komunardów 10 05-402 Otwock.                                             Punkt poboru:                               ul. A. Mickiewicza 43/47,                             05-402 Otwock</t>
  </si>
  <si>
    <t>suma 12 m-cy kWh</t>
  </si>
  <si>
    <t>suma 2 m-c kWh</t>
  </si>
  <si>
    <t>suma całość 12 m-cy</t>
  </si>
  <si>
    <t>suma całość 2 m-c</t>
  </si>
  <si>
    <r>
      <rPr>
        <sz val="8.5"/>
        <rFont val="Symbol"/>
        <family val="1"/>
        <charset val="2"/>
      </rPr>
      <t>£</t>
    </r>
    <r>
      <rPr>
        <sz val="8.5"/>
        <rFont val="Times New Roman"/>
        <family val="1"/>
        <charset val="238"/>
      </rPr>
      <t>110</t>
    </r>
  </si>
  <si>
    <r>
      <rPr>
        <sz val="9"/>
        <color theme="1"/>
        <rFont val="Symbol"/>
        <family val="1"/>
        <charset val="2"/>
      </rPr>
      <t>£</t>
    </r>
    <r>
      <rPr>
        <sz val="9"/>
        <color theme="1"/>
        <rFont val="Times New Roman"/>
        <family val="1"/>
        <charset val="238"/>
      </rPr>
      <t>110</t>
    </r>
  </si>
  <si>
    <t>taryfa W-5.1  - ilość szacunkowa na 2 m-ce.</t>
  </si>
  <si>
    <t>taryfa W-2.1 - ilość szacunkowa na 2 m-ce</t>
  </si>
  <si>
    <t>taryfa W-4 - ilość szacunkowa na  2 m-ce</t>
  </si>
  <si>
    <t>taryfa W.3-6 ilość szacunkowa na 2 m-ce</t>
  </si>
  <si>
    <t>taryfy W-2.1 W-3,6 W-4 W-5.1  -  ilość szacunkowa na 2 m-ce</t>
  </si>
  <si>
    <r>
      <rPr>
        <sz val="8"/>
        <rFont val="Symbol"/>
        <family val="1"/>
        <charset val="2"/>
      </rPr>
      <t>£</t>
    </r>
    <r>
      <rPr>
        <sz val="8"/>
        <rFont val="Times New Roman"/>
        <family val="1"/>
        <charset val="238"/>
      </rPr>
      <t>110</t>
    </r>
  </si>
  <si>
    <t>Szacunkowe zapotrzebowanie na paliwo gazowe w okresie 12 m-cy w kWh</t>
  </si>
  <si>
    <t>Szacunkowe zapotrzebowanie na paliwo gazowe w okresie 2 m-ce w kWh</t>
  </si>
  <si>
    <t>wartość szacunkowa x cena za opłate sieciową stałą netto</t>
  </si>
  <si>
    <t>oplata sieciowa zmienna netto</t>
  </si>
  <si>
    <t>opłata sieciowa zmienna za 12 m-cy netto</t>
  </si>
  <si>
    <t>cała wartość za 12 m-cy netto</t>
  </si>
  <si>
    <t>cała wartość za 2 m-cy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</si>
</sst>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z_ł_-;\-* #,##0.00\ _z_ł_-;_-* &quot;-&quot;??\ _z_ł_-;_-@_-"/>
    <numFmt numFmtId="165" formatCode="0.000"/>
    <numFmt numFmtId="166" formatCode="_-* #,##0_-;\-* #,##0_-;_-* &quot;-&quot;??_-;_-@_-"/>
  </numFmts>
  <fonts count="4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sz val="9"/>
      <name val="Calibri"/>
      <family val="2"/>
      <charset val="238"/>
      <scheme val="minor"/>
    </font>
    <font>
      <sz val="9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8.5"/>
      <name val="Calibri"/>
      <family val="2"/>
      <charset val="238"/>
    </font>
    <font>
      <b/>
      <sz val="8.5"/>
      <name val="Times New Roman"/>
      <family val="1"/>
      <charset val="238"/>
    </font>
    <font>
      <sz val="8.5"/>
      <name val="Calibri"/>
      <family val="2"/>
      <charset val="238"/>
    </font>
    <font>
      <sz val="8.5"/>
      <name val="Times New Roman"/>
      <family val="1"/>
      <charset val="238"/>
    </font>
    <font>
      <sz val="8.5"/>
      <name val="Czcionka tekstu podstawowego"/>
      <family val="2"/>
      <charset val="238"/>
    </font>
    <font>
      <b/>
      <sz val="8.5"/>
      <name val="Czcionka tekstu podstawowego"/>
      <charset val="238"/>
    </font>
    <font>
      <sz val="8.5"/>
      <name val="Symbol"/>
      <family val="1"/>
      <charset val="2"/>
    </font>
    <font>
      <b/>
      <sz val="8.5"/>
      <color rgb="FF000000"/>
      <name val="Calibri"/>
      <family val="2"/>
      <charset val="238"/>
    </font>
    <font>
      <sz val="8.5"/>
      <color theme="1"/>
      <name val="Calibri"/>
      <family val="2"/>
      <charset val="238"/>
      <scheme val="minor"/>
    </font>
    <font>
      <sz val="8.5"/>
      <color rgb="FF000000"/>
      <name val="Times New Roman"/>
      <family val="1"/>
      <charset val="238"/>
    </font>
    <font>
      <sz val="8.5"/>
      <color rgb="FF000000"/>
      <name val="Calibri"/>
      <family val="2"/>
      <charset val="238"/>
    </font>
    <font>
      <sz val="8.5"/>
      <color theme="1"/>
      <name val="Czcionka tekstu podstawowego"/>
      <family val="2"/>
      <charset val="238"/>
    </font>
    <font>
      <sz val="8.5"/>
      <color theme="1"/>
      <name val="Times New Roman"/>
      <family val="1"/>
      <charset val="238"/>
    </font>
    <font>
      <b/>
      <sz val="8.5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Symbol"/>
      <family val="1"/>
      <charset val="2"/>
    </font>
    <font>
      <sz val="9"/>
      <color rgb="FF000000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8"/>
      <name val="Times New Roman"/>
      <family val="1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8"/>
      <name val="Calibri"/>
      <family val="2"/>
      <charset val="238"/>
      <scheme val="minor"/>
    </font>
    <font>
      <sz val="8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00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5" fillId="0" borderId="0" xfId="0" applyFont="1"/>
    <xf numFmtId="0" fontId="11" fillId="0" borderId="0" xfId="0" applyFont="1"/>
    <xf numFmtId="0" fontId="10" fillId="0" borderId="0" xfId="0" applyFont="1"/>
    <xf numFmtId="0" fontId="8" fillId="0" borderId="3" xfId="0" applyFont="1" applyBorder="1" applyAlignment="1">
      <alignment horizontal="center" vertical="center" wrapText="1"/>
    </xf>
    <xf numFmtId="164" fontId="11" fillId="0" borderId="0" xfId="0" applyNumberFormat="1" applyFont="1"/>
    <xf numFmtId="0" fontId="5" fillId="0" borderId="0" xfId="0" applyFont="1" applyAlignment="1">
      <alignment wrapText="1"/>
    </xf>
    <xf numFmtId="164" fontId="5" fillId="4" borderId="3" xfId="1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wrapText="1"/>
    </xf>
    <xf numFmtId="0" fontId="11" fillId="4" borderId="3" xfId="0" applyFont="1" applyFill="1" applyBorder="1" applyAlignment="1">
      <alignment wrapText="1"/>
    </xf>
    <xf numFmtId="0" fontId="12" fillId="0" borderId="0" xfId="0" applyFont="1"/>
    <xf numFmtId="0" fontId="13" fillId="0" borderId="0" xfId="0" applyFont="1"/>
    <xf numFmtId="0" fontId="15" fillId="2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64" fontId="18" fillId="2" borderId="3" xfId="1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2" fontId="12" fillId="2" borderId="3" xfId="0" applyNumberFormat="1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left" vertical="center"/>
    </xf>
    <xf numFmtId="166" fontId="12" fillId="2" borderId="3" xfId="1" applyNumberFormat="1" applyFont="1" applyFill="1" applyBorder="1" applyAlignment="1">
      <alignment vertical="center"/>
    </xf>
    <xf numFmtId="0" fontId="12" fillId="2" borderId="3" xfId="2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43" fontId="12" fillId="0" borderId="3" xfId="1" applyNumberFormat="1" applyFont="1" applyBorder="1" applyAlignment="1">
      <alignment vertical="center" wrapText="1"/>
    </xf>
    <xf numFmtId="1" fontId="18" fillId="0" borderId="3" xfId="0" applyNumberFormat="1" applyFont="1" applyBorder="1" applyAlignment="1">
      <alignment vertical="center" wrapText="1"/>
    </xf>
    <xf numFmtId="0" fontId="22" fillId="0" borderId="3" xfId="0" applyFont="1" applyBorder="1" applyAlignme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1" fontId="25" fillId="0" borderId="3" xfId="0" applyNumberFormat="1" applyFont="1" applyBorder="1" applyAlignment="1">
      <alignment vertical="center" wrapText="1"/>
    </xf>
    <xf numFmtId="164" fontId="12" fillId="0" borderId="3" xfId="1" applyFont="1" applyBorder="1" applyAlignment="1">
      <alignment vertical="center" wrapText="1"/>
    </xf>
    <xf numFmtId="164" fontId="12" fillId="0" borderId="3" xfId="1" applyFont="1" applyBorder="1" applyAlignment="1">
      <alignment vertical="center"/>
    </xf>
    <xf numFmtId="165" fontId="12" fillId="0" borderId="3" xfId="0" applyNumberFormat="1" applyFont="1" applyBorder="1" applyAlignment="1">
      <alignment horizontal="center" vertical="center" wrapText="1"/>
    </xf>
    <xf numFmtId="164" fontId="22" fillId="0" borderId="3" xfId="0" applyNumberFormat="1" applyFont="1" applyBorder="1"/>
    <xf numFmtId="0" fontId="26" fillId="0" borderId="3" xfId="0" applyFont="1" applyBorder="1" applyAlignment="1">
      <alignment horizontal="center" vertical="center" wrapText="1"/>
    </xf>
    <xf numFmtId="49" fontId="26" fillId="0" borderId="3" xfId="0" applyNumberFormat="1" applyFont="1" applyBorder="1" applyAlignment="1">
      <alignment horizontal="center" vertical="center" wrapText="1"/>
    </xf>
    <xf numFmtId="43" fontId="22" fillId="0" borderId="3" xfId="1" applyNumberFormat="1" applyFont="1" applyBorder="1" applyAlignment="1">
      <alignment vertical="center" wrapText="1"/>
    </xf>
    <xf numFmtId="164" fontId="22" fillId="0" borderId="3" xfId="1" applyFont="1" applyBorder="1" applyAlignment="1">
      <alignment vertical="center"/>
    </xf>
    <xf numFmtId="0" fontId="22" fillId="0" borderId="3" xfId="0" applyFont="1" applyBorder="1" applyAlignment="1">
      <alignment horizontal="center" vertical="center"/>
    </xf>
    <xf numFmtId="164" fontId="22" fillId="0" borderId="3" xfId="0" applyNumberFormat="1" applyFont="1" applyBorder="1" applyAlignment="1">
      <alignment horizontal="center" vertical="center"/>
    </xf>
    <xf numFmtId="0" fontId="22" fillId="2" borderId="3" xfId="0" applyFont="1" applyFill="1" applyBorder="1" applyAlignment="1">
      <alignment vertical="center" wrapText="1"/>
    </xf>
    <xf numFmtId="49" fontId="22" fillId="2" borderId="3" xfId="0" applyNumberFormat="1" applyFont="1" applyFill="1" applyBorder="1" applyAlignment="1">
      <alignment vertical="center"/>
    </xf>
    <xf numFmtId="0" fontId="26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43" fontId="22" fillId="2" borderId="3" xfId="1" applyNumberFormat="1" applyFont="1" applyFill="1" applyBorder="1" applyAlignment="1">
      <alignment vertical="center" wrapText="1"/>
    </xf>
    <xf numFmtId="0" fontId="22" fillId="0" borderId="0" xfId="0" applyFont="1"/>
    <xf numFmtId="0" fontId="12" fillId="0" borderId="0" xfId="0" applyFont="1" applyAlignment="1">
      <alignment wrapText="1"/>
    </xf>
    <xf numFmtId="164" fontId="12" fillId="4" borderId="3" xfId="1" applyFont="1" applyFill="1" applyBorder="1" applyAlignment="1">
      <alignment wrapText="1"/>
    </xf>
    <xf numFmtId="0" fontId="13" fillId="4" borderId="3" xfId="0" applyFont="1" applyFill="1" applyBorder="1" applyAlignment="1">
      <alignment vertical="center" wrapText="1"/>
    </xf>
    <xf numFmtId="164" fontId="22" fillId="0" borderId="0" xfId="1" applyFont="1"/>
    <xf numFmtId="164" fontId="27" fillId="0" borderId="0" xfId="0" applyNumberFormat="1" applyFont="1"/>
    <xf numFmtId="0" fontId="28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vertical="center" wrapText="1"/>
    </xf>
    <xf numFmtId="164" fontId="22" fillId="0" borderId="3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horizontal="center" vertical="center" wrapText="1"/>
    </xf>
    <xf numFmtId="0" fontId="12" fillId="3" borderId="3" xfId="0" applyFont="1" applyFill="1" applyBorder="1" applyAlignment="1">
      <alignment vertical="center" wrapText="1"/>
    </xf>
    <xf numFmtId="1" fontId="22" fillId="0" borderId="0" xfId="0" applyNumberFormat="1" applyFont="1"/>
    <xf numFmtId="164" fontId="22" fillId="0" borderId="0" xfId="0" applyNumberFormat="1" applyFont="1"/>
    <xf numFmtId="0" fontId="22" fillId="2" borderId="5" xfId="0" applyFont="1" applyFill="1" applyBorder="1" applyAlignment="1">
      <alignment horizontal="center" vertical="center"/>
    </xf>
    <xf numFmtId="1" fontId="22" fillId="2" borderId="5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vertical="center"/>
    </xf>
    <xf numFmtId="0" fontId="29" fillId="2" borderId="3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7" fillId="0" borderId="3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/>
    <xf numFmtId="0" fontId="2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6" fontId="2" fillId="2" borderId="1" xfId="1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6" fontId="2" fillId="2" borderId="3" xfId="1" applyNumberFormat="1" applyFont="1" applyFill="1" applyBorder="1" applyAlignment="1">
      <alignment vertical="center"/>
    </xf>
    <xf numFmtId="166" fontId="2" fillId="0" borderId="3" xfId="0" applyNumberFormat="1" applyFont="1" applyBorder="1" applyAlignment="1">
      <alignment vertical="center" wrapText="1"/>
    </xf>
    <xf numFmtId="2" fontId="2" fillId="2" borderId="3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166" fontId="2" fillId="0" borderId="0" xfId="0" applyNumberFormat="1" applyFont="1"/>
    <xf numFmtId="4" fontId="2" fillId="0" borderId="0" xfId="0" applyNumberFormat="1" applyFont="1"/>
    <xf numFmtId="0" fontId="12" fillId="4" borderId="3" xfId="0" applyFont="1" applyFill="1" applyBorder="1" applyAlignment="1">
      <alignment vertical="center" wrapText="1"/>
    </xf>
    <xf numFmtId="164" fontId="22" fillId="4" borderId="3" xfId="1" applyFont="1" applyFill="1" applyBorder="1"/>
    <xf numFmtId="0" fontId="24" fillId="0" borderId="3" xfId="0" applyFont="1" applyBorder="1" applyAlignment="1">
      <alignment vertical="center" wrapText="1"/>
    </xf>
    <xf numFmtId="0" fontId="9" fillId="0" borderId="0" xfId="0" applyFont="1"/>
    <xf numFmtId="0" fontId="32" fillId="0" borderId="3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left" vertical="center" wrapText="1"/>
    </xf>
    <xf numFmtId="164" fontId="19" fillId="2" borderId="3" xfId="1" applyFont="1" applyFill="1" applyBorder="1" applyAlignment="1">
      <alignment vertical="center" wrapText="1"/>
    </xf>
    <xf numFmtId="4" fontId="13" fillId="2" borderId="3" xfId="0" applyNumberFormat="1" applyFont="1" applyFill="1" applyBorder="1" applyAlignment="1">
      <alignment vertical="center"/>
    </xf>
    <xf numFmtId="0" fontId="2" fillId="5" borderId="3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/>
    </xf>
    <xf numFmtId="0" fontId="27" fillId="5" borderId="3" xfId="0" applyFont="1" applyFill="1" applyBorder="1" applyAlignment="1">
      <alignment vertical="center"/>
    </xf>
    <xf numFmtId="0" fontId="27" fillId="5" borderId="3" xfId="0" applyFont="1" applyFill="1" applyBorder="1"/>
    <xf numFmtId="0" fontId="6" fillId="2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64" fontId="0" fillId="0" borderId="0" xfId="1" applyFont="1" applyAlignment="1"/>
    <xf numFmtId="164" fontId="2" fillId="4" borderId="0" xfId="1" applyFont="1" applyFill="1"/>
    <xf numFmtId="0" fontId="2" fillId="0" borderId="0" xfId="0" applyFont="1" applyAlignment="1">
      <alignment horizontal="center"/>
    </xf>
    <xf numFmtId="0" fontId="32" fillId="0" borderId="3" xfId="0" applyFont="1" applyBorder="1" applyAlignment="1">
      <alignment vertical="center" wrapText="1"/>
    </xf>
    <xf numFmtId="0" fontId="34" fillId="2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5" borderId="3" xfId="0" applyFont="1" applyFill="1" applyBorder="1" applyAlignment="1">
      <alignment horizontal="center" vertical="center" wrapText="1"/>
    </xf>
    <xf numFmtId="0" fontId="35" fillId="0" borderId="0" xfId="0" applyFont="1"/>
    <xf numFmtId="0" fontId="36" fillId="0" borderId="0" xfId="0" applyFont="1"/>
    <xf numFmtId="0" fontId="33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1" fontId="37" fillId="0" borderId="3" xfId="0" applyNumberFormat="1" applyFont="1" applyBorder="1" applyAlignment="1">
      <alignment vertical="center" wrapText="1"/>
    </xf>
    <xf numFmtId="1" fontId="38" fillId="0" borderId="3" xfId="0" applyNumberFormat="1" applyFont="1" applyBorder="1" applyAlignment="1">
      <alignment vertical="center" wrapText="1"/>
    </xf>
    <xf numFmtId="0" fontId="37" fillId="2" borderId="3" xfId="0" applyFont="1" applyFill="1" applyBorder="1" applyAlignment="1">
      <alignment vertical="center" wrapText="1"/>
    </xf>
    <xf numFmtId="164" fontId="37" fillId="2" borderId="3" xfId="1" applyFont="1" applyFill="1" applyBorder="1" applyAlignment="1">
      <alignment vertical="center" wrapText="1"/>
    </xf>
    <xf numFmtId="0" fontId="35" fillId="0" borderId="3" xfId="0" applyFont="1" applyBorder="1" applyAlignment="1">
      <alignment vertical="center" wrapText="1"/>
    </xf>
    <xf numFmtId="0" fontId="35" fillId="0" borderId="3" xfId="0" applyFont="1" applyBorder="1" applyAlignment="1">
      <alignment vertical="center"/>
    </xf>
    <xf numFmtId="165" fontId="35" fillId="0" borderId="3" xfId="0" applyNumberFormat="1" applyFont="1" applyBorder="1" applyAlignment="1">
      <alignment vertical="center" wrapText="1"/>
    </xf>
    <xf numFmtId="164" fontId="35" fillId="0" borderId="3" xfId="0" applyNumberFormat="1" applyFont="1" applyBorder="1"/>
    <xf numFmtId="0" fontId="39" fillId="5" borderId="3" xfId="0" applyFont="1" applyFill="1" applyBorder="1" applyAlignment="1">
      <alignment vertical="center"/>
    </xf>
    <xf numFmtId="0" fontId="35" fillId="2" borderId="3" xfId="0" applyFont="1" applyFill="1" applyBorder="1" applyAlignment="1">
      <alignment vertical="center" wrapText="1"/>
    </xf>
    <xf numFmtId="0" fontId="35" fillId="0" borderId="3" xfId="0" applyFont="1" applyBorder="1" applyAlignment="1">
      <alignment horizontal="center" vertical="center"/>
    </xf>
    <xf numFmtId="164" fontId="35" fillId="2" borderId="3" xfId="1" applyFont="1" applyFill="1" applyBorder="1" applyAlignment="1">
      <alignment vertical="center" wrapText="1"/>
    </xf>
    <xf numFmtId="0" fontId="28" fillId="0" borderId="3" xfId="0" applyFont="1" applyBorder="1" applyAlignment="1">
      <alignment horizontal="left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35" fillId="0" borderId="3" xfId="0" applyFont="1" applyBorder="1" applyAlignment="1">
      <alignment vertical="center" wrapText="1"/>
    </xf>
    <xf numFmtId="2" fontId="35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0" fontId="35" fillId="0" borderId="3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35" fillId="2" borderId="3" xfId="0" applyFont="1" applyFill="1" applyBorder="1" applyAlignment="1">
      <alignment vertical="center"/>
    </xf>
    <xf numFmtId="4" fontId="35" fillId="2" borderId="3" xfId="0" applyNumberFormat="1" applyFont="1" applyFill="1" applyBorder="1" applyAlignment="1">
      <alignment horizontal="center" vertical="center"/>
    </xf>
    <xf numFmtId="2" fontId="35" fillId="2" borderId="3" xfId="0" applyNumberFormat="1" applyFont="1" applyFill="1" applyBorder="1" applyAlignment="1">
      <alignment vertical="center"/>
    </xf>
    <xf numFmtId="0" fontId="35" fillId="2" borderId="3" xfId="2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vertical="center"/>
    </xf>
    <xf numFmtId="0" fontId="28" fillId="2" borderId="3" xfId="0" applyFont="1" applyFill="1" applyBorder="1" applyAlignment="1">
      <alignment horizontal="left" vertical="center"/>
    </xf>
    <xf numFmtId="166" fontId="35" fillId="2" borderId="3" xfId="1" applyNumberFormat="1" applyFont="1" applyFill="1" applyBorder="1" applyAlignment="1">
      <alignment vertical="center"/>
    </xf>
    <xf numFmtId="0" fontId="35" fillId="2" borderId="3" xfId="2" applyFont="1" applyFill="1" applyBorder="1" applyAlignment="1">
      <alignment horizontal="center" vertical="center" wrapText="1"/>
    </xf>
    <xf numFmtId="0" fontId="37" fillId="0" borderId="3" xfId="0" applyFont="1" applyBorder="1" applyAlignment="1">
      <alignment vertical="center" wrapText="1"/>
    </xf>
    <xf numFmtId="0" fontId="28" fillId="2" borderId="3" xfId="0" applyFont="1" applyFill="1" applyBorder="1" applyAlignment="1">
      <alignment horizontal="left" vertical="center" wrapText="1"/>
    </xf>
    <xf numFmtId="0" fontId="28" fillId="2" borderId="3" xfId="0" applyFont="1" applyFill="1" applyBorder="1" applyAlignment="1">
      <alignment vertical="center" wrapText="1"/>
    </xf>
    <xf numFmtId="0" fontId="35" fillId="0" borderId="3" xfId="0" applyFont="1" applyBorder="1"/>
    <xf numFmtId="0" fontId="35" fillId="0" borderId="3" xfId="0" applyFont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left" vertical="center" wrapText="1"/>
    </xf>
    <xf numFmtId="4" fontId="35" fillId="2" borderId="3" xfId="0" applyNumberFormat="1" applyFont="1" applyFill="1" applyBorder="1" applyAlignment="1">
      <alignment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1" fontId="38" fillId="0" borderId="6" xfId="0" applyNumberFormat="1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4" fontId="35" fillId="0" borderId="1" xfId="0" applyNumberFormat="1" applyFont="1" applyBorder="1" applyAlignment="1">
      <alignment vertical="center" wrapText="1"/>
    </xf>
    <xf numFmtId="0" fontId="35" fillId="0" borderId="7" xfId="0" applyFont="1" applyBorder="1" applyAlignment="1">
      <alignment vertical="center" wrapText="1"/>
    </xf>
    <xf numFmtId="164" fontId="35" fillId="0" borderId="1" xfId="0" applyNumberFormat="1" applyFont="1" applyBorder="1"/>
    <xf numFmtId="0" fontId="39" fillId="5" borderId="1" xfId="0" applyFont="1" applyFill="1" applyBorder="1" applyAlignment="1">
      <alignment vertical="center"/>
    </xf>
    <xf numFmtId="0" fontId="28" fillId="0" borderId="3" xfId="0" applyFont="1" applyBorder="1" applyAlignment="1">
      <alignment vertical="center" wrapText="1"/>
    </xf>
    <xf numFmtId="2" fontId="35" fillId="0" borderId="1" xfId="0" applyNumberFormat="1" applyFont="1" applyBorder="1" applyAlignment="1">
      <alignment horizontal="center" vertical="center" wrapText="1"/>
    </xf>
    <xf numFmtId="1" fontId="38" fillId="0" borderId="4" xfId="0" applyNumberFormat="1" applyFont="1" applyBorder="1" applyAlignment="1">
      <alignment vertical="center" wrapText="1"/>
    </xf>
    <xf numFmtId="43" fontId="35" fillId="0" borderId="1" xfId="1" applyNumberFormat="1" applyFont="1" applyBorder="1" applyAlignment="1">
      <alignment vertical="center" wrapText="1"/>
    </xf>
    <xf numFmtId="43" fontId="35" fillId="0" borderId="3" xfId="1" applyNumberFormat="1" applyFont="1" applyBorder="1" applyAlignment="1">
      <alignment vertical="center" wrapText="1"/>
    </xf>
    <xf numFmtId="49" fontId="28" fillId="0" borderId="3" xfId="0" applyNumberFormat="1" applyFont="1" applyBorder="1" applyAlignment="1">
      <alignment horizontal="center" vertical="center" wrapText="1"/>
    </xf>
    <xf numFmtId="43" fontId="35" fillId="0" borderId="3" xfId="1" applyNumberFormat="1" applyFont="1" applyBorder="1"/>
    <xf numFmtId="0" fontId="35" fillId="2" borderId="3" xfId="0" applyFont="1" applyFill="1" applyBorder="1" applyAlignment="1">
      <alignment vertical="center" wrapText="1"/>
    </xf>
    <xf numFmtId="49" fontId="35" fillId="2" borderId="3" xfId="0" applyNumberFormat="1" applyFont="1" applyFill="1" applyBorder="1" applyAlignment="1">
      <alignment vertical="center"/>
    </xf>
    <xf numFmtId="43" fontId="35" fillId="2" borderId="3" xfId="1" applyNumberFormat="1" applyFont="1" applyFill="1" applyBorder="1" applyAlignment="1">
      <alignment vertical="center" wrapText="1"/>
    </xf>
    <xf numFmtId="164" fontId="35" fillId="4" borderId="3" xfId="1" applyFont="1" applyFill="1" applyBorder="1"/>
    <xf numFmtId="0" fontId="35" fillId="0" borderId="2" xfId="0" applyFont="1" applyBorder="1" applyAlignment="1">
      <alignment vertical="center" wrapText="1"/>
    </xf>
    <xf numFmtId="43" fontId="35" fillId="0" borderId="3" xfId="0" applyNumberFormat="1" applyFont="1" applyBorder="1"/>
    <xf numFmtId="0" fontId="35" fillId="3" borderId="3" xfId="0" applyFont="1" applyFill="1" applyBorder="1" applyAlignment="1">
      <alignment wrapText="1"/>
    </xf>
    <xf numFmtId="0" fontId="39" fillId="4" borderId="3" xfId="0" applyFont="1" applyFill="1" applyBorder="1" applyAlignment="1">
      <alignment wrapText="1"/>
    </xf>
    <xf numFmtId="164" fontId="35" fillId="2" borderId="3" xfId="1" applyFont="1" applyFill="1" applyBorder="1"/>
    <xf numFmtId="0" fontId="39" fillId="0" borderId="0" xfId="0" applyFont="1"/>
    <xf numFmtId="0" fontId="39" fillId="4" borderId="0" xfId="0" applyFont="1" applyFill="1"/>
    <xf numFmtId="1" fontId="35" fillId="0" borderId="0" xfId="0" applyNumberFormat="1" applyFont="1"/>
    <xf numFmtId="164" fontId="35" fillId="0" borderId="0" xfId="0" applyNumberFormat="1" applyFont="1"/>
    <xf numFmtId="164" fontId="39" fillId="3" borderId="3" xfId="0" applyNumberFormat="1" applyFont="1" applyFill="1" applyBorder="1"/>
    <xf numFmtId="164" fontId="39" fillId="4" borderId="3" xfId="1" applyFont="1" applyFill="1" applyBorder="1"/>
    <xf numFmtId="164" fontId="39" fillId="0" borderId="0" xfId="0" applyNumberFormat="1" applyFont="1"/>
  </cellXfs>
  <cellStyles count="3">
    <cellStyle name="Dziesiętny" xfId="1" builtinId="3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topLeftCell="H1" zoomScale="130" zoomScaleNormal="130" workbookViewId="0">
      <selection activeCell="A13" sqref="A13"/>
    </sheetView>
  </sheetViews>
  <sheetFormatPr defaultRowHeight="15"/>
  <cols>
    <col min="1" max="1" width="4.28515625" style="11" customWidth="1"/>
    <col min="2" max="2" width="15" style="11" customWidth="1"/>
    <col min="3" max="3" width="15.5703125" style="11" customWidth="1"/>
    <col min="4" max="4" width="7.42578125" style="11" customWidth="1"/>
    <col min="5" max="5" width="9.140625" style="11" customWidth="1"/>
    <col min="6" max="6" width="14.5703125" style="11" customWidth="1"/>
    <col min="7" max="7" width="9.140625" style="11"/>
    <col min="8" max="8" width="10.7109375" style="11" customWidth="1"/>
    <col min="9" max="9" width="9.7109375" style="11" customWidth="1"/>
    <col min="10" max="10" width="12" style="11" customWidth="1"/>
    <col min="11" max="11" width="5.85546875" style="11" customWidth="1"/>
    <col min="12" max="12" width="12.28515625" style="12" customWidth="1"/>
    <col min="13" max="13" width="6" style="11" customWidth="1"/>
    <col min="14" max="14" width="8.85546875" style="11" customWidth="1"/>
    <col min="15" max="15" width="7.85546875" style="11" customWidth="1"/>
    <col min="16" max="16" width="11.7109375" style="11" customWidth="1"/>
    <col min="17" max="17" width="6.85546875" style="11" customWidth="1"/>
    <col min="18" max="18" width="9.5703125" style="11" customWidth="1"/>
    <col min="19" max="19" width="14.140625" style="13" customWidth="1"/>
    <col min="20" max="20" width="13.7109375" style="13" customWidth="1"/>
    <col min="21" max="22" width="9.140625" style="13"/>
  </cols>
  <sheetData>
    <row r="1" spans="1:2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1"/>
      <c r="N1" s="21"/>
      <c r="O1" s="21"/>
      <c r="P1" s="21"/>
      <c r="Q1" s="21"/>
      <c r="R1" s="21"/>
      <c r="S1" s="21"/>
      <c r="T1" s="21"/>
    </row>
    <row r="2" spans="1:22">
      <c r="A2" s="21"/>
      <c r="B2" s="22" t="s">
        <v>75</v>
      </c>
      <c r="C2" s="21"/>
      <c r="D2" s="21"/>
      <c r="E2" s="21"/>
      <c r="F2" s="21"/>
      <c r="G2" s="21"/>
      <c r="H2" s="21"/>
      <c r="I2" s="21"/>
      <c r="J2" s="21"/>
      <c r="K2" s="21"/>
      <c r="L2" s="22"/>
      <c r="M2" s="21"/>
      <c r="N2" s="21"/>
      <c r="O2" s="21"/>
      <c r="P2" s="21"/>
      <c r="Q2" s="21"/>
      <c r="R2" s="21"/>
      <c r="S2" s="21"/>
      <c r="T2" s="21"/>
    </row>
    <row r="3" spans="1:22" s="129" customFormat="1" ht="81.75" customHeight="1">
      <c r="A3" s="124" t="s">
        <v>0</v>
      </c>
      <c r="B3" s="110" t="s">
        <v>1</v>
      </c>
      <c r="C3" s="110" t="s">
        <v>2</v>
      </c>
      <c r="D3" s="110" t="s">
        <v>3</v>
      </c>
      <c r="E3" s="110" t="s">
        <v>4</v>
      </c>
      <c r="F3" s="125" t="s">
        <v>63</v>
      </c>
      <c r="G3" s="110" t="s">
        <v>5</v>
      </c>
      <c r="H3" s="110" t="s">
        <v>6</v>
      </c>
      <c r="I3" s="110" t="s">
        <v>77</v>
      </c>
      <c r="J3" s="110" t="s">
        <v>78</v>
      </c>
      <c r="K3" s="110" t="s">
        <v>33</v>
      </c>
      <c r="L3" s="110" t="s">
        <v>36</v>
      </c>
      <c r="M3" s="126" t="s">
        <v>32</v>
      </c>
      <c r="N3" s="126" t="s">
        <v>34</v>
      </c>
      <c r="O3" s="126" t="s">
        <v>35</v>
      </c>
      <c r="P3" s="126" t="s">
        <v>79</v>
      </c>
      <c r="Q3" s="126" t="s">
        <v>80</v>
      </c>
      <c r="R3" s="126" t="s">
        <v>81</v>
      </c>
      <c r="S3" s="126" t="s">
        <v>82</v>
      </c>
      <c r="T3" s="127" t="s">
        <v>83</v>
      </c>
      <c r="U3" s="128"/>
      <c r="V3" s="128"/>
    </row>
    <row r="4" spans="1:22" s="129" customFormat="1" ht="31.5" customHeight="1">
      <c r="A4" s="130">
        <v>1</v>
      </c>
      <c r="B4" s="131" t="s">
        <v>7</v>
      </c>
      <c r="C4" s="70" t="s">
        <v>8</v>
      </c>
      <c r="D4" s="70" t="s">
        <v>9</v>
      </c>
      <c r="E4" s="70" t="s">
        <v>10</v>
      </c>
      <c r="F4" s="70" t="s">
        <v>8</v>
      </c>
      <c r="G4" s="130" t="s">
        <v>11</v>
      </c>
      <c r="H4" s="130" t="s">
        <v>12</v>
      </c>
      <c r="I4" s="132">
        <v>470132</v>
      </c>
      <c r="J4" s="133">
        <f>(I4/12)*2</f>
        <v>78355.333333333328</v>
      </c>
      <c r="K4" s="134">
        <v>0.32700000000000001</v>
      </c>
      <c r="L4" s="135">
        <f>I4*K4</f>
        <v>153733.16400000002</v>
      </c>
      <c r="M4" s="136">
        <v>121</v>
      </c>
      <c r="N4" s="137">
        <f>M4*12</f>
        <v>1452</v>
      </c>
      <c r="O4" s="137">
        <v>0.57799999999999996</v>
      </c>
      <c r="P4" s="137">
        <f>(8760*176*0.578)/100</f>
        <v>8911.3727999999992</v>
      </c>
      <c r="Q4" s="138">
        <v>1.651</v>
      </c>
      <c r="R4" s="137">
        <f t="shared" ref="R4:R12" si="0">(I4*Q4)/100</f>
        <v>7761.87932</v>
      </c>
      <c r="S4" s="139">
        <f>L4+N4+P4+R4</f>
        <v>171858.41612000004</v>
      </c>
      <c r="T4" s="140">
        <f>(S4/12)*2</f>
        <v>28643.06935333334</v>
      </c>
      <c r="U4" s="128"/>
      <c r="V4" s="128"/>
    </row>
    <row r="5" spans="1:22" s="129" customFormat="1" ht="31.5" customHeight="1">
      <c r="A5" s="130"/>
      <c r="B5" s="131"/>
      <c r="C5" s="70" t="s">
        <v>13</v>
      </c>
      <c r="D5" s="70" t="s">
        <v>14</v>
      </c>
      <c r="E5" s="70" t="s">
        <v>15</v>
      </c>
      <c r="F5" s="70" t="s">
        <v>13</v>
      </c>
      <c r="G5" s="130"/>
      <c r="H5" s="130"/>
      <c r="I5" s="132">
        <v>22215</v>
      </c>
      <c r="J5" s="133">
        <f t="shared" ref="J5:J22" si="1">(I5/12)*2</f>
        <v>3702.5</v>
      </c>
      <c r="K5" s="141"/>
      <c r="L5" s="135">
        <f>I5*K4</f>
        <v>7264.3050000000003</v>
      </c>
      <c r="M5" s="136">
        <v>6.28</v>
      </c>
      <c r="N5" s="137">
        <f t="shared" ref="N5:N12" si="2">M5*12</f>
        <v>75.36</v>
      </c>
      <c r="O5" s="137">
        <v>37.85</v>
      </c>
      <c r="P5" s="137">
        <f>12*O5</f>
        <v>454.20000000000005</v>
      </c>
      <c r="Q5" s="136">
        <v>2.351</v>
      </c>
      <c r="R5" s="137">
        <f t="shared" si="0"/>
        <v>522.27464999999995</v>
      </c>
      <c r="S5" s="139">
        <f t="shared" ref="S5:S22" si="3">L5+N5+P5+R5</f>
        <v>8316.1396499999992</v>
      </c>
      <c r="T5" s="140">
        <f t="shared" ref="T5:T22" si="4">(S5/12)*2</f>
        <v>1386.0232749999998</v>
      </c>
      <c r="U5" s="128"/>
      <c r="V5" s="128"/>
    </row>
    <row r="6" spans="1:22" s="129" customFormat="1" ht="78" customHeight="1">
      <c r="A6" s="111">
        <v>2</v>
      </c>
      <c r="B6" s="70" t="s">
        <v>16</v>
      </c>
      <c r="C6" s="70" t="s">
        <v>17</v>
      </c>
      <c r="D6" s="70" t="s">
        <v>9</v>
      </c>
      <c r="E6" s="111" t="s">
        <v>18</v>
      </c>
      <c r="F6" s="70" t="s">
        <v>17</v>
      </c>
      <c r="G6" s="111" t="s">
        <v>11</v>
      </c>
      <c r="H6" s="111" t="s">
        <v>12</v>
      </c>
      <c r="I6" s="132">
        <v>450346</v>
      </c>
      <c r="J6" s="133">
        <f t="shared" si="1"/>
        <v>75057.666666666672</v>
      </c>
      <c r="K6" s="141"/>
      <c r="L6" s="135">
        <f>I6*K4</f>
        <v>147263.14199999999</v>
      </c>
      <c r="M6" s="136">
        <v>121</v>
      </c>
      <c r="N6" s="137">
        <f t="shared" si="2"/>
        <v>1452</v>
      </c>
      <c r="O6" s="137">
        <v>0.57799999999999996</v>
      </c>
      <c r="P6" s="137">
        <f>(8760*406*0.578)/100</f>
        <v>20556.916799999999</v>
      </c>
      <c r="Q6" s="138">
        <v>1.651</v>
      </c>
      <c r="R6" s="137">
        <f t="shared" si="0"/>
        <v>7435.2124600000006</v>
      </c>
      <c r="S6" s="139">
        <f t="shared" si="3"/>
        <v>176707.27126000001</v>
      </c>
      <c r="T6" s="140">
        <f t="shared" si="4"/>
        <v>29451.211876666668</v>
      </c>
      <c r="U6" s="128"/>
      <c r="V6" s="128"/>
    </row>
    <row r="7" spans="1:22" s="129" customFormat="1" ht="78" customHeight="1">
      <c r="A7" s="111">
        <v>3</v>
      </c>
      <c r="B7" s="70" t="s">
        <v>19</v>
      </c>
      <c r="C7" s="70" t="s">
        <v>20</v>
      </c>
      <c r="D7" s="70" t="s">
        <v>14</v>
      </c>
      <c r="E7" s="70" t="s">
        <v>15</v>
      </c>
      <c r="F7" s="70" t="s">
        <v>20</v>
      </c>
      <c r="G7" s="111" t="s">
        <v>11</v>
      </c>
      <c r="H7" s="111" t="s">
        <v>12</v>
      </c>
      <c r="I7" s="132">
        <v>32420</v>
      </c>
      <c r="J7" s="133">
        <f t="shared" si="1"/>
        <v>5403.333333333333</v>
      </c>
      <c r="K7" s="141"/>
      <c r="L7" s="135">
        <f>I7*K4</f>
        <v>10601.34</v>
      </c>
      <c r="M7" s="136">
        <v>6.28</v>
      </c>
      <c r="N7" s="137">
        <f>M7*12</f>
        <v>75.36</v>
      </c>
      <c r="O7" s="142">
        <v>37.85</v>
      </c>
      <c r="P7" s="137">
        <f>12*O7</f>
        <v>454.20000000000005</v>
      </c>
      <c r="Q7" s="136">
        <v>2.351</v>
      </c>
      <c r="R7" s="137">
        <f t="shared" si="0"/>
        <v>762.19420000000002</v>
      </c>
      <c r="S7" s="139">
        <f t="shared" si="3"/>
        <v>11893.094200000001</v>
      </c>
      <c r="T7" s="140">
        <f t="shared" si="4"/>
        <v>1982.1823666666669</v>
      </c>
      <c r="U7" s="128"/>
      <c r="V7" s="128"/>
    </row>
    <row r="8" spans="1:22" s="129" customFormat="1" ht="78.75">
      <c r="A8" s="111">
        <v>4</v>
      </c>
      <c r="B8" s="70" t="s">
        <v>21</v>
      </c>
      <c r="C8" s="70" t="s">
        <v>22</v>
      </c>
      <c r="D8" s="70" t="s">
        <v>14</v>
      </c>
      <c r="E8" s="70" t="s">
        <v>15</v>
      </c>
      <c r="F8" s="70" t="s">
        <v>22</v>
      </c>
      <c r="G8" s="111" t="s">
        <v>11</v>
      </c>
      <c r="H8" s="111" t="s">
        <v>12</v>
      </c>
      <c r="I8" s="132">
        <v>42226</v>
      </c>
      <c r="J8" s="133">
        <f t="shared" si="1"/>
        <v>7037.666666666667</v>
      </c>
      <c r="K8" s="141"/>
      <c r="L8" s="135">
        <f>I8*K4</f>
        <v>13807.902</v>
      </c>
      <c r="M8" s="136">
        <v>6.28</v>
      </c>
      <c r="N8" s="137">
        <f t="shared" si="2"/>
        <v>75.36</v>
      </c>
      <c r="O8" s="142">
        <v>37.85</v>
      </c>
      <c r="P8" s="137">
        <f>12*O8</f>
        <v>454.20000000000005</v>
      </c>
      <c r="Q8" s="136">
        <v>2.351</v>
      </c>
      <c r="R8" s="137">
        <f t="shared" si="0"/>
        <v>992.73325999999997</v>
      </c>
      <c r="S8" s="139">
        <f t="shared" si="3"/>
        <v>15330.19526</v>
      </c>
      <c r="T8" s="140">
        <f t="shared" si="4"/>
        <v>2555.0325433333333</v>
      </c>
      <c r="U8" s="128"/>
      <c r="V8" s="128"/>
    </row>
    <row r="9" spans="1:22" s="129" customFormat="1" ht="78.75">
      <c r="A9" s="111">
        <v>5</v>
      </c>
      <c r="B9" s="70" t="s">
        <v>23</v>
      </c>
      <c r="C9" s="70" t="s">
        <v>24</v>
      </c>
      <c r="D9" s="70" t="s">
        <v>14</v>
      </c>
      <c r="E9" s="70" t="s">
        <v>15</v>
      </c>
      <c r="F9" s="70" t="s">
        <v>24</v>
      </c>
      <c r="G9" s="111" t="s">
        <v>11</v>
      </c>
      <c r="H9" s="111" t="s">
        <v>12</v>
      </c>
      <c r="I9" s="132">
        <v>26939</v>
      </c>
      <c r="J9" s="133">
        <f t="shared" si="1"/>
        <v>4489.833333333333</v>
      </c>
      <c r="K9" s="141"/>
      <c r="L9" s="135">
        <f>I9*K4</f>
        <v>8809.0529999999999</v>
      </c>
      <c r="M9" s="136">
        <v>6.28</v>
      </c>
      <c r="N9" s="137">
        <f t="shared" si="2"/>
        <v>75.36</v>
      </c>
      <c r="O9" s="142">
        <v>37.85</v>
      </c>
      <c r="P9" s="137">
        <f>12*O9</f>
        <v>454.20000000000005</v>
      </c>
      <c r="Q9" s="136">
        <v>2.351</v>
      </c>
      <c r="R9" s="137">
        <f t="shared" si="0"/>
        <v>633.33588999999995</v>
      </c>
      <c r="S9" s="139">
        <f t="shared" si="3"/>
        <v>9971.9488900000015</v>
      </c>
      <c r="T9" s="140">
        <f t="shared" si="4"/>
        <v>1661.9914816666669</v>
      </c>
      <c r="U9" s="128"/>
      <c r="V9" s="128"/>
    </row>
    <row r="10" spans="1:22" s="129" customFormat="1" ht="57" customHeight="1">
      <c r="A10" s="130">
        <v>6</v>
      </c>
      <c r="B10" s="131" t="s">
        <v>25</v>
      </c>
      <c r="C10" s="70" t="s">
        <v>26</v>
      </c>
      <c r="D10" s="70" t="s">
        <v>9</v>
      </c>
      <c r="E10" s="111" t="s">
        <v>27</v>
      </c>
      <c r="F10" s="70" t="s">
        <v>26</v>
      </c>
      <c r="G10" s="111" t="s">
        <v>11</v>
      </c>
      <c r="H10" s="111" t="s">
        <v>12</v>
      </c>
      <c r="I10" s="132">
        <v>718389</v>
      </c>
      <c r="J10" s="133">
        <f t="shared" si="1"/>
        <v>119731.5</v>
      </c>
      <c r="K10" s="141"/>
      <c r="L10" s="143">
        <f>I10*K4</f>
        <v>234913.20300000001</v>
      </c>
      <c r="M10" s="136">
        <v>121</v>
      </c>
      <c r="N10" s="137">
        <f t="shared" si="2"/>
        <v>1452</v>
      </c>
      <c r="O10" s="142">
        <v>0.57799999999999996</v>
      </c>
      <c r="P10" s="137">
        <f>(8760*274*O10)/100</f>
        <v>13873.387199999999</v>
      </c>
      <c r="Q10" s="136">
        <v>1.651</v>
      </c>
      <c r="R10" s="137">
        <f t="shared" si="0"/>
        <v>11860.60239</v>
      </c>
      <c r="S10" s="139">
        <f>L10+N10+P10+R10</f>
        <v>262099.19258999999</v>
      </c>
      <c r="T10" s="140">
        <f t="shared" si="4"/>
        <v>43683.198765000001</v>
      </c>
      <c r="U10" s="128"/>
      <c r="V10" s="128"/>
    </row>
    <row r="11" spans="1:22" s="129" customFormat="1" ht="82.5" customHeight="1">
      <c r="A11" s="130"/>
      <c r="B11" s="131"/>
      <c r="C11" s="70" t="s">
        <v>28</v>
      </c>
      <c r="D11" s="70" t="s">
        <v>14</v>
      </c>
      <c r="E11" s="70" t="s">
        <v>15</v>
      </c>
      <c r="F11" s="70" t="s">
        <v>28</v>
      </c>
      <c r="G11" s="111" t="s">
        <v>11</v>
      </c>
      <c r="H11" s="111" t="s">
        <v>12</v>
      </c>
      <c r="I11" s="132">
        <v>11848</v>
      </c>
      <c r="J11" s="133">
        <f t="shared" si="1"/>
        <v>1974.6666666666667</v>
      </c>
      <c r="K11" s="141"/>
      <c r="L11" s="143">
        <f>I11*K4</f>
        <v>3874.2960000000003</v>
      </c>
      <c r="M11" s="136">
        <v>6.28</v>
      </c>
      <c r="N11" s="137">
        <f t="shared" si="2"/>
        <v>75.36</v>
      </c>
      <c r="O11" s="142">
        <v>37.85</v>
      </c>
      <c r="P11" s="137">
        <f>12*O11</f>
        <v>454.20000000000005</v>
      </c>
      <c r="Q11" s="136">
        <v>2.351</v>
      </c>
      <c r="R11" s="137">
        <f t="shared" si="0"/>
        <v>278.54648000000003</v>
      </c>
      <c r="S11" s="139">
        <f t="shared" si="3"/>
        <v>4682.4024800000007</v>
      </c>
      <c r="T11" s="140">
        <f t="shared" si="4"/>
        <v>780.4004133333334</v>
      </c>
      <c r="U11" s="128"/>
      <c r="V11" s="128"/>
    </row>
    <row r="12" spans="1:22" s="129" customFormat="1" ht="112.5" customHeight="1">
      <c r="A12" s="111">
        <v>7</v>
      </c>
      <c r="B12" s="70" t="s">
        <v>29</v>
      </c>
      <c r="C12" s="70" t="s">
        <v>30</v>
      </c>
      <c r="D12" s="70" t="s">
        <v>9</v>
      </c>
      <c r="E12" s="111" t="s">
        <v>31</v>
      </c>
      <c r="F12" s="70" t="s">
        <v>30</v>
      </c>
      <c r="G12" s="111" t="s">
        <v>11</v>
      </c>
      <c r="H12" s="111" t="s">
        <v>12</v>
      </c>
      <c r="I12" s="132">
        <v>310216</v>
      </c>
      <c r="J12" s="133">
        <f t="shared" si="1"/>
        <v>51702.666666666664</v>
      </c>
      <c r="K12" s="141"/>
      <c r="L12" s="143">
        <f>I12*K4</f>
        <v>101440.632</v>
      </c>
      <c r="M12" s="136">
        <v>121</v>
      </c>
      <c r="N12" s="137">
        <f t="shared" si="2"/>
        <v>1452</v>
      </c>
      <c r="O12" s="142">
        <v>0.57799999999999996</v>
      </c>
      <c r="P12" s="137">
        <f>(8760*263*0.578)/100</f>
        <v>13316.426399999998</v>
      </c>
      <c r="Q12" s="136">
        <v>1.651</v>
      </c>
      <c r="R12" s="137">
        <f t="shared" si="0"/>
        <v>5121.6661599999998</v>
      </c>
      <c r="S12" s="139">
        <f t="shared" si="3"/>
        <v>121330.72455999999</v>
      </c>
      <c r="T12" s="140">
        <f t="shared" si="4"/>
        <v>20221.787426666666</v>
      </c>
      <c r="U12" s="128"/>
      <c r="V12" s="128"/>
    </row>
    <row r="13" spans="1:22" s="129" customFormat="1" ht="93.75" customHeight="1">
      <c r="A13" s="111"/>
      <c r="B13" s="144" t="s">
        <v>37</v>
      </c>
      <c r="C13" s="70">
        <v>4236500230</v>
      </c>
      <c r="D13" s="70" t="s">
        <v>38</v>
      </c>
      <c r="E13" s="145" t="s">
        <v>76</v>
      </c>
      <c r="F13" s="146">
        <v>4236500230</v>
      </c>
      <c r="G13" s="145" t="s">
        <v>39</v>
      </c>
      <c r="H13" s="112" t="s">
        <v>40</v>
      </c>
      <c r="I13" s="147">
        <v>174949</v>
      </c>
      <c r="J13" s="133">
        <f t="shared" si="1"/>
        <v>29158.166666666668</v>
      </c>
      <c r="K13" s="148"/>
      <c r="L13" s="143">
        <f>I13*K4</f>
        <v>57208.323000000004</v>
      </c>
      <c r="M13" s="149">
        <v>15.85</v>
      </c>
      <c r="N13" s="150">
        <f>M13*12</f>
        <v>190.2</v>
      </c>
      <c r="O13" s="150">
        <v>210.12</v>
      </c>
      <c r="P13" s="150">
        <f>O13*12</f>
        <v>2521.44</v>
      </c>
      <c r="Q13" s="150">
        <v>2.3210000000000002</v>
      </c>
      <c r="R13" s="150">
        <f t="shared" ref="R13:R22" si="5">(I13*Q13)/100</f>
        <v>4060.5662900000002</v>
      </c>
      <c r="S13" s="139">
        <f>L13+N13+P13+R13</f>
        <v>63980.529290000006</v>
      </c>
      <c r="T13" s="140">
        <f t="shared" si="4"/>
        <v>10663.421548333334</v>
      </c>
      <c r="U13" s="128"/>
      <c r="V13" s="128"/>
    </row>
    <row r="14" spans="1:22" s="129" customFormat="1" ht="123.75" customHeight="1">
      <c r="A14" s="111"/>
      <c r="B14" s="151"/>
      <c r="C14" s="70">
        <v>4236500278</v>
      </c>
      <c r="D14" s="152" t="s">
        <v>41</v>
      </c>
      <c r="E14" s="153"/>
      <c r="F14" s="146">
        <v>4236500278</v>
      </c>
      <c r="G14" s="141"/>
      <c r="H14" s="112" t="s">
        <v>40</v>
      </c>
      <c r="I14" s="112">
        <v>847</v>
      </c>
      <c r="J14" s="133">
        <f t="shared" si="1"/>
        <v>141.16666666666666</v>
      </c>
      <c r="K14" s="148"/>
      <c r="L14" s="154">
        <f>I14*K4</f>
        <v>276.96899999999999</v>
      </c>
      <c r="M14" s="155">
        <v>5.4</v>
      </c>
      <c r="N14" s="150">
        <f t="shared" ref="N14:N18" si="6">M14*12</f>
        <v>64.800000000000011</v>
      </c>
      <c r="O14" s="156">
        <v>10.76</v>
      </c>
      <c r="P14" s="150">
        <f t="shared" ref="P14:P18" si="7">O14*12</f>
        <v>129.12</v>
      </c>
      <c r="Q14" s="157">
        <v>2.6659999999999999</v>
      </c>
      <c r="R14" s="150">
        <f t="shared" si="5"/>
        <v>22.581019999999999</v>
      </c>
      <c r="S14" s="139">
        <f t="shared" si="3"/>
        <v>493.47002000000003</v>
      </c>
      <c r="T14" s="140">
        <f t="shared" si="4"/>
        <v>82.245003333333344</v>
      </c>
      <c r="U14" s="128"/>
      <c r="V14" s="128"/>
    </row>
    <row r="15" spans="1:22" s="129" customFormat="1" ht="123.75" customHeight="1">
      <c r="A15" s="111"/>
      <c r="B15" s="152" t="s">
        <v>42</v>
      </c>
      <c r="C15" s="70">
        <v>1441250381</v>
      </c>
      <c r="D15" s="152" t="s">
        <v>14</v>
      </c>
      <c r="E15" s="158" t="s">
        <v>76</v>
      </c>
      <c r="F15" s="146">
        <v>1441250381</v>
      </c>
      <c r="G15" s="112" t="s">
        <v>39</v>
      </c>
      <c r="H15" s="112" t="s">
        <v>40</v>
      </c>
      <c r="I15" s="159">
        <v>42290</v>
      </c>
      <c r="J15" s="133">
        <f t="shared" si="1"/>
        <v>7048.333333333333</v>
      </c>
      <c r="K15" s="148"/>
      <c r="L15" s="154">
        <f>I15*K4</f>
        <v>13828.83</v>
      </c>
      <c r="M15" s="155">
        <v>6.28</v>
      </c>
      <c r="N15" s="150">
        <f t="shared" si="6"/>
        <v>75.36</v>
      </c>
      <c r="O15" s="160">
        <v>37.85</v>
      </c>
      <c r="P15" s="150">
        <f t="shared" si="7"/>
        <v>454.20000000000005</v>
      </c>
      <c r="Q15" s="157">
        <v>2.351</v>
      </c>
      <c r="R15" s="150">
        <f t="shared" si="5"/>
        <v>994.23789999999997</v>
      </c>
      <c r="S15" s="139">
        <f t="shared" si="3"/>
        <v>15352.627900000001</v>
      </c>
      <c r="T15" s="140">
        <f t="shared" si="4"/>
        <v>2558.7713166666667</v>
      </c>
      <c r="U15" s="128"/>
      <c r="V15" s="128"/>
    </row>
    <row r="16" spans="1:22" s="129" customFormat="1" ht="15" customHeight="1">
      <c r="A16" s="161"/>
      <c r="B16" s="144" t="s">
        <v>43</v>
      </c>
      <c r="C16" s="131">
        <v>7785953355</v>
      </c>
      <c r="D16" s="152" t="s">
        <v>44</v>
      </c>
      <c r="E16" s="162" t="s">
        <v>76</v>
      </c>
      <c r="F16" s="163">
        <v>7785953355</v>
      </c>
      <c r="G16" s="164"/>
      <c r="H16" s="162" t="s">
        <v>40</v>
      </c>
      <c r="I16" s="159">
        <v>32013</v>
      </c>
      <c r="J16" s="133">
        <f t="shared" si="1"/>
        <v>5335.5</v>
      </c>
      <c r="K16" s="148"/>
      <c r="L16" s="154">
        <f>I16*K4</f>
        <v>10468.251</v>
      </c>
      <c r="M16" s="155">
        <v>5.4</v>
      </c>
      <c r="N16" s="150">
        <f t="shared" si="6"/>
        <v>64.800000000000011</v>
      </c>
      <c r="O16" s="157">
        <v>10.76</v>
      </c>
      <c r="P16" s="150">
        <f t="shared" si="7"/>
        <v>129.12</v>
      </c>
      <c r="Q16" s="157">
        <v>2.6659999999999999</v>
      </c>
      <c r="R16" s="150">
        <f t="shared" si="5"/>
        <v>853.46657999999991</v>
      </c>
      <c r="S16" s="139">
        <f t="shared" si="3"/>
        <v>11515.637580000001</v>
      </c>
      <c r="T16" s="140">
        <f t="shared" si="4"/>
        <v>1919.2729300000001</v>
      </c>
      <c r="U16" s="128"/>
      <c r="V16" s="128"/>
    </row>
    <row r="17" spans="1:22" s="129" customFormat="1" ht="92.25" customHeight="1">
      <c r="A17" s="164"/>
      <c r="B17" s="151"/>
      <c r="C17" s="165"/>
      <c r="D17" s="152" t="s">
        <v>45</v>
      </c>
      <c r="E17" s="166"/>
      <c r="F17" s="141"/>
      <c r="G17" s="164"/>
      <c r="H17" s="166"/>
      <c r="I17" s="159">
        <v>5174</v>
      </c>
      <c r="J17" s="133">
        <f t="shared" si="1"/>
        <v>862.33333333333337</v>
      </c>
      <c r="K17" s="148"/>
      <c r="L17" s="167">
        <f>I17*K4</f>
        <v>1691.8980000000001</v>
      </c>
      <c r="M17" s="155">
        <v>6.28</v>
      </c>
      <c r="N17" s="150">
        <f>M17*12</f>
        <v>75.36</v>
      </c>
      <c r="O17" s="157">
        <v>37.85</v>
      </c>
      <c r="P17" s="150">
        <f t="shared" si="7"/>
        <v>454.20000000000005</v>
      </c>
      <c r="Q17" s="157">
        <v>2.351</v>
      </c>
      <c r="R17" s="150">
        <f t="shared" si="5"/>
        <v>121.64074000000001</v>
      </c>
      <c r="S17" s="139">
        <f>L17+N17+P17+R17</f>
        <v>2343.0987399999999</v>
      </c>
      <c r="T17" s="140">
        <f t="shared" si="4"/>
        <v>390.51645666666667</v>
      </c>
      <c r="U17" s="128"/>
      <c r="V17" s="128"/>
    </row>
    <row r="18" spans="1:22" s="129" customFormat="1" ht="87.75" customHeight="1">
      <c r="A18" s="164"/>
      <c r="B18" s="152" t="s">
        <v>46</v>
      </c>
      <c r="C18" s="152">
        <v>8789451693</v>
      </c>
      <c r="D18" s="152" t="s">
        <v>14</v>
      </c>
      <c r="E18" s="158" t="s">
        <v>76</v>
      </c>
      <c r="F18" s="160">
        <v>8789451693</v>
      </c>
      <c r="G18" s="112" t="s">
        <v>39</v>
      </c>
      <c r="H18" s="112" t="s">
        <v>40</v>
      </c>
      <c r="I18" s="159">
        <v>42779</v>
      </c>
      <c r="J18" s="133">
        <f t="shared" si="1"/>
        <v>7129.833333333333</v>
      </c>
      <c r="K18" s="148"/>
      <c r="L18" s="167">
        <f>I18*K4</f>
        <v>13988.733</v>
      </c>
      <c r="M18" s="157">
        <v>6.28</v>
      </c>
      <c r="N18" s="150">
        <f t="shared" si="6"/>
        <v>75.36</v>
      </c>
      <c r="O18" s="157">
        <v>37.85</v>
      </c>
      <c r="P18" s="150">
        <f t="shared" si="7"/>
        <v>454.20000000000005</v>
      </c>
      <c r="Q18" s="157">
        <v>2.351</v>
      </c>
      <c r="R18" s="150">
        <f t="shared" si="5"/>
        <v>1005.73429</v>
      </c>
      <c r="S18" s="139">
        <f t="shared" si="3"/>
        <v>15524.027290000002</v>
      </c>
      <c r="T18" s="140">
        <f t="shared" si="4"/>
        <v>2587.3378816666668</v>
      </c>
      <c r="U18" s="128"/>
      <c r="V18" s="128"/>
    </row>
    <row r="19" spans="1:22" s="129" customFormat="1" ht="67.5">
      <c r="A19" s="128"/>
      <c r="B19" s="168" t="s">
        <v>58</v>
      </c>
      <c r="C19" s="168" t="s">
        <v>59</v>
      </c>
      <c r="D19" s="169" t="s">
        <v>60</v>
      </c>
      <c r="E19" s="170" t="s">
        <v>15</v>
      </c>
      <c r="F19" s="168" t="s">
        <v>59</v>
      </c>
      <c r="G19" s="168" t="s">
        <v>61</v>
      </c>
      <c r="H19" s="168" t="s">
        <v>62</v>
      </c>
      <c r="I19" s="169">
        <v>200000</v>
      </c>
      <c r="J19" s="171">
        <f t="shared" si="1"/>
        <v>33333.333333333336</v>
      </c>
      <c r="K19" s="172">
        <v>0.32700000000000001</v>
      </c>
      <c r="L19" s="173">
        <f>I19*K19</f>
        <v>65400</v>
      </c>
      <c r="M19" s="172">
        <v>15.85</v>
      </c>
      <c r="N19" s="173">
        <f>M19*12</f>
        <v>190.2</v>
      </c>
      <c r="O19" s="174">
        <v>210.12</v>
      </c>
      <c r="P19" s="172">
        <f>O19*12</f>
        <v>2521.44</v>
      </c>
      <c r="Q19" s="172">
        <v>2.3210000000000002</v>
      </c>
      <c r="R19" s="173">
        <f t="shared" si="5"/>
        <v>4642.0000000000009</v>
      </c>
      <c r="S19" s="175">
        <f t="shared" si="3"/>
        <v>72753.64</v>
      </c>
      <c r="T19" s="176">
        <f t="shared" si="4"/>
        <v>12125.606666666667</v>
      </c>
      <c r="U19" s="128"/>
      <c r="V19" s="128"/>
    </row>
    <row r="20" spans="1:22" s="129" customFormat="1" ht="66.75" customHeight="1">
      <c r="A20" s="128"/>
      <c r="B20" s="177" t="s">
        <v>47</v>
      </c>
      <c r="C20" s="177" t="s">
        <v>48</v>
      </c>
      <c r="D20" s="177" t="s">
        <v>49</v>
      </c>
      <c r="E20" s="177" t="s">
        <v>50</v>
      </c>
      <c r="F20" s="177" t="s">
        <v>48</v>
      </c>
      <c r="G20" s="170" t="s">
        <v>51</v>
      </c>
      <c r="H20" s="170" t="s">
        <v>52</v>
      </c>
      <c r="I20" s="178">
        <v>53691.65</v>
      </c>
      <c r="J20" s="179">
        <f t="shared" si="1"/>
        <v>8948.6083333333336</v>
      </c>
      <c r="K20" s="172">
        <v>0.32700000000000001</v>
      </c>
      <c r="L20" s="180">
        <f>I20*K20</f>
        <v>17557.169550000002</v>
      </c>
      <c r="M20" s="172">
        <v>6.28</v>
      </c>
      <c r="N20" s="172">
        <f>M20*12</f>
        <v>75.36</v>
      </c>
      <c r="O20" s="136">
        <v>37.85</v>
      </c>
      <c r="P20" s="181">
        <f>12*O20</f>
        <v>454.20000000000005</v>
      </c>
      <c r="Q20" s="136">
        <v>2.351</v>
      </c>
      <c r="R20" s="136">
        <f t="shared" si="5"/>
        <v>1262.2906914999999</v>
      </c>
      <c r="S20" s="139">
        <f t="shared" si="3"/>
        <v>19349.020241500002</v>
      </c>
      <c r="T20" s="140">
        <f t="shared" si="4"/>
        <v>3224.836706916667</v>
      </c>
      <c r="U20" s="128"/>
      <c r="V20" s="128"/>
    </row>
    <row r="21" spans="1:22" s="129" customFormat="1" ht="45">
      <c r="A21" s="128"/>
      <c r="B21" s="70" t="s">
        <v>53</v>
      </c>
      <c r="C21" s="182" t="s">
        <v>54</v>
      </c>
      <c r="D21" s="70" t="s">
        <v>9</v>
      </c>
      <c r="E21" s="70">
        <v>121</v>
      </c>
      <c r="F21" s="182" t="s">
        <v>54</v>
      </c>
      <c r="G21" s="70" t="s">
        <v>55</v>
      </c>
      <c r="H21" s="70" t="s">
        <v>52</v>
      </c>
      <c r="I21" s="181">
        <v>240640.4</v>
      </c>
      <c r="J21" s="179">
        <f t="shared" si="1"/>
        <v>40106.73333333333</v>
      </c>
      <c r="K21" s="148">
        <v>0.32700000000000001</v>
      </c>
      <c r="L21" s="139">
        <f>I21*K21</f>
        <v>78689.410799999998</v>
      </c>
      <c r="M21" s="164">
        <v>121</v>
      </c>
      <c r="N21" s="183">
        <f>M21*12</f>
        <v>1452</v>
      </c>
      <c r="O21" s="164">
        <v>0.57799999999999996</v>
      </c>
      <c r="P21" s="139">
        <f>(8760*121*0.578)/100</f>
        <v>6126.5688</v>
      </c>
      <c r="Q21" s="164">
        <v>1.651</v>
      </c>
      <c r="R21" s="139">
        <f t="shared" si="5"/>
        <v>3972.9730039999999</v>
      </c>
      <c r="S21" s="139">
        <f t="shared" si="3"/>
        <v>90240.952603999991</v>
      </c>
      <c r="T21" s="140">
        <f t="shared" si="4"/>
        <v>15040.158767333332</v>
      </c>
      <c r="U21" s="128"/>
      <c r="V21" s="128"/>
    </row>
    <row r="22" spans="1:22" s="129" customFormat="1" ht="56.25">
      <c r="A22" s="128"/>
      <c r="B22" s="184" t="s">
        <v>56</v>
      </c>
      <c r="C22" s="185" t="s">
        <v>57</v>
      </c>
      <c r="D22" s="147" t="s">
        <v>9</v>
      </c>
      <c r="E22" s="150">
        <v>165</v>
      </c>
      <c r="F22" s="185" t="s">
        <v>57</v>
      </c>
      <c r="G22" s="147" t="s">
        <v>55</v>
      </c>
      <c r="H22" s="147" t="s">
        <v>52</v>
      </c>
      <c r="I22" s="186">
        <v>442394.7</v>
      </c>
      <c r="J22" s="179">
        <f t="shared" si="1"/>
        <v>73732.45</v>
      </c>
      <c r="K22" s="148"/>
      <c r="L22" s="139">
        <f>I22*K21</f>
        <v>144663.06690000001</v>
      </c>
      <c r="M22" s="164">
        <v>121</v>
      </c>
      <c r="N22" s="183">
        <f>M22*12</f>
        <v>1452</v>
      </c>
      <c r="O22" s="164">
        <v>0.57799999999999996</v>
      </c>
      <c r="P22" s="139">
        <f>(8760*165*0.578)/100</f>
        <v>8354.4120000000003</v>
      </c>
      <c r="Q22" s="164">
        <v>1.651</v>
      </c>
      <c r="R22" s="139">
        <f t="shared" si="5"/>
        <v>7303.9364970000006</v>
      </c>
      <c r="S22" s="139">
        <f t="shared" si="3"/>
        <v>161773.415397</v>
      </c>
      <c r="T22" s="140">
        <f t="shared" si="4"/>
        <v>26962.2358995</v>
      </c>
      <c r="U22" s="128"/>
      <c r="V22" s="128"/>
    </row>
    <row r="23" spans="1:22" s="129" customFormat="1" ht="22.5">
      <c r="A23" s="128"/>
      <c r="B23" s="128"/>
      <c r="C23" s="128"/>
      <c r="D23" s="128"/>
      <c r="E23" s="128"/>
      <c r="F23" s="128"/>
      <c r="G23" s="128"/>
      <c r="H23" s="128"/>
      <c r="I23" s="128" t="s">
        <v>65</v>
      </c>
      <c r="J23" s="187" t="s">
        <v>66</v>
      </c>
      <c r="K23" s="188"/>
      <c r="L23" s="139"/>
      <c r="M23" s="164"/>
      <c r="N23" s="189"/>
      <c r="O23" s="164"/>
      <c r="P23" s="139"/>
      <c r="Q23" s="164"/>
      <c r="R23" s="139"/>
      <c r="S23" s="190" t="s">
        <v>67</v>
      </c>
      <c r="T23" s="191" t="s">
        <v>68</v>
      </c>
      <c r="U23" s="128"/>
      <c r="V23" s="128"/>
    </row>
    <row r="24" spans="1:22" s="129" customFormat="1" ht="11.25">
      <c r="A24" s="128"/>
      <c r="B24" s="128"/>
      <c r="C24" s="128"/>
      <c r="D24" s="128"/>
      <c r="E24" s="128"/>
      <c r="F24" s="128"/>
      <c r="G24" s="128"/>
      <c r="H24" s="128"/>
      <c r="I24" s="128"/>
      <c r="J24" s="192"/>
      <c r="K24" s="128"/>
      <c r="L24" s="193"/>
      <c r="M24" s="128"/>
      <c r="N24" s="128"/>
      <c r="O24" s="128"/>
      <c r="P24" s="128"/>
      <c r="Q24" s="128"/>
      <c r="R24" s="128"/>
      <c r="S24" s="128"/>
      <c r="T24" s="194"/>
      <c r="U24" s="128"/>
      <c r="V24" s="128"/>
    </row>
    <row r="25" spans="1:22" s="129" customFormat="1" ht="11.25">
      <c r="A25" s="128"/>
      <c r="B25" s="128"/>
      <c r="C25" s="128"/>
      <c r="D25" s="128"/>
      <c r="E25" s="128"/>
      <c r="F25" s="128"/>
      <c r="G25" s="128"/>
      <c r="H25" s="128"/>
      <c r="I25" s="128"/>
      <c r="J25" s="195"/>
      <c r="K25" s="128"/>
      <c r="L25" s="193"/>
      <c r="M25" s="128"/>
      <c r="N25" s="128"/>
      <c r="O25" s="128"/>
      <c r="P25" s="196"/>
      <c r="Q25" s="128"/>
      <c r="R25" s="128"/>
      <c r="S25" s="197">
        <f>SUM(S4:S22)</f>
        <v>1235515.8040725002</v>
      </c>
      <c r="T25" s="198">
        <f>SUM(T4:T22)</f>
        <v>205919.30067875003</v>
      </c>
      <c r="U25" s="128"/>
      <c r="V25" s="128"/>
    </row>
    <row r="26" spans="1:22" s="129" customFormat="1" ht="11.25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93"/>
      <c r="M26" s="128"/>
      <c r="N26" s="128"/>
      <c r="O26" s="128"/>
      <c r="P26" s="128"/>
      <c r="Q26" s="128"/>
      <c r="R26" s="128"/>
      <c r="S26" s="128"/>
      <c r="T26" s="128"/>
      <c r="U26" s="128"/>
      <c r="V26" s="128"/>
    </row>
    <row r="27" spans="1:22" s="129" customFormat="1" ht="11.25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99">
        <f>SUM(L4:L26)</f>
        <v>1085479.6882500001</v>
      </c>
      <c r="M27" s="128"/>
      <c r="N27" s="128">
        <f>SUM(N4:N26)</f>
        <v>9900.239999999998</v>
      </c>
      <c r="O27" s="128"/>
      <c r="P27" s="128">
        <f>SUM(P4:P26)</f>
        <v>80528.003999999986</v>
      </c>
      <c r="Q27" s="128"/>
      <c r="R27" s="128">
        <f>SUM(R4:R26)</f>
        <v>59607.871822500005</v>
      </c>
      <c r="S27" s="128"/>
      <c r="T27" s="128"/>
      <c r="U27" s="128"/>
      <c r="V27" s="128"/>
    </row>
    <row r="33" spans="12:12">
      <c r="L33" s="15">
        <f>L27+N27+P27+R27</f>
        <v>1235515.8040725</v>
      </c>
    </row>
  </sheetData>
  <mergeCells count="16">
    <mergeCell ref="F16:F17"/>
    <mergeCell ref="H16:H17"/>
    <mergeCell ref="K21:K23"/>
    <mergeCell ref="K4:K18"/>
    <mergeCell ref="A4:A5"/>
    <mergeCell ref="B4:B5"/>
    <mergeCell ref="G4:G5"/>
    <mergeCell ref="H4:H5"/>
    <mergeCell ref="A10:A11"/>
    <mergeCell ref="B10:B11"/>
    <mergeCell ref="B13:B14"/>
    <mergeCell ref="E13:E14"/>
    <mergeCell ref="G13:G14"/>
    <mergeCell ref="B16:B17"/>
    <mergeCell ref="C16:C17"/>
    <mergeCell ref="E16:E17"/>
  </mergeCells>
  <pageMargins left="0.11811023622047245" right="0.11811023622047245" top="0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V13"/>
  <sheetViews>
    <sheetView workbookViewId="0">
      <selection activeCell="C7" sqref="C7"/>
    </sheetView>
  </sheetViews>
  <sheetFormatPr defaultRowHeight="15"/>
  <cols>
    <col min="1" max="1" width="1.42578125" customWidth="1"/>
    <col min="2" max="2" width="3.7109375" customWidth="1"/>
    <col min="3" max="3" width="20.85546875" customWidth="1"/>
    <col min="4" max="4" width="11.85546875" customWidth="1"/>
    <col min="5" max="5" width="7.5703125" customWidth="1"/>
    <col min="6" max="6" width="6.5703125" customWidth="1"/>
    <col min="7" max="7" width="12.28515625" customWidth="1"/>
    <col min="10" max="11" width="9.28515625" bestFit="1" customWidth="1"/>
    <col min="12" max="12" width="6.42578125" customWidth="1"/>
    <col min="13" max="13" width="9.28515625" bestFit="1" customWidth="1"/>
    <col min="14" max="14" width="6.5703125" customWidth="1"/>
    <col min="15" max="15" width="7.42578125" customWidth="1"/>
    <col min="16" max="18" width="9.28515625" bestFit="1" customWidth="1"/>
    <col min="19" max="19" width="10.7109375" customWidth="1"/>
    <col min="20" max="20" width="9.28515625" bestFit="1" customWidth="1"/>
    <col min="21" max="21" width="10" bestFit="1" customWidth="1"/>
  </cols>
  <sheetData>
    <row r="5" spans="2:22">
      <c r="C5" s="109" t="s">
        <v>72</v>
      </c>
    </row>
    <row r="6" spans="2:22" ht="78.75">
      <c r="B6" s="7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0" t="s">
        <v>63</v>
      </c>
      <c r="H6" s="8" t="s">
        <v>5</v>
      </c>
      <c r="I6" s="8" t="s">
        <v>6</v>
      </c>
      <c r="J6" s="110" t="s">
        <v>77</v>
      </c>
      <c r="K6" s="110" t="s">
        <v>78</v>
      </c>
      <c r="L6" s="110" t="s">
        <v>33</v>
      </c>
      <c r="M6" s="110" t="s">
        <v>36</v>
      </c>
      <c r="N6" s="126" t="s">
        <v>32</v>
      </c>
      <c r="O6" s="126" t="s">
        <v>34</v>
      </c>
      <c r="P6" s="126" t="s">
        <v>35</v>
      </c>
      <c r="Q6" s="126" t="s">
        <v>79</v>
      </c>
      <c r="R6" s="126" t="s">
        <v>80</v>
      </c>
      <c r="S6" s="126" t="s">
        <v>81</v>
      </c>
      <c r="T6" s="126" t="s">
        <v>82</v>
      </c>
      <c r="U6" s="127" t="s">
        <v>83</v>
      </c>
      <c r="V6" s="89"/>
    </row>
    <row r="7" spans="2:22" ht="96">
      <c r="B7" s="90">
        <v>1</v>
      </c>
      <c r="C7" s="91" t="s">
        <v>64</v>
      </c>
      <c r="D7" s="1">
        <v>4236500278</v>
      </c>
      <c r="E7" s="92" t="s">
        <v>41</v>
      </c>
      <c r="F7" s="92" t="s">
        <v>70</v>
      </c>
      <c r="G7" s="1">
        <v>4236500278</v>
      </c>
      <c r="H7" s="92" t="s">
        <v>39</v>
      </c>
      <c r="I7" s="93" t="s">
        <v>40</v>
      </c>
      <c r="J7" s="94">
        <v>847</v>
      </c>
      <c r="K7" s="94">
        <f>(J7/12)*2</f>
        <v>141.16666666666666</v>
      </c>
      <c r="L7" s="119">
        <v>0.32700000000000001</v>
      </c>
      <c r="M7" s="95">
        <f>J7*0.327</f>
        <v>276.96899999999999</v>
      </c>
      <c r="N7" s="96">
        <v>5.4</v>
      </c>
      <c r="O7" s="97">
        <f t="shared" ref="O7:O8" si="0">N7*12</f>
        <v>64.800000000000011</v>
      </c>
      <c r="P7" s="98">
        <v>10.76</v>
      </c>
      <c r="Q7" s="97">
        <f t="shared" ref="Q7:Q8" si="1">P7*12</f>
        <v>129.12</v>
      </c>
      <c r="R7" s="99">
        <v>2.6659999999999999</v>
      </c>
      <c r="S7" s="97">
        <f>(J7*R7)/100</f>
        <v>22.581019999999999</v>
      </c>
      <c r="T7" s="87">
        <f>M7+O7+Q7+S7</f>
        <v>493.47002000000003</v>
      </c>
      <c r="U7" s="115">
        <f>(T7/12)*2</f>
        <v>82.245003333333344</v>
      </c>
      <c r="V7" s="89"/>
    </row>
    <row r="8" spans="2:22" ht="120.75" customHeight="1">
      <c r="B8" s="81">
        <v>2</v>
      </c>
      <c r="C8" s="82" t="s">
        <v>43</v>
      </c>
      <c r="D8" s="14">
        <v>7785953355</v>
      </c>
      <c r="E8" s="4" t="s">
        <v>41</v>
      </c>
      <c r="F8" s="83" t="s">
        <v>70</v>
      </c>
      <c r="G8" s="14">
        <v>7785953355</v>
      </c>
      <c r="H8" s="4" t="s">
        <v>39</v>
      </c>
      <c r="I8" s="83" t="s">
        <v>40</v>
      </c>
      <c r="J8" s="100">
        <v>32013</v>
      </c>
      <c r="K8" s="94">
        <f>(J8/12)*2</f>
        <v>5335.5</v>
      </c>
      <c r="L8" s="120"/>
      <c r="M8" s="101">
        <f>J8*L7</f>
        <v>10468.251</v>
      </c>
      <c r="N8" s="102">
        <v>5.4</v>
      </c>
      <c r="O8" s="103">
        <f t="shared" si="0"/>
        <v>64.800000000000011</v>
      </c>
      <c r="P8" s="3">
        <v>10.76</v>
      </c>
      <c r="Q8" s="103">
        <f t="shared" si="1"/>
        <v>129.12</v>
      </c>
      <c r="R8" s="3">
        <v>2.6659999999999999</v>
      </c>
      <c r="S8" s="103">
        <f>(J8*R8)/100</f>
        <v>853.46657999999991</v>
      </c>
      <c r="T8" s="87">
        <f>M8+O8+Q8+S8</f>
        <v>11515.637580000001</v>
      </c>
      <c r="U8" s="115">
        <f>(T8/12)*2</f>
        <v>1919.2729300000001</v>
      </c>
      <c r="V8" s="89"/>
    </row>
    <row r="9" spans="2:22" ht="36.75">
      <c r="B9" s="89"/>
      <c r="C9" s="89"/>
      <c r="D9" s="89"/>
      <c r="E9" s="89"/>
      <c r="F9" s="89"/>
      <c r="G9" s="89"/>
      <c r="H9" s="89"/>
      <c r="I9" s="89"/>
      <c r="J9" s="16" t="s">
        <v>65</v>
      </c>
      <c r="K9" s="17" t="s">
        <v>66</v>
      </c>
      <c r="L9" s="89"/>
      <c r="M9" s="89"/>
      <c r="N9" s="89"/>
      <c r="O9" s="89"/>
      <c r="P9" s="89"/>
      <c r="Q9" s="89"/>
      <c r="R9" s="89"/>
      <c r="S9" s="89"/>
      <c r="T9" s="19" t="s">
        <v>67</v>
      </c>
      <c r="U9" s="20" t="s">
        <v>68</v>
      </c>
      <c r="V9" s="89"/>
    </row>
    <row r="10" spans="2:22">
      <c r="B10" s="89"/>
      <c r="C10" s="89"/>
      <c r="D10" s="89"/>
      <c r="E10" s="89"/>
      <c r="F10" s="89"/>
      <c r="G10" s="89"/>
      <c r="H10" s="89"/>
      <c r="I10" s="89"/>
      <c r="J10" s="104">
        <f>SUM(J7:J8)</f>
        <v>32860</v>
      </c>
      <c r="K10" s="104">
        <f>SUM(K7:K8)</f>
        <v>5476.666666666667</v>
      </c>
      <c r="L10" s="89"/>
      <c r="M10" s="105">
        <f>SUM(M7:M8)</f>
        <v>10745.22</v>
      </c>
      <c r="N10" s="89"/>
      <c r="O10" s="89">
        <f>SUM(O7:O8)</f>
        <v>129.60000000000002</v>
      </c>
      <c r="P10" s="89"/>
      <c r="Q10" s="89">
        <f>SUM(Q7:Q8)</f>
        <v>258.24</v>
      </c>
      <c r="R10" s="89"/>
      <c r="S10" s="89">
        <f>SUM(S7:S8)</f>
        <v>876.04759999999987</v>
      </c>
      <c r="T10" s="105">
        <f>SUM(T7:T9)</f>
        <v>12009.107600000001</v>
      </c>
      <c r="U10" s="89">
        <f>SUM(U7:U8)</f>
        <v>2001.5179333333335</v>
      </c>
      <c r="V10" s="89"/>
    </row>
    <row r="11" spans="2:22"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</row>
    <row r="12" spans="2:22"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</row>
    <row r="13" spans="2:22"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</row>
  </sheetData>
  <mergeCells count="1">
    <mergeCell ref="L7:L8"/>
  </mergeCells>
  <pageMargins left="0.70866141732283472" right="0.70866141732283472" top="0.15748031496062992" bottom="0.15748031496062992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U10"/>
  <sheetViews>
    <sheetView workbookViewId="0">
      <selection activeCell="K3" sqref="K3"/>
    </sheetView>
  </sheetViews>
  <sheetFormatPr defaultRowHeight="15"/>
  <cols>
    <col min="1" max="1" width="0.7109375" customWidth="1"/>
    <col min="2" max="2" width="5.28515625" customWidth="1"/>
    <col min="3" max="3" width="20.140625" customWidth="1"/>
    <col min="4" max="4" width="12.42578125" customWidth="1"/>
    <col min="5" max="5" width="7.5703125" customWidth="1"/>
    <col min="6" max="6" width="7.7109375" customWidth="1"/>
    <col min="7" max="7" width="13" customWidth="1"/>
    <col min="11" max="11" width="11.42578125" bestFit="1" customWidth="1"/>
    <col min="12" max="12" width="7.85546875" customWidth="1"/>
    <col min="14" max="14" width="7.85546875" customWidth="1"/>
    <col min="18" max="18" width="7.28515625" customWidth="1"/>
    <col min="21" max="21" width="10.5703125" bestFit="1" customWidth="1"/>
  </cols>
  <sheetData>
    <row r="2" spans="2:21">
      <c r="C2" s="109" t="s">
        <v>73</v>
      </c>
    </row>
    <row r="3" spans="2:21" ht="78.75"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0" t="s">
        <v>63</v>
      </c>
      <c r="H3" s="8" t="s">
        <v>5</v>
      </c>
      <c r="I3" s="8" t="s">
        <v>6</v>
      </c>
      <c r="J3" s="110" t="s">
        <v>77</v>
      </c>
      <c r="K3" s="110" t="s">
        <v>78</v>
      </c>
      <c r="L3" s="110" t="s">
        <v>33</v>
      </c>
      <c r="M3" s="110" t="s">
        <v>36</v>
      </c>
      <c r="N3" s="126" t="s">
        <v>32</v>
      </c>
      <c r="O3" s="126" t="s">
        <v>34</v>
      </c>
      <c r="P3" s="126" t="s">
        <v>35</v>
      </c>
      <c r="Q3" s="126" t="s">
        <v>79</v>
      </c>
      <c r="R3" s="126" t="s">
        <v>80</v>
      </c>
      <c r="S3" s="126" t="s">
        <v>81</v>
      </c>
      <c r="T3" s="126" t="s">
        <v>82</v>
      </c>
      <c r="U3" s="127" t="s">
        <v>83</v>
      </c>
    </row>
    <row r="4" spans="2:21" ht="113.25" customHeight="1">
      <c r="B4" s="81">
        <v>1</v>
      </c>
      <c r="C4" s="82" t="s">
        <v>37</v>
      </c>
      <c r="D4" s="2">
        <v>4236500230</v>
      </c>
      <c r="E4" s="4" t="s">
        <v>38</v>
      </c>
      <c r="F4" s="4" t="s">
        <v>70</v>
      </c>
      <c r="G4" s="2">
        <v>4236500230</v>
      </c>
      <c r="H4" s="18" t="s">
        <v>39</v>
      </c>
      <c r="I4" s="83" t="s">
        <v>40</v>
      </c>
      <c r="J4" s="4">
        <v>174949</v>
      </c>
      <c r="K4" s="4">
        <f>(J4/12)*2</f>
        <v>29158.166666666668</v>
      </c>
      <c r="L4" s="10">
        <v>0.32700000000000001</v>
      </c>
      <c r="M4" s="10">
        <f>L4*J4</f>
        <v>57208.323000000004</v>
      </c>
      <c r="N4" s="84">
        <v>15.85</v>
      </c>
      <c r="O4" s="5">
        <f>N4*12</f>
        <v>190.2</v>
      </c>
      <c r="P4" s="5">
        <v>210.12</v>
      </c>
      <c r="Q4" s="5">
        <f>P4*12</f>
        <v>2521.44</v>
      </c>
      <c r="R4" s="5">
        <v>2.3210000000000002</v>
      </c>
      <c r="S4" s="5">
        <f>(J4*R4)/100</f>
        <v>4060.5662900000002</v>
      </c>
      <c r="T4" s="10">
        <f>M4+O4+Q4+S4</f>
        <v>63980.529290000006</v>
      </c>
      <c r="U4" s="116">
        <f>(T4/12)*2</f>
        <v>10663.421548333334</v>
      </c>
    </row>
    <row r="5" spans="2:21" ht="108">
      <c r="B5" s="81">
        <v>2</v>
      </c>
      <c r="C5" s="85" t="s">
        <v>58</v>
      </c>
      <c r="D5" s="85" t="s">
        <v>59</v>
      </c>
      <c r="E5" s="86" t="s">
        <v>60</v>
      </c>
      <c r="F5" s="9" t="s">
        <v>15</v>
      </c>
      <c r="G5" s="85" t="s">
        <v>59</v>
      </c>
      <c r="H5" s="85" t="s">
        <v>61</v>
      </c>
      <c r="I5" s="85" t="s">
        <v>62</v>
      </c>
      <c r="J5" s="86">
        <v>200000</v>
      </c>
      <c r="K5" s="4">
        <f>(J5/12)*2</f>
        <v>33333.333333333336</v>
      </c>
      <c r="L5" s="6">
        <v>0.32700000000000001</v>
      </c>
      <c r="M5" s="87">
        <f>J5*L5</f>
        <v>65400</v>
      </c>
      <c r="N5" s="6">
        <v>15.85</v>
      </c>
      <c r="O5" s="87">
        <f>N5*12</f>
        <v>190.2</v>
      </c>
      <c r="P5" s="88">
        <v>210.12</v>
      </c>
      <c r="Q5" s="6">
        <f>P5*12</f>
        <v>2521.44</v>
      </c>
      <c r="R5" s="6">
        <v>2.3210000000000002</v>
      </c>
      <c r="S5" s="87">
        <f t="shared" ref="S5" si="0">(J5*R5)/100</f>
        <v>4642.0000000000009</v>
      </c>
      <c r="T5" s="10">
        <f>M5+O5+Q5+S5</f>
        <v>72753.64</v>
      </c>
      <c r="U5" s="116">
        <f>(T5/12)*2</f>
        <v>12125.606666666667</v>
      </c>
    </row>
    <row r="6" spans="2:21" ht="36.75">
      <c r="B6" s="89"/>
      <c r="C6" s="89"/>
      <c r="D6" s="89"/>
      <c r="E6" s="89"/>
      <c r="F6" s="89"/>
      <c r="G6" s="89"/>
      <c r="H6" s="89"/>
      <c r="I6" s="89"/>
      <c r="J6" s="16" t="s">
        <v>65</v>
      </c>
      <c r="K6" s="17" t="s">
        <v>66</v>
      </c>
      <c r="L6" s="89"/>
      <c r="M6" s="89"/>
      <c r="N6" s="89"/>
      <c r="O6" s="89"/>
      <c r="P6" s="89"/>
      <c r="Q6" s="89"/>
      <c r="R6" s="89"/>
      <c r="S6" s="89"/>
      <c r="T6" s="19" t="s">
        <v>67</v>
      </c>
      <c r="U6" s="20" t="s">
        <v>68</v>
      </c>
    </row>
    <row r="7" spans="2:21">
      <c r="B7" s="89"/>
      <c r="C7" s="89"/>
      <c r="D7" s="89"/>
      <c r="E7" s="89"/>
      <c r="F7" s="89"/>
      <c r="G7" s="89"/>
      <c r="H7" s="89"/>
      <c r="I7" s="89"/>
      <c r="J7" s="89">
        <f>SUM(J4:J5)</f>
        <v>374949</v>
      </c>
      <c r="K7" s="89">
        <f>SUM(K4:K6)</f>
        <v>62491.5</v>
      </c>
      <c r="L7" s="89"/>
      <c r="M7" s="89">
        <f>SUM(M4:M5)</f>
        <v>122608.323</v>
      </c>
      <c r="N7" s="89"/>
      <c r="O7" s="89">
        <f>SUM(O4:O5)</f>
        <v>380.4</v>
      </c>
      <c r="P7" s="89"/>
      <c r="Q7" s="89">
        <f>SUM(Q4:Q5)</f>
        <v>5042.88</v>
      </c>
      <c r="R7" s="89"/>
      <c r="S7" s="89">
        <f>SUM(S4:S5)</f>
        <v>8702.5662900000007</v>
      </c>
      <c r="T7" s="123">
        <f>SUM(T4:T5)</f>
        <v>136734.16928999999</v>
      </c>
      <c r="U7" s="122">
        <f>SUM(U4:U5)</f>
        <v>22789.028214999998</v>
      </c>
    </row>
    <row r="8" spans="2:21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</row>
    <row r="9" spans="2:21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</row>
    <row r="10" spans="2:21">
      <c r="K10" s="121">
        <f>M7+O7+Q7+S7</f>
        <v>136734.16928999999</v>
      </c>
      <c r="L10" s="121"/>
    </row>
  </sheetData>
  <mergeCells count="1">
    <mergeCell ref="K10:L10"/>
  </mergeCells>
  <pageMargins left="0.70866141732283472" right="0.70866141732283472" top="0.15748031496062992" bottom="0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U26"/>
  <sheetViews>
    <sheetView zoomScale="90" zoomScaleNormal="90" workbookViewId="0">
      <selection activeCell="I4" sqref="I4"/>
    </sheetView>
  </sheetViews>
  <sheetFormatPr defaultRowHeight="15"/>
  <cols>
    <col min="1" max="1" width="3.85546875" customWidth="1"/>
    <col min="2" max="2" width="3.7109375" customWidth="1"/>
    <col min="3" max="3" width="18.28515625" customWidth="1"/>
    <col min="4" max="4" width="11.7109375" customWidth="1"/>
    <col min="5" max="5" width="6.7109375" customWidth="1"/>
    <col min="7" max="7" width="12.85546875" customWidth="1"/>
    <col min="10" max="11" width="9.28515625" bestFit="1" customWidth="1"/>
    <col min="12" max="12" width="6.5703125" customWidth="1"/>
    <col min="13" max="13" width="12.140625" customWidth="1"/>
    <col min="14" max="14" width="8.5703125" customWidth="1"/>
    <col min="15" max="15" width="8" customWidth="1"/>
    <col min="16" max="18" width="9.28515625" bestFit="1" customWidth="1"/>
    <col min="19" max="19" width="10" bestFit="1" customWidth="1"/>
    <col min="20" max="20" width="10.5703125" customWidth="1"/>
    <col min="21" max="21" width="9.28515625" bestFit="1" customWidth="1"/>
  </cols>
  <sheetData>
    <row r="2" spans="2:21">
      <c r="C2" s="109" t="s">
        <v>74</v>
      </c>
    </row>
    <row r="3" spans="2:21" ht="78.75">
      <c r="B3" s="71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3" t="s">
        <v>63</v>
      </c>
      <c r="H3" s="24" t="s">
        <v>5</v>
      </c>
      <c r="I3" s="110" t="s">
        <v>6</v>
      </c>
      <c r="J3" s="110" t="s">
        <v>77</v>
      </c>
      <c r="K3" s="110" t="s">
        <v>78</v>
      </c>
      <c r="L3" s="110" t="s">
        <v>33</v>
      </c>
      <c r="M3" s="110" t="s">
        <v>36</v>
      </c>
      <c r="N3" s="126" t="s">
        <v>32</v>
      </c>
      <c r="O3" s="126" t="s">
        <v>34</v>
      </c>
      <c r="P3" s="126" t="s">
        <v>35</v>
      </c>
      <c r="Q3" s="126" t="s">
        <v>79</v>
      </c>
      <c r="R3" s="126" t="s">
        <v>80</v>
      </c>
      <c r="S3" s="126" t="s">
        <v>81</v>
      </c>
      <c r="T3" s="126" t="s">
        <v>82</v>
      </c>
      <c r="U3" s="127" t="s">
        <v>83</v>
      </c>
    </row>
    <row r="4" spans="2:21" ht="72.75" customHeight="1">
      <c r="B4" s="45">
        <v>1</v>
      </c>
      <c r="C4" s="30" t="s">
        <v>7</v>
      </c>
      <c r="D4" s="30" t="s">
        <v>13</v>
      </c>
      <c r="E4" s="30" t="s">
        <v>14</v>
      </c>
      <c r="F4" s="30" t="s">
        <v>15</v>
      </c>
      <c r="G4" s="30" t="s">
        <v>13</v>
      </c>
      <c r="H4" s="27"/>
      <c r="I4" s="111" t="s">
        <v>12</v>
      </c>
      <c r="J4" s="44">
        <v>22215</v>
      </c>
      <c r="K4" s="44">
        <f>(J4/12)*2</f>
        <v>3702.5</v>
      </c>
      <c r="L4" s="27">
        <v>0.32700000000000001</v>
      </c>
      <c r="M4" s="25">
        <f t="shared" ref="M4:M12" si="0">J4*L4</f>
        <v>7264.3050000000003</v>
      </c>
      <c r="N4" s="26">
        <v>6.28</v>
      </c>
      <c r="O4" s="27">
        <f t="shared" ref="O4" si="1">N4*12</f>
        <v>75.36</v>
      </c>
      <c r="P4" s="27">
        <v>37.85</v>
      </c>
      <c r="Q4" s="27">
        <f>12*P4</f>
        <v>454.20000000000005</v>
      </c>
      <c r="R4" s="26">
        <v>2.351</v>
      </c>
      <c r="S4" s="27">
        <f t="shared" ref="S4:S9" si="2">(J4*R4)/100</f>
        <v>522.27464999999995</v>
      </c>
      <c r="T4" s="72">
        <f>M4+O4+Q4+S4</f>
        <v>8316.1396499999992</v>
      </c>
      <c r="U4" s="117">
        <f>(T4/12)*2</f>
        <v>1386.0232749999998</v>
      </c>
    </row>
    <row r="5" spans="2:21" ht="103.5" customHeight="1">
      <c r="B5" s="45">
        <v>2</v>
      </c>
      <c r="C5" s="30" t="s">
        <v>19</v>
      </c>
      <c r="D5" s="30" t="s">
        <v>20</v>
      </c>
      <c r="E5" s="30" t="s">
        <v>14</v>
      </c>
      <c r="F5" s="30" t="s">
        <v>15</v>
      </c>
      <c r="G5" s="30" t="s">
        <v>20</v>
      </c>
      <c r="H5" s="29" t="s">
        <v>11</v>
      </c>
      <c r="I5" s="111" t="s">
        <v>12</v>
      </c>
      <c r="J5" s="44">
        <v>32420</v>
      </c>
      <c r="K5" s="44">
        <f t="shared" ref="K5:K12" si="3">(J5/12)*2</f>
        <v>5403.333333333333</v>
      </c>
      <c r="L5" s="27">
        <v>0.32700000000000001</v>
      </c>
      <c r="M5" s="25">
        <f t="shared" si="0"/>
        <v>10601.34</v>
      </c>
      <c r="N5" s="26">
        <v>6.28</v>
      </c>
      <c r="O5" s="27">
        <f>N5*12</f>
        <v>75.36</v>
      </c>
      <c r="P5" s="28">
        <v>37.85</v>
      </c>
      <c r="Q5" s="27">
        <f>12*P5</f>
        <v>454.20000000000005</v>
      </c>
      <c r="R5" s="26">
        <v>2.351</v>
      </c>
      <c r="S5" s="27">
        <f t="shared" si="2"/>
        <v>762.19420000000002</v>
      </c>
      <c r="T5" s="72">
        <f t="shared" ref="T5:T12" si="4">M5+O5+Q5+S5</f>
        <v>11893.094200000001</v>
      </c>
      <c r="U5" s="117">
        <f t="shared" ref="U5:U12" si="5">(T5/12)*2</f>
        <v>1982.1823666666669</v>
      </c>
    </row>
    <row r="6" spans="2:21" ht="78.75" customHeight="1">
      <c r="B6" s="45">
        <v>3</v>
      </c>
      <c r="C6" s="30" t="s">
        <v>21</v>
      </c>
      <c r="D6" s="30" t="s">
        <v>22</v>
      </c>
      <c r="E6" s="30" t="s">
        <v>14</v>
      </c>
      <c r="F6" s="30" t="s">
        <v>15</v>
      </c>
      <c r="G6" s="30" t="s">
        <v>22</v>
      </c>
      <c r="H6" s="29" t="s">
        <v>11</v>
      </c>
      <c r="I6" s="111" t="s">
        <v>12</v>
      </c>
      <c r="J6" s="44">
        <v>42226</v>
      </c>
      <c r="K6" s="44">
        <f t="shared" si="3"/>
        <v>7037.666666666667</v>
      </c>
      <c r="L6" s="27">
        <v>0.32700000000000001</v>
      </c>
      <c r="M6" s="25">
        <f t="shared" si="0"/>
        <v>13807.902</v>
      </c>
      <c r="N6" s="26">
        <v>6.28</v>
      </c>
      <c r="O6" s="27">
        <f t="shared" ref="O6:O9" si="6">N6*12</f>
        <v>75.36</v>
      </c>
      <c r="P6" s="28">
        <v>37.85</v>
      </c>
      <c r="Q6" s="27">
        <f>12*P6</f>
        <v>454.20000000000005</v>
      </c>
      <c r="R6" s="26">
        <v>2.351</v>
      </c>
      <c r="S6" s="27">
        <f t="shared" si="2"/>
        <v>992.73325999999997</v>
      </c>
      <c r="T6" s="72">
        <f t="shared" si="4"/>
        <v>15330.19526</v>
      </c>
      <c r="U6" s="117">
        <f t="shared" si="5"/>
        <v>2555.0325433333333</v>
      </c>
    </row>
    <row r="7" spans="2:21" ht="94.5" customHeight="1">
      <c r="B7" s="45">
        <v>4</v>
      </c>
      <c r="C7" s="30" t="s">
        <v>23</v>
      </c>
      <c r="D7" s="30" t="s">
        <v>24</v>
      </c>
      <c r="E7" s="30" t="s">
        <v>14</v>
      </c>
      <c r="F7" s="30" t="s">
        <v>15</v>
      </c>
      <c r="G7" s="30" t="s">
        <v>24</v>
      </c>
      <c r="H7" s="29" t="s">
        <v>11</v>
      </c>
      <c r="I7" s="111" t="s">
        <v>12</v>
      </c>
      <c r="J7" s="44">
        <v>26939</v>
      </c>
      <c r="K7" s="44">
        <f t="shared" si="3"/>
        <v>4489.833333333333</v>
      </c>
      <c r="L7" s="27">
        <v>0.32700000000000001</v>
      </c>
      <c r="M7" s="25">
        <f t="shared" si="0"/>
        <v>8809.0529999999999</v>
      </c>
      <c r="N7" s="26">
        <v>6.28</v>
      </c>
      <c r="O7" s="27">
        <f t="shared" si="6"/>
        <v>75.36</v>
      </c>
      <c r="P7" s="28">
        <v>37.85</v>
      </c>
      <c r="Q7" s="27">
        <f>12*P7</f>
        <v>454.20000000000005</v>
      </c>
      <c r="R7" s="26">
        <v>2.351</v>
      </c>
      <c r="S7" s="27">
        <f t="shared" si="2"/>
        <v>633.33588999999995</v>
      </c>
      <c r="T7" s="72">
        <f t="shared" si="4"/>
        <v>9971.9488900000015</v>
      </c>
      <c r="U7" s="117">
        <f t="shared" si="5"/>
        <v>1661.9914816666669</v>
      </c>
    </row>
    <row r="8" spans="2:21" ht="102.75" customHeight="1">
      <c r="B8" s="45">
        <v>5</v>
      </c>
      <c r="C8" s="30" t="s">
        <v>25</v>
      </c>
      <c r="D8" s="30" t="s">
        <v>28</v>
      </c>
      <c r="E8" s="30" t="s">
        <v>14</v>
      </c>
      <c r="F8" s="30" t="s">
        <v>15</v>
      </c>
      <c r="G8" s="30" t="s">
        <v>28</v>
      </c>
      <c r="H8" s="29" t="s">
        <v>11</v>
      </c>
      <c r="I8" s="111" t="s">
        <v>12</v>
      </c>
      <c r="J8" s="44">
        <v>11848</v>
      </c>
      <c r="K8" s="44">
        <f t="shared" si="3"/>
        <v>1974.6666666666667</v>
      </c>
      <c r="L8" s="27">
        <v>0.32700000000000001</v>
      </c>
      <c r="M8" s="25">
        <f t="shared" si="0"/>
        <v>3874.2960000000003</v>
      </c>
      <c r="N8" s="26">
        <v>6.28</v>
      </c>
      <c r="O8" s="27">
        <f t="shared" si="6"/>
        <v>75.36</v>
      </c>
      <c r="P8" s="28">
        <v>37.85</v>
      </c>
      <c r="Q8" s="27">
        <f>12*P8</f>
        <v>454.20000000000005</v>
      </c>
      <c r="R8" s="26">
        <v>2.351</v>
      </c>
      <c r="S8" s="27">
        <f t="shared" si="2"/>
        <v>278.54648000000003</v>
      </c>
      <c r="T8" s="72">
        <f>M8+O8+Q8+S8</f>
        <v>4682.4024800000007</v>
      </c>
      <c r="U8" s="117">
        <f t="shared" si="5"/>
        <v>780.4004133333334</v>
      </c>
    </row>
    <row r="9" spans="2:21" ht="101.25" customHeight="1">
      <c r="B9" s="45">
        <v>6</v>
      </c>
      <c r="C9" s="34" t="s">
        <v>42</v>
      </c>
      <c r="D9" s="30">
        <v>1441250381</v>
      </c>
      <c r="E9" s="34" t="s">
        <v>14</v>
      </c>
      <c r="F9" s="37" t="s">
        <v>69</v>
      </c>
      <c r="G9" s="31">
        <v>1441250381</v>
      </c>
      <c r="H9" s="32" t="s">
        <v>39</v>
      </c>
      <c r="I9" s="112" t="s">
        <v>40</v>
      </c>
      <c r="J9" s="38">
        <v>42290</v>
      </c>
      <c r="K9" s="44">
        <f t="shared" si="3"/>
        <v>7048.333333333333</v>
      </c>
      <c r="L9" s="27">
        <v>0.32700000000000001</v>
      </c>
      <c r="M9" s="113">
        <f t="shared" si="0"/>
        <v>13828.83</v>
      </c>
      <c r="N9" s="35">
        <v>6.28</v>
      </c>
      <c r="O9" s="33">
        <f t="shared" si="6"/>
        <v>75.36</v>
      </c>
      <c r="P9" s="39">
        <v>37.85</v>
      </c>
      <c r="Q9" s="33">
        <f t="shared" ref="Q9" si="7">P9*12</f>
        <v>454.20000000000005</v>
      </c>
      <c r="R9" s="36">
        <v>2.351</v>
      </c>
      <c r="S9" s="62">
        <f t="shared" si="2"/>
        <v>994.23789999999997</v>
      </c>
      <c r="T9" s="72">
        <f t="shared" si="4"/>
        <v>15352.627900000001</v>
      </c>
      <c r="U9" s="117">
        <f t="shared" si="5"/>
        <v>2558.7713166666667</v>
      </c>
    </row>
    <row r="10" spans="2:21" ht="90">
      <c r="B10" s="45">
        <v>7</v>
      </c>
      <c r="C10" s="34" t="s">
        <v>43</v>
      </c>
      <c r="D10" s="30">
        <v>7785953355</v>
      </c>
      <c r="E10" s="34" t="s">
        <v>14</v>
      </c>
      <c r="F10" s="37" t="s">
        <v>69</v>
      </c>
      <c r="G10" s="30">
        <v>7785953355</v>
      </c>
      <c r="H10" s="32" t="s">
        <v>39</v>
      </c>
      <c r="I10" s="112" t="s">
        <v>40</v>
      </c>
      <c r="J10" s="38">
        <v>5174</v>
      </c>
      <c r="K10" s="44">
        <f t="shared" si="3"/>
        <v>862.33333333333337</v>
      </c>
      <c r="L10" s="27">
        <v>0.32700000000000001</v>
      </c>
      <c r="M10" s="114">
        <f t="shared" si="0"/>
        <v>1691.8980000000001</v>
      </c>
      <c r="N10" s="35">
        <v>6.28</v>
      </c>
      <c r="O10" s="33">
        <f>N10*12</f>
        <v>75.36</v>
      </c>
      <c r="P10" s="36">
        <v>37.85</v>
      </c>
      <c r="Q10" s="33">
        <f t="shared" ref="Q10:Q11" si="8">P10*12</f>
        <v>454.20000000000005</v>
      </c>
      <c r="R10" s="36">
        <v>2.351</v>
      </c>
      <c r="S10" s="62">
        <f t="shared" ref="S10:S12" si="9">(J10*R10)/100</f>
        <v>121.64074000000001</v>
      </c>
      <c r="T10" s="72">
        <f t="shared" si="4"/>
        <v>2343.0987399999999</v>
      </c>
      <c r="U10" s="117">
        <f t="shared" si="5"/>
        <v>390.51645666666667</v>
      </c>
    </row>
    <row r="11" spans="2:21" ht="99" customHeight="1">
      <c r="B11" s="45">
        <v>8</v>
      </c>
      <c r="C11" s="34" t="s">
        <v>46</v>
      </c>
      <c r="D11" s="34">
        <v>8789451693</v>
      </c>
      <c r="E11" s="34" t="s">
        <v>14</v>
      </c>
      <c r="F11" s="37" t="s">
        <v>69</v>
      </c>
      <c r="G11" s="39">
        <v>8789451693</v>
      </c>
      <c r="H11" s="32" t="s">
        <v>39</v>
      </c>
      <c r="I11" s="112" t="s">
        <v>40</v>
      </c>
      <c r="J11" s="38">
        <v>42779</v>
      </c>
      <c r="K11" s="44">
        <f t="shared" si="3"/>
        <v>7129.833333333333</v>
      </c>
      <c r="L11" s="27">
        <v>0.32700000000000001</v>
      </c>
      <c r="M11" s="40">
        <f t="shared" si="0"/>
        <v>13988.733</v>
      </c>
      <c r="N11" s="36">
        <v>6.28</v>
      </c>
      <c r="O11" s="33">
        <f t="shared" ref="O11" si="10">N11*12</f>
        <v>75.36</v>
      </c>
      <c r="P11" s="36">
        <v>37.85</v>
      </c>
      <c r="Q11" s="33">
        <f t="shared" si="8"/>
        <v>454.20000000000005</v>
      </c>
      <c r="R11" s="36">
        <v>2.351</v>
      </c>
      <c r="S11" s="62">
        <f t="shared" si="9"/>
        <v>1005.73429</v>
      </c>
      <c r="T11" s="72">
        <f>M11+O11+Q11+S11</f>
        <v>15524.027290000002</v>
      </c>
      <c r="U11" s="117">
        <f t="shared" si="5"/>
        <v>2587.3378816666668</v>
      </c>
    </row>
    <row r="12" spans="2:21" ht="78.75">
      <c r="B12" s="45">
        <v>9</v>
      </c>
      <c r="C12" s="42" t="s">
        <v>47</v>
      </c>
      <c r="D12" s="42" t="s">
        <v>48</v>
      </c>
      <c r="E12" s="42" t="s">
        <v>49</v>
      </c>
      <c r="F12" s="42" t="s">
        <v>50</v>
      </c>
      <c r="G12" s="42" t="s">
        <v>48</v>
      </c>
      <c r="H12" s="30" t="s">
        <v>51</v>
      </c>
      <c r="I12" s="70" t="s">
        <v>52</v>
      </c>
      <c r="J12" s="73">
        <v>53691.65</v>
      </c>
      <c r="K12" s="44">
        <f t="shared" si="3"/>
        <v>8948.6083333333336</v>
      </c>
      <c r="L12" s="26">
        <v>0.32700000000000001</v>
      </c>
      <c r="M12" s="43">
        <f t="shared" si="0"/>
        <v>17557.169550000002</v>
      </c>
      <c r="N12" s="26">
        <v>6.28</v>
      </c>
      <c r="O12" s="26">
        <f>N12*12</f>
        <v>75.36</v>
      </c>
      <c r="P12" s="26">
        <v>37.85</v>
      </c>
      <c r="Q12" s="43">
        <f>12*P12</f>
        <v>454.20000000000005</v>
      </c>
      <c r="R12" s="26">
        <v>2.351</v>
      </c>
      <c r="S12" s="26">
        <f t="shared" si="9"/>
        <v>1262.2906914999999</v>
      </c>
      <c r="T12" s="72">
        <f t="shared" si="4"/>
        <v>19349.020241500002</v>
      </c>
      <c r="U12" s="117">
        <f t="shared" si="5"/>
        <v>3224.836706916667</v>
      </c>
    </row>
    <row r="13" spans="2:21" ht="23.25">
      <c r="B13" s="64"/>
      <c r="C13" s="64"/>
      <c r="D13" s="64"/>
      <c r="E13" s="64"/>
      <c r="F13" s="64"/>
      <c r="G13" s="64"/>
      <c r="H13" s="64"/>
      <c r="I13" s="64"/>
      <c r="J13" s="65" t="s">
        <v>65</v>
      </c>
      <c r="K13" s="66" t="s">
        <v>66</v>
      </c>
      <c r="L13" s="64"/>
      <c r="M13" s="64"/>
      <c r="N13" s="64"/>
      <c r="O13" s="64"/>
      <c r="P13" s="64"/>
      <c r="Q13" s="64"/>
      <c r="R13" s="64"/>
      <c r="S13" s="64"/>
      <c r="T13" s="74" t="s">
        <v>67</v>
      </c>
      <c r="U13" s="67" t="s">
        <v>68</v>
      </c>
    </row>
    <row r="14" spans="2:21">
      <c r="B14" s="64"/>
      <c r="C14" s="64"/>
      <c r="D14" s="64"/>
      <c r="E14" s="64"/>
      <c r="F14" s="64"/>
      <c r="G14" s="64"/>
      <c r="H14" s="64"/>
      <c r="I14" s="64"/>
      <c r="J14" s="75">
        <f>SUM(J4:J12)</f>
        <v>279582.65000000002</v>
      </c>
      <c r="K14" s="75">
        <f>SUM(K4:K12)</f>
        <v>46597.108333333337</v>
      </c>
      <c r="L14" s="64"/>
      <c r="M14" s="76">
        <f>SUM(M4:M12)</f>
        <v>91423.52655000001</v>
      </c>
      <c r="N14" s="64"/>
      <c r="O14" s="77">
        <f>SUM(O4:O12)</f>
        <v>678.24</v>
      </c>
      <c r="P14" s="64"/>
      <c r="Q14" s="64">
        <f>SUM(Q4:Q12)</f>
        <v>4087.7999999999993</v>
      </c>
      <c r="R14" s="64"/>
      <c r="S14" s="78">
        <f>SUM(S4:S12)</f>
        <v>6572.9881014999992</v>
      </c>
      <c r="T14" s="76">
        <f>SUM(T4:T13)</f>
        <v>102762.55465150002</v>
      </c>
      <c r="U14" s="79">
        <f>SUM(U4:U12)</f>
        <v>17127.092441916669</v>
      </c>
    </row>
    <row r="15" spans="2:21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</row>
    <row r="16" spans="2:21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</row>
    <row r="17" spans="2:21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76">
        <f>M14+O14+Q14+S14</f>
        <v>102762.55465150002</v>
      </c>
      <c r="N17" s="64"/>
      <c r="O17" s="64"/>
      <c r="P17" s="64"/>
      <c r="Q17" s="64"/>
      <c r="R17" s="64"/>
      <c r="S17" s="64"/>
      <c r="T17" s="64"/>
      <c r="U17" s="64"/>
    </row>
    <row r="18" spans="2:2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</row>
    <row r="19" spans="2:21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2:21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2:21"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2:21"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2:21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</row>
    <row r="24" spans="2:21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</row>
    <row r="25" spans="2:21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</row>
    <row r="26" spans="2:2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</row>
  </sheetData>
  <pageMargins left="0.31496062992125984" right="0.31496062992125984" top="0" bottom="0" header="0.31496062992125984" footer="0.31496062992125984"/>
  <pageSetup paperSize="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15"/>
  <sheetViews>
    <sheetView workbookViewId="0">
      <selection activeCell="I3" sqref="I3"/>
    </sheetView>
  </sheetViews>
  <sheetFormatPr defaultRowHeight="15"/>
  <cols>
    <col min="1" max="1" width="4.42578125" customWidth="1"/>
    <col min="2" max="2" width="3.28515625" customWidth="1"/>
    <col min="3" max="3" width="17" customWidth="1"/>
    <col min="10" max="10" width="11.85546875" customWidth="1"/>
    <col min="11" max="11" width="11.140625" customWidth="1"/>
    <col min="12" max="12" width="8" customWidth="1"/>
    <col min="13" max="13" width="11.5703125" customWidth="1"/>
    <col min="14" max="14" width="8" customWidth="1"/>
    <col min="15" max="15" width="9.5703125" customWidth="1"/>
    <col min="17" max="17" width="10.28515625" customWidth="1"/>
    <col min="18" max="18" width="6.7109375" customWidth="1"/>
    <col min="19" max="19" width="10.5703125" customWidth="1"/>
    <col min="20" max="20" width="12.140625" customWidth="1"/>
    <col min="21" max="21" width="11.85546875" customWidth="1"/>
  </cols>
  <sheetData>
    <row r="1" spans="2:21">
      <c r="C1" s="109" t="s">
        <v>71</v>
      </c>
    </row>
    <row r="2" spans="2:21" ht="67.5">
      <c r="B2" s="108" t="s">
        <v>0</v>
      </c>
      <c r="C2" s="47" t="s">
        <v>1</v>
      </c>
      <c r="D2" s="47" t="s">
        <v>2</v>
      </c>
      <c r="E2" s="47" t="s">
        <v>3</v>
      </c>
      <c r="F2" s="47" t="s">
        <v>4</v>
      </c>
      <c r="G2" s="61" t="s">
        <v>63</v>
      </c>
      <c r="H2" s="47" t="s">
        <v>5</v>
      </c>
      <c r="I2" s="47" t="s">
        <v>6</v>
      </c>
      <c r="J2" s="110" t="s">
        <v>77</v>
      </c>
      <c r="K2" s="110" t="s">
        <v>78</v>
      </c>
      <c r="L2" s="110" t="s">
        <v>33</v>
      </c>
      <c r="M2" s="110" t="s">
        <v>36</v>
      </c>
      <c r="N2" s="126" t="s">
        <v>32</v>
      </c>
      <c r="O2" s="126" t="s">
        <v>34</v>
      </c>
      <c r="P2" s="126" t="s">
        <v>35</v>
      </c>
      <c r="Q2" s="126" t="s">
        <v>79</v>
      </c>
      <c r="R2" s="126" t="s">
        <v>80</v>
      </c>
      <c r="S2" s="126" t="s">
        <v>81</v>
      </c>
      <c r="T2" s="126" t="s">
        <v>82</v>
      </c>
      <c r="U2" s="127" t="s">
        <v>83</v>
      </c>
    </row>
    <row r="3" spans="2:21" ht="60.75" customHeight="1">
      <c r="B3" s="45">
        <v>1</v>
      </c>
      <c r="C3" s="46" t="s">
        <v>7</v>
      </c>
      <c r="D3" s="46" t="s">
        <v>8</v>
      </c>
      <c r="E3" s="46" t="s">
        <v>9</v>
      </c>
      <c r="F3" s="46" t="s">
        <v>10</v>
      </c>
      <c r="G3" s="46" t="s">
        <v>8</v>
      </c>
      <c r="H3" s="47" t="s">
        <v>11</v>
      </c>
      <c r="I3" s="47" t="s">
        <v>12</v>
      </c>
      <c r="J3" s="48">
        <v>470132</v>
      </c>
      <c r="K3" s="48">
        <f>(J3/12)*2</f>
        <v>78355.333333333328</v>
      </c>
      <c r="L3" s="45">
        <v>0.32700000000000001</v>
      </c>
      <c r="M3" s="49">
        <f>J3*L3</f>
        <v>153733.16400000002</v>
      </c>
      <c r="N3" s="26">
        <v>121</v>
      </c>
      <c r="O3" s="50">
        <f>N3*12</f>
        <v>1452</v>
      </c>
      <c r="P3" s="28">
        <v>0.57799999999999996</v>
      </c>
      <c r="Q3" s="28">
        <f>(8760*176*0.578)/100</f>
        <v>8911.3727999999992</v>
      </c>
      <c r="R3" s="51">
        <v>1.651</v>
      </c>
      <c r="S3" s="28">
        <f t="shared" ref="S3:S8" si="0">(J3*R3)/100</f>
        <v>7761.87932</v>
      </c>
      <c r="T3" s="52">
        <f>M3+O3+Q3+S3</f>
        <v>171858.41612000004</v>
      </c>
      <c r="U3" s="118">
        <f>(T3/12)*2</f>
        <v>28643.06935333334</v>
      </c>
    </row>
    <row r="4" spans="2:21" ht="60.75" customHeight="1">
      <c r="B4" s="45">
        <v>2</v>
      </c>
      <c r="C4" s="46" t="s">
        <v>16</v>
      </c>
      <c r="D4" s="46" t="s">
        <v>17</v>
      </c>
      <c r="E4" s="46" t="s">
        <v>9</v>
      </c>
      <c r="F4" s="47" t="s">
        <v>18</v>
      </c>
      <c r="G4" s="46" t="s">
        <v>17</v>
      </c>
      <c r="H4" s="47" t="s">
        <v>11</v>
      </c>
      <c r="I4" s="47" t="s">
        <v>12</v>
      </c>
      <c r="J4" s="48">
        <v>450346</v>
      </c>
      <c r="K4" s="48">
        <f t="shared" ref="K4:K8" si="1">(J4/12)*2</f>
        <v>75057.666666666672</v>
      </c>
      <c r="L4" s="45">
        <v>0.32700000000000001</v>
      </c>
      <c r="M4" s="49">
        <f>J4*L4</f>
        <v>147263.14199999999</v>
      </c>
      <c r="N4" s="26">
        <v>121</v>
      </c>
      <c r="O4" s="50">
        <f t="shared" ref="O4:O6" si="2">N4*12</f>
        <v>1452</v>
      </c>
      <c r="P4" s="28">
        <v>0.57799999999999996</v>
      </c>
      <c r="Q4" s="28">
        <f>(8760*406*0.578)/100</f>
        <v>20556.916799999999</v>
      </c>
      <c r="R4" s="51">
        <v>1.651</v>
      </c>
      <c r="S4" s="28">
        <f t="shared" si="0"/>
        <v>7435.2124600000006</v>
      </c>
      <c r="T4" s="52">
        <f t="shared" ref="T4:T8" si="3">M4+O4+Q4+S4</f>
        <v>176707.27126000001</v>
      </c>
      <c r="U4" s="118">
        <f>(T4/12)*2</f>
        <v>29451.211876666668</v>
      </c>
    </row>
    <row r="5" spans="2:21" ht="60.75" customHeight="1">
      <c r="B5" s="45">
        <v>3</v>
      </c>
      <c r="C5" s="46" t="s">
        <v>25</v>
      </c>
      <c r="D5" s="46" t="s">
        <v>26</v>
      </c>
      <c r="E5" s="46" t="s">
        <v>9</v>
      </c>
      <c r="F5" s="47" t="s">
        <v>27</v>
      </c>
      <c r="G5" s="46" t="s">
        <v>26</v>
      </c>
      <c r="H5" s="47" t="s">
        <v>11</v>
      </c>
      <c r="I5" s="47" t="s">
        <v>12</v>
      </c>
      <c r="J5" s="48">
        <v>718389</v>
      </c>
      <c r="K5" s="48">
        <f t="shared" si="1"/>
        <v>119731.5</v>
      </c>
      <c r="L5" s="45">
        <v>0.32700000000000001</v>
      </c>
      <c r="M5" s="49">
        <f>J5*L5</f>
        <v>234913.20300000001</v>
      </c>
      <c r="N5" s="26">
        <v>121</v>
      </c>
      <c r="O5" s="50">
        <f t="shared" si="2"/>
        <v>1452</v>
      </c>
      <c r="P5" s="28">
        <v>0.57799999999999996</v>
      </c>
      <c r="Q5" s="28">
        <f>(8760*274*P5)/100</f>
        <v>13873.387199999999</v>
      </c>
      <c r="R5" s="41">
        <v>1.651</v>
      </c>
      <c r="S5" s="28">
        <f t="shared" si="0"/>
        <v>11860.60239</v>
      </c>
      <c r="T5" s="52">
        <f t="shared" si="3"/>
        <v>262099.19258999999</v>
      </c>
      <c r="U5" s="118">
        <f t="shared" ref="U5:U8" si="4">(T5/12)*2</f>
        <v>43683.198765000001</v>
      </c>
    </row>
    <row r="6" spans="2:21" ht="60.75" customHeight="1">
      <c r="B6" s="45">
        <v>4</v>
      </c>
      <c r="C6" s="46" t="s">
        <v>29</v>
      </c>
      <c r="D6" s="46" t="s">
        <v>30</v>
      </c>
      <c r="E6" s="46" t="s">
        <v>9</v>
      </c>
      <c r="F6" s="47" t="s">
        <v>31</v>
      </c>
      <c r="G6" s="46" t="s">
        <v>30</v>
      </c>
      <c r="H6" s="47" t="s">
        <v>11</v>
      </c>
      <c r="I6" s="47" t="s">
        <v>12</v>
      </c>
      <c r="J6" s="48">
        <v>310216</v>
      </c>
      <c r="K6" s="48">
        <f t="shared" si="1"/>
        <v>51702.666666666664</v>
      </c>
      <c r="L6" s="45">
        <v>0.32700000000000001</v>
      </c>
      <c r="M6" s="49">
        <f>J6*L6</f>
        <v>101440.632</v>
      </c>
      <c r="N6" s="26">
        <v>121</v>
      </c>
      <c r="O6" s="50">
        <f t="shared" si="2"/>
        <v>1452</v>
      </c>
      <c r="P6" s="28">
        <v>0.57799999999999996</v>
      </c>
      <c r="Q6" s="28">
        <f>(8760*263*0.578)/100</f>
        <v>13316.426399999998</v>
      </c>
      <c r="R6" s="41">
        <v>1.651</v>
      </c>
      <c r="S6" s="28">
        <f t="shared" si="0"/>
        <v>5121.6661599999998</v>
      </c>
      <c r="T6" s="52">
        <f t="shared" si="3"/>
        <v>121330.72455999999</v>
      </c>
      <c r="U6" s="118">
        <f t="shared" si="4"/>
        <v>20221.787426666666</v>
      </c>
    </row>
    <row r="7" spans="2:21" ht="60.75" customHeight="1">
      <c r="B7" s="45">
        <v>5</v>
      </c>
      <c r="C7" s="53" t="s">
        <v>53</v>
      </c>
      <c r="D7" s="54" t="s">
        <v>54</v>
      </c>
      <c r="E7" s="53" t="s">
        <v>9</v>
      </c>
      <c r="F7" s="53">
        <v>121</v>
      </c>
      <c r="G7" s="54" t="s">
        <v>54</v>
      </c>
      <c r="H7" s="53" t="s">
        <v>55</v>
      </c>
      <c r="I7" s="53" t="s">
        <v>52</v>
      </c>
      <c r="J7" s="55">
        <v>240640.4</v>
      </c>
      <c r="K7" s="48">
        <f t="shared" si="1"/>
        <v>40106.73333333333</v>
      </c>
      <c r="L7" s="45">
        <v>0.32700000000000001</v>
      </c>
      <c r="M7" s="56">
        <f>J7*L7</f>
        <v>78689.410799999998</v>
      </c>
      <c r="N7" s="45">
        <v>121</v>
      </c>
      <c r="O7" s="56">
        <f>N7*12</f>
        <v>1452</v>
      </c>
      <c r="P7" s="57">
        <v>0.57799999999999996</v>
      </c>
      <c r="Q7" s="58">
        <f>(8760*121*0.578)/100</f>
        <v>6126.5688</v>
      </c>
      <c r="R7" s="57">
        <v>1.651</v>
      </c>
      <c r="S7" s="58">
        <f t="shared" si="0"/>
        <v>3972.9730039999999</v>
      </c>
      <c r="T7" s="52">
        <f t="shared" si="3"/>
        <v>90240.952603999991</v>
      </c>
      <c r="U7" s="118">
        <f t="shared" si="4"/>
        <v>15040.158767333332</v>
      </c>
    </row>
    <row r="8" spans="2:21" ht="58.5" customHeight="1">
      <c r="B8" s="45">
        <v>6</v>
      </c>
      <c r="C8" s="59" t="s">
        <v>56</v>
      </c>
      <c r="D8" s="60" t="s">
        <v>57</v>
      </c>
      <c r="E8" s="61" t="s">
        <v>9</v>
      </c>
      <c r="F8" s="62">
        <v>165</v>
      </c>
      <c r="G8" s="60" t="s">
        <v>57</v>
      </c>
      <c r="H8" s="61" t="s">
        <v>55</v>
      </c>
      <c r="I8" s="61" t="s">
        <v>52</v>
      </c>
      <c r="J8" s="63">
        <v>442394.7</v>
      </c>
      <c r="K8" s="48">
        <f t="shared" si="1"/>
        <v>73732.45</v>
      </c>
      <c r="L8" s="45">
        <v>0.32700000000000001</v>
      </c>
      <c r="M8" s="56">
        <f>J8*L7</f>
        <v>144663.06690000001</v>
      </c>
      <c r="N8" s="45">
        <v>121</v>
      </c>
      <c r="O8" s="56">
        <f>N8*12</f>
        <v>1452</v>
      </c>
      <c r="P8" s="57">
        <v>0.57799999999999996</v>
      </c>
      <c r="Q8" s="58">
        <f>(8760*165*0.578)/100</f>
        <v>8354.4120000000003</v>
      </c>
      <c r="R8" s="57">
        <v>1.651</v>
      </c>
      <c r="S8" s="58">
        <f t="shared" si="0"/>
        <v>7303.9364970000006</v>
      </c>
      <c r="T8" s="52">
        <f t="shared" si="3"/>
        <v>161773.415397</v>
      </c>
      <c r="U8" s="118">
        <f t="shared" si="4"/>
        <v>26962.2358995</v>
      </c>
    </row>
    <row r="9" spans="2:21" ht="23.25">
      <c r="B9" s="64"/>
      <c r="C9" s="64"/>
      <c r="D9" s="64"/>
      <c r="E9" s="64"/>
      <c r="F9" s="64"/>
      <c r="G9" s="64"/>
      <c r="H9" s="64"/>
      <c r="I9" s="64"/>
      <c r="J9" s="65" t="s">
        <v>65</v>
      </c>
      <c r="K9" s="66" t="s">
        <v>66</v>
      </c>
      <c r="L9" s="64"/>
      <c r="M9" s="64"/>
      <c r="N9" s="64"/>
      <c r="O9" s="64"/>
      <c r="P9" s="64"/>
      <c r="Q9" s="64"/>
      <c r="R9" s="64"/>
      <c r="S9" s="64"/>
      <c r="T9" s="74" t="s">
        <v>67</v>
      </c>
      <c r="U9" s="106" t="s">
        <v>68</v>
      </c>
    </row>
    <row r="10" spans="2:21">
      <c r="B10" s="64"/>
      <c r="C10" s="64"/>
      <c r="D10" s="64"/>
      <c r="E10" s="64"/>
      <c r="F10" s="64"/>
      <c r="G10" s="64"/>
      <c r="H10" s="64"/>
      <c r="I10" s="64"/>
      <c r="J10" s="68">
        <f>SUM(J3:J9)</f>
        <v>2632118.1</v>
      </c>
      <c r="K10" s="68">
        <f>SUM(K3:K9)</f>
        <v>438686.35000000003</v>
      </c>
      <c r="L10" s="68"/>
      <c r="M10" s="68">
        <f>SUM(M3:M9)</f>
        <v>860702.61869999988</v>
      </c>
      <c r="N10" s="68"/>
      <c r="O10" s="68">
        <f>SUM(O3:O9)</f>
        <v>8712</v>
      </c>
      <c r="P10" s="68"/>
      <c r="Q10" s="68">
        <f>SUM(Q3:Q9)</f>
        <v>71139.083999999988</v>
      </c>
      <c r="R10" s="68"/>
      <c r="S10" s="68">
        <f>SUM(S3:S9)</f>
        <v>43456.269831000005</v>
      </c>
      <c r="T10" s="52">
        <f>SUM(T3:T9)</f>
        <v>984009.97253100004</v>
      </c>
      <c r="U10" s="107">
        <f>SUM(U3:U9)</f>
        <v>164001.66208849999</v>
      </c>
    </row>
    <row r="11" spans="2:21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</row>
    <row r="12" spans="2:21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2:21"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</row>
    <row r="14" spans="2:21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9">
        <f>M10+O10+Q10++S10</f>
        <v>984009.97253099992</v>
      </c>
      <c r="N14" s="64"/>
      <c r="O14" s="64"/>
      <c r="P14" s="64"/>
      <c r="Q14" s="64"/>
      <c r="R14" s="64"/>
      <c r="S14" s="64"/>
      <c r="T14" s="64"/>
      <c r="U14" s="64"/>
    </row>
    <row r="15" spans="2:21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</row>
  </sheetData>
  <pageMargins left="0.31496062992125984" right="0.31496062992125984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wszystkie taryfy na rok</vt:lpstr>
      <vt:lpstr>taryfa W-2.1 na rok</vt:lpstr>
      <vt:lpstr>taryfa W.4</vt:lpstr>
      <vt:lpstr>taryfa W-3.6</vt:lpstr>
      <vt:lpstr>taryfa W-5.1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WiniarskaA</dc:creator>
  <cp:lastModifiedBy>Baran Małgorzata</cp:lastModifiedBy>
  <cp:lastPrinted>2021-11-22T07:05:32Z</cp:lastPrinted>
  <dcterms:created xsi:type="dcterms:W3CDTF">2017-09-13T10:17:46Z</dcterms:created>
  <dcterms:modified xsi:type="dcterms:W3CDTF">2021-11-22T07:10:09Z</dcterms:modified>
</cp:coreProperties>
</file>