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amroczkowska\Desktop\"/>
    </mc:Choice>
  </mc:AlternateContent>
  <bookViews>
    <workbookView xWindow="-105" yWindow="-105" windowWidth="23250" windowHeight="12570" tabRatio="821" activeTab="3"/>
  </bookViews>
  <sheets>
    <sheet name="Tab.2a  " sheetId="45" r:id="rId1"/>
    <sheet name="Tab.3" sheetId="21" r:id="rId2"/>
    <sheet name="Tab.5" sheetId="33" r:id="rId3"/>
    <sheet name="Tab.7" sheetId="38" r:id="rId4"/>
    <sheet name="Tab.8" sheetId="46" r:id="rId5"/>
    <sheet name="Zał.1" sheetId="27" r:id="rId6"/>
  </sheets>
  <definedNames>
    <definedName name="__xlnm.Print_Area_1" localSheetId="0">#REF!</definedName>
    <definedName name="__xlnm.Print_Area_1" localSheetId="1">#REF!</definedName>
    <definedName name="__xlnm.Print_Area_1" localSheetId="3">#REF!</definedName>
    <definedName name="__xlnm.Print_Area_1" localSheetId="4">#REF!</definedName>
    <definedName name="__xlnm.Print_Area_1" localSheetId="5">#REF!</definedName>
    <definedName name="__xlnm.Print_Area_1">#REF!</definedName>
    <definedName name="_xlnm._FilterDatabase" localSheetId="2" hidden="1">Tab.5!$C$1:$C$181</definedName>
    <definedName name="_xlnm._FilterDatabase" localSheetId="3" hidden="1">Tab.7!$D$2:$D$42</definedName>
    <definedName name="_xlnm._FilterDatabase" localSheetId="4" hidden="1">Tab.8!$B$3:$B$38</definedName>
    <definedName name="Inwestycje" localSheetId="0">#REF!</definedName>
    <definedName name="Inwestycje" localSheetId="3">#REF!</definedName>
    <definedName name="Inwestycje" localSheetId="4">#REF!</definedName>
    <definedName name="Inwestycje">#REF!</definedName>
    <definedName name="_xlnm.Print_Area" localSheetId="0">'Tab.2a  '!$A$2:$K$144</definedName>
    <definedName name="_xlnm.Print_Area" localSheetId="1">Tab.3!$A$2:$D$25</definedName>
    <definedName name="_xlnm.Print_Area" localSheetId="2">Tab.5!$B$2:$G$178</definedName>
    <definedName name="_xlnm.Print_Area" localSheetId="4">Tab.8!$B$3:$G$35</definedName>
    <definedName name="_xlnm.Print_Area" localSheetId="5">Zał.1!$A$2:$G$50</definedName>
    <definedName name="t" localSheetId="0">#REF!</definedName>
    <definedName name="t" localSheetId="1">#REF!</definedName>
    <definedName name="t" localSheetId="3">#REF!</definedName>
    <definedName name="t" localSheetId="4">#REF!</definedName>
    <definedName name="t" localSheetId="5">#REF!</definedName>
    <definedName name="t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46" l="1"/>
  <c r="G17" i="46"/>
  <c r="G18" i="46"/>
  <c r="G31" i="46"/>
  <c r="F31" i="46"/>
  <c r="G30" i="46"/>
  <c r="F30" i="46"/>
  <c r="G28" i="46"/>
  <c r="F28" i="46"/>
  <c r="G27" i="46"/>
  <c r="F27" i="46"/>
  <c r="G25" i="46"/>
  <c r="F25" i="46"/>
  <c r="G24" i="46"/>
  <c r="F24" i="46"/>
  <c r="G21" i="46"/>
  <c r="F21" i="46"/>
  <c r="G20" i="46"/>
  <c r="F20" i="46"/>
  <c r="G14" i="46"/>
  <c r="G11" i="46" s="1"/>
  <c r="G12" i="46"/>
  <c r="F12" i="46"/>
  <c r="F11" i="46" s="1"/>
  <c r="F35" i="46" s="1"/>
  <c r="G9" i="46"/>
  <c r="F9" i="46"/>
  <c r="F8" i="46" s="1"/>
  <c r="G8" i="46"/>
  <c r="F7" i="46"/>
  <c r="F6" i="46"/>
  <c r="F5" i="46"/>
  <c r="D18" i="21" l="1"/>
  <c r="F70" i="45"/>
  <c r="J66" i="45"/>
  <c r="G45" i="45"/>
  <c r="G117" i="45"/>
  <c r="H117" i="45"/>
  <c r="H96" i="45"/>
  <c r="H13" i="45"/>
  <c r="G128" i="45"/>
  <c r="J37" i="45"/>
  <c r="I37" i="45"/>
  <c r="F49" i="45"/>
  <c r="J139" i="45" l="1"/>
  <c r="I139" i="45"/>
  <c r="H139" i="45"/>
  <c r="F138" i="45"/>
  <c r="G137" i="45"/>
  <c r="G139" i="45" s="1"/>
  <c r="J136" i="45"/>
  <c r="I136" i="45"/>
  <c r="H136" i="45"/>
  <c r="G136" i="45"/>
  <c r="F136" i="45"/>
  <c r="F135" i="45"/>
  <c r="J134" i="45"/>
  <c r="I134" i="45"/>
  <c r="H134" i="45"/>
  <c r="G134" i="45"/>
  <c r="F133" i="45"/>
  <c r="F132" i="45"/>
  <c r="F134" i="45" s="1"/>
  <c r="J131" i="45"/>
  <c r="I131" i="45"/>
  <c r="H131" i="45"/>
  <c r="G130" i="45"/>
  <c r="F130" i="45" s="1"/>
  <c r="F131" i="45" s="1"/>
  <c r="J129" i="45"/>
  <c r="I129" i="45"/>
  <c r="H129" i="45"/>
  <c r="G129" i="45"/>
  <c r="F128" i="45"/>
  <c r="F127" i="45"/>
  <c r="F129" i="45" s="1"/>
  <c r="H126" i="45"/>
  <c r="G126" i="45"/>
  <c r="F125" i="45"/>
  <c r="F126" i="45" s="1"/>
  <c r="I124" i="45"/>
  <c r="H124" i="45"/>
  <c r="F123" i="45"/>
  <c r="G122" i="45"/>
  <c r="G124" i="45" s="1"/>
  <c r="I121" i="45"/>
  <c r="F120" i="45"/>
  <c r="G119" i="45"/>
  <c r="F119" i="45" s="1"/>
  <c r="H121" i="45"/>
  <c r="F117" i="45"/>
  <c r="J116" i="45"/>
  <c r="H116" i="45"/>
  <c r="G116" i="45"/>
  <c r="F115" i="45"/>
  <c r="F114" i="45"/>
  <c r="F116" i="45" s="1"/>
  <c r="H113" i="45"/>
  <c r="G113" i="45"/>
  <c r="F112" i="45"/>
  <c r="F111" i="45"/>
  <c r="F113" i="45" s="1"/>
  <c r="H110" i="45"/>
  <c r="G109" i="45"/>
  <c r="F109" i="45" s="1"/>
  <c r="F110" i="45" s="1"/>
  <c r="G107" i="45"/>
  <c r="F107" i="45" s="1"/>
  <c r="F108" i="45" s="1"/>
  <c r="G106" i="45"/>
  <c r="F105" i="45"/>
  <c r="F106" i="45" s="1"/>
  <c r="G103" i="45"/>
  <c r="G104" i="45" s="1"/>
  <c r="F103" i="45"/>
  <c r="F104" i="45" s="1"/>
  <c r="K102" i="45"/>
  <c r="J102" i="45"/>
  <c r="I102" i="45"/>
  <c r="H102" i="45"/>
  <c r="F101" i="45"/>
  <c r="G100" i="45"/>
  <c r="G102" i="45" s="1"/>
  <c r="H99" i="45"/>
  <c r="F99" i="45" s="1"/>
  <c r="F98" i="45"/>
  <c r="F97" i="45"/>
  <c r="F96" i="45"/>
  <c r="H95" i="45"/>
  <c r="G95" i="45"/>
  <c r="F94" i="45"/>
  <c r="F95" i="45" s="1"/>
  <c r="H93" i="45"/>
  <c r="G93" i="45"/>
  <c r="F92" i="45"/>
  <c r="F93" i="45" s="1"/>
  <c r="G90" i="45"/>
  <c r="F90" i="45" s="1"/>
  <c r="F91" i="45" s="1"/>
  <c r="H89" i="45"/>
  <c r="G88" i="45"/>
  <c r="F88" i="45" s="1"/>
  <c r="G87" i="45"/>
  <c r="F87" i="45"/>
  <c r="G86" i="45"/>
  <c r="F85" i="45"/>
  <c r="F86" i="45" s="1"/>
  <c r="G83" i="45"/>
  <c r="F83" i="45" s="1"/>
  <c r="J82" i="45"/>
  <c r="I82" i="45"/>
  <c r="H82" i="45"/>
  <c r="F81" i="45"/>
  <c r="F80" i="45"/>
  <c r="G79" i="45"/>
  <c r="F79" i="45" s="1"/>
  <c r="H78" i="45"/>
  <c r="G78" i="45"/>
  <c r="F78" i="45"/>
  <c r="G77" i="45"/>
  <c r="F77" i="45" s="1"/>
  <c r="F76" i="45"/>
  <c r="G75" i="45"/>
  <c r="F75" i="45" s="1"/>
  <c r="G74" i="45"/>
  <c r="F74" i="45" s="1"/>
  <c r="J73" i="45"/>
  <c r="I73" i="45"/>
  <c r="H73" i="45"/>
  <c r="F72" i="45"/>
  <c r="F71" i="45"/>
  <c r="F69" i="45"/>
  <c r="G68" i="45"/>
  <c r="F68" i="45" s="1"/>
  <c r="G67" i="45"/>
  <c r="F67" i="45"/>
  <c r="I66" i="45"/>
  <c r="H66" i="45"/>
  <c r="F65" i="45"/>
  <c r="F62" i="45"/>
  <c r="J61" i="45"/>
  <c r="I61" i="45"/>
  <c r="H61" i="45"/>
  <c r="G61" i="45"/>
  <c r="F61" i="45" s="1"/>
  <c r="G60" i="45"/>
  <c r="F60" i="45"/>
  <c r="H59" i="45"/>
  <c r="H50" i="45" s="1"/>
  <c r="F58" i="45"/>
  <c r="F57" i="45"/>
  <c r="G56" i="45"/>
  <c r="F56" i="45" s="1"/>
  <c r="G55" i="45"/>
  <c r="F55" i="45"/>
  <c r="G54" i="45"/>
  <c r="F54" i="45" s="1"/>
  <c r="F53" i="45"/>
  <c r="F52" i="45"/>
  <c r="F51" i="45"/>
  <c r="J50" i="45"/>
  <c r="I50" i="45"/>
  <c r="H48" i="45"/>
  <c r="F48" i="45" s="1"/>
  <c r="H47" i="45"/>
  <c r="F47" i="45"/>
  <c r="F46" i="45"/>
  <c r="F45" i="45"/>
  <c r="G44" i="45"/>
  <c r="G37" i="45" s="1"/>
  <c r="F44" i="45"/>
  <c r="F42" i="45"/>
  <c r="F41" i="45"/>
  <c r="F40" i="45"/>
  <c r="F39" i="45"/>
  <c r="F38" i="45"/>
  <c r="F36" i="45"/>
  <c r="F34" i="45"/>
  <c r="F32" i="45"/>
  <c r="F31" i="45"/>
  <c r="F30" i="45"/>
  <c r="G29" i="45"/>
  <c r="F29" i="45" s="1"/>
  <c r="H28" i="45"/>
  <c r="F28" i="45"/>
  <c r="F26" i="45"/>
  <c r="H25" i="45"/>
  <c r="F25" i="45"/>
  <c r="F23" i="45"/>
  <c r="J22" i="45"/>
  <c r="I22" i="45"/>
  <c r="H22" i="45"/>
  <c r="F21" i="45"/>
  <c r="F20" i="45"/>
  <c r="H19" i="45"/>
  <c r="F19" i="45"/>
  <c r="F18" i="45"/>
  <c r="H17" i="45"/>
  <c r="F17" i="45"/>
  <c r="G16" i="45"/>
  <c r="F16" i="45" s="1"/>
  <c r="H15" i="45"/>
  <c r="H14" i="45" s="1"/>
  <c r="I14" i="45"/>
  <c r="F13" i="45"/>
  <c r="F12" i="45"/>
  <c r="H11" i="45"/>
  <c r="F11" i="45"/>
  <c r="F10" i="45"/>
  <c r="G9" i="45"/>
  <c r="F9" i="45" s="1"/>
  <c r="F8" i="45"/>
  <c r="J7" i="45"/>
  <c r="I7" i="45"/>
  <c r="I84" i="45" s="1"/>
  <c r="I140" i="45" s="1"/>
  <c r="F50" i="45" l="1"/>
  <c r="G50" i="45"/>
  <c r="F89" i="45"/>
  <c r="F121" i="45"/>
  <c r="H37" i="45"/>
  <c r="F37" i="45" s="1"/>
  <c r="G66" i="45"/>
  <c r="F66" i="45" s="1"/>
  <c r="G89" i="45"/>
  <c r="G7" i="45"/>
  <c r="F7" i="45" s="1"/>
  <c r="F15" i="45"/>
  <c r="J84" i="45"/>
  <c r="J140" i="45" s="1"/>
  <c r="F59" i="45"/>
  <c r="G82" i="45"/>
  <c r="F82" i="45" s="1"/>
  <c r="G91" i="45"/>
  <c r="F122" i="45"/>
  <c r="F124" i="45" s="1"/>
  <c r="G121" i="45"/>
  <c r="G131" i="45"/>
  <c r="H7" i="45"/>
  <c r="H84" i="45" s="1"/>
  <c r="H140" i="45" s="1"/>
  <c r="G22" i="45"/>
  <c r="F22" i="45" s="1"/>
  <c r="G73" i="45"/>
  <c r="F73" i="45" s="1"/>
  <c r="G14" i="45"/>
  <c r="F14" i="45" s="1"/>
  <c r="G108" i="45"/>
  <c r="G110" i="45"/>
  <c r="F100" i="45"/>
  <c r="F102" i="45" s="1"/>
  <c r="F137" i="45"/>
  <c r="F139" i="45" s="1"/>
  <c r="F84" i="45" l="1"/>
  <c r="F140" i="45"/>
  <c r="G84" i="45"/>
  <c r="G140" i="45" s="1"/>
  <c r="E34" i="27" l="1"/>
  <c r="G11" i="27" l="1"/>
  <c r="F9" i="38"/>
  <c r="G16" i="38"/>
  <c r="D15" i="21"/>
  <c r="G20" i="38" l="1"/>
  <c r="G16" i="27" l="1"/>
  <c r="F12" i="38" l="1"/>
  <c r="F11" i="38" s="1"/>
  <c r="G12" i="38"/>
  <c r="G11" i="38" s="1"/>
  <c r="G31" i="38" l="1"/>
  <c r="F40" i="38"/>
  <c r="F39" i="38" s="1"/>
  <c r="G39" i="38"/>
  <c r="G37" i="38"/>
  <c r="G36" i="38" s="1"/>
  <c r="G33" i="38"/>
  <c r="F33" i="38"/>
  <c r="F27" i="38" s="1"/>
  <c r="G28" i="38"/>
  <c r="F28" i="38"/>
  <c r="G24" i="38"/>
  <c r="G23" i="38" s="1"/>
  <c r="F24" i="38"/>
  <c r="F23" i="38"/>
  <c r="G18" i="38"/>
  <c r="F18" i="38"/>
  <c r="F17" i="38" s="1"/>
  <c r="G15" i="38"/>
  <c r="G14" i="38" s="1"/>
  <c r="F15" i="38"/>
  <c r="F14" i="38" s="1"/>
  <c r="F8" i="38"/>
  <c r="F5" i="38" s="1"/>
  <c r="G8" i="38"/>
  <c r="G7" i="38"/>
  <c r="G6" i="38" s="1"/>
  <c r="G5" i="38" s="1"/>
  <c r="G17" i="38" l="1"/>
  <c r="G27" i="38"/>
  <c r="G42" i="38" s="1"/>
  <c r="F42" i="38"/>
  <c r="G14" i="27" l="1"/>
  <c r="E24" i="27" l="1"/>
  <c r="F24" i="27"/>
  <c r="E45" i="27" l="1"/>
  <c r="E36" i="27"/>
  <c r="E33" i="27"/>
  <c r="E32" i="27"/>
  <c r="E31" i="27"/>
  <c r="G39" i="27"/>
  <c r="G24" i="27" l="1"/>
  <c r="G49" i="27"/>
  <c r="F49" i="27" l="1"/>
  <c r="E49" i="27"/>
  <c r="D22" i="21"/>
  <c r="D14" i="21"/>
  <c r="D10" i="21"/>
  <c r="D7" i="21"/>
  <c r="D13" i="21" l="1"/>
  <c r="G50" i="27"/>
</calcChain>
</file>

<file path=xl/sharedStrings.xml><?xml version="1.0" encoding="utf-8"?>
<sst xmlns="http://schemas.openxmlformats.org/spreadsheetml/2006/main" count="1248" uniqueCount="527">
  <si>
    <t>Dział</t>
  </si>
  <si>
    <t>Rozdział</t>
  </si>
  <si>
    <t>010</t>
  </si>
  <si>
    <t>Dotacje celowe przekazane gminie na zadania bieżące realizowane na podstawie porozumień (umów) między jednostkami samorządu terytorialnego</t>
  </si>
  <si>
    <t>Dotacje celowe przekazane dla powiatu na zadania bieżące realizowane na podstawie porozumień (umów) między jednostkami samorządu terytorialnego</t>
  </si>
  <si>
    <t>Dotacje celowe przekazane do samorządu województwa na zadania bieżące realizowane na podstawie porozumień (umów) między jednostkami samorządu terytorialnego</t>
  </si>
  <si>
    <t>Dotacja celowa na pomoc finansową udzielaną między jednostkami samorządu terytorialnego na dofinansowanie własnych zadań bieżących</t>
  </si>
  <si>
    <t>Lp.</t>
  </si>
  <si>
    <t>1.</t>
  </si>
  <si>
    <t>2.</t>
  </si>
  <si>
    <t>3.</t>
  </si>
  <si>
    <t>4.</t>
  </si>
  <si>
    <t>5.</t>
  </si>
  <si>
    <t>Treść</t>
  </si>
  <si>
    <t>Klasyfikacja</t>
  </si>
  <si>
    <t xml:space="preserve">Kwota </t>
  </si>
  <si>
    <t>Dochody ogółem:</t>
  </si>
  <si>
    <t>dochody bieżące</t>
  </si>
  <si>
    <t>dochody majątkowe</t>
  </si>
  <si>
    <t>Wydatki ogółem:</t>
  </si>
  <si>
    <t>wydatki majątkowe</t>
  </si>
  <si>
    <t xml:space="preserve">Wynik budżetu </t>
  </si>
  <si>
    <t>Przychody ogółem:</t>
  </si>
  <si>
    <t>§ 952</t>
  </si>
  <si>
    <t>§ 950</t>
  </si>
  <si>
    <t>Rozchody ogółem:</t>
  </si>
  <si>
    <t>§ 992</t>
  </si>
  <si>
    <t>Przychody z zaciągniętych kredytów na rynku krajowym</t>
  </si>
  <si>
    <t>Przychody z zaciągniętych pożyczek na rynku krajowym</t>
  </si>
  <si>
    <t>Wolne środki, o których mowa w art. 217 ust. 2 pkt 6 ustawy</t>
  </si>
  <si>
    <t>Spłaty otrzymanych krajowych kredytów</t>
  </si>
  <si>
    <t>Spłaty otrzymanych krajowych pożyczek</t>
  </si>
  <si>
    <t>wydatki bieżące</t>
  </si>
  <si>
    <t>Dotacje celowe z budżetu jednostki samorządu terytorialnego, udzielone w trybie art. 221 ustawy, na finansowanie lub dofinansowanie zadań zleconych do realizacji organizacjom prowadzącym działalność pożytku publicznego</t>
  </si>
  <si>
    <t>Przychody ze spłat pożyczek i kredytów udzielonych ze środków publicznych</t>
  </si>
  <si>
    <t>§ 951</t>
  </si>
  <si>
    <t>§ 991</t>
  </si>
  <si>
    <t>Udzielone pożyczki i kredyty</t>
  </si>
  <si>
    <t>§</t>
  </si>
  <si>
    <t>Nazwa zadania</t>
  </si>
  <si>
    <t>Kwota dotacji (w zł)</t>
  </si>
  <si>
    <t>Podmiotowej</t>
  </si>
  <si>
    <t>Przedmiotowej</t>
  </si>
  <si>
    <t>Celowej</t>
  </si>
  <si>
    <t>Jednostki sektora finansów publicznych</t>
  </si>
  <si>
    <t>x</t>
  </si>
  <si>
    <t>Wpłaty jednostek na państwowy fundusz celowy na finansowanie lub dofinansowanie zadań inwestycyjnych</t>
  </si>
  <si>
    <t>Dotacja podmiotowa z budżetu dla samorządowej instytucji kultury</t>
  </si>
  <si>
    <t>Razem jednostki sektora finansów publicznych</t>
  </si>
  <si>
    <t>Jednostki nienależące                        do sektora finansów publicznych</t>
  </si>
  <si>
    <t>01008</t>
  </si>
  <si>
    <t>2830</t>
  </si>
  <si>
    <t>Dotacja celowa z budżetu na finansowanie lub dofinansowanie zadań zleconych do realizacji pozostałym jednostkom niezaliczanym do sektora finansów publicznych</t>
  </si>
  <si>
    <t>Dotacja podmiotowa z budżetu dla niepublicznej jednostki oświaty</t>
  </si>
  <si>
    <t>Dotacja celowa z budżetu na finansowanie lub dofinansowanie zadań zleconych do realizacji stowarzyszeniom</t>
  </si>
  <si>
    <t>Dotacja podmiotowa z budżetu dla jednostek niezaliczanych do sektora finansów publicznych</t>
  </si>
  <si>
    <t>Razem jednostki nienależące do sektora finansów publicznych</t>
  </si>
  <si>
    <t>Dotacja celowa z budżetu na finansowanie lub dofinansowanie zadań zleconych do realizacji pozostałym jednostkom nie zaliczanym do sektora finansów publicznych</t>
  </si>
  <si>
    <t>Wpłaty jednostek na państwowy fundusz celowy</t>
  </si>
  <si>
    <t>7.</t>
  </si>
  <si>
    <t>6.</t>
  </si>
  <si>
    <t>§ 906</t>
  </si>
  <si>
    <t>§ 905</t>
  </si>
  <si>
    <t>Przychody jednostek samorządu terytorialnego z niewykorzystanych środków pieniężnych na rachunku bieżącym budżetu, wynikających z rozliczenia dochodów i wydatków nimi finansowanych związanych ze szczególnymi zasadami wykonywania budżetu określonymi w odrębnych ustawach</t>
  </si>
  <si>
    <t>Przychody jednostek samorządu terytorialnego z wynikających z rozliczenia środków określonych w art. 5 ust. 1 pkt 2 ustawy i dotacji na realizację programu, projektu lub zadania finansowanego z udziałem tych środków</t>
  </si>
  <si>
    <t>Dotacje celowe przekazane gminie na inwestycje i zakupy inwestycyjne realizowane na podstawie porozumień (umów) między jednostkami samorządu terytorialnego</t>
  </si>
  <si>
    <t>Dotacje celowe przekazane do samorządu województwa na inwestycje i zakupy inwestycyjne realizowane na podstawie porozumień (umów) między jednostkami samorządu terytorialnego</t>
  </si>
  <si>
    <t>Ogółem plan dotacji na 2021 rok</t>
  </si>
  <si>
    <t>Przychody ze sprzedaży innych papierów wartościowych</t>
  </si>
  <si>
    <t>§ 931</t>
  </si>
  <si>
    <t>Rolnictwo i łowiectwo</t>
  </si>
  <si>
    <t>01005</t>
  </si>
  <si>
    <t>Prace geodezyjno-urządzeniowe na potrzeby rolnictwa</t>
  </si>
  <si>
    <t>Zakup usług pozostałych</t>
  </si>
  <si>
    <t>Gospodarka mieszkaniowa</t>
  </si>
  <si>
    <t>Gospodarka gruntami i nieruchomościami</t>
  </si>
  <si>
    <t>Wynagrodzenia osobowe pracowników</t>
  </si>
  <si>
    <t>Składki na ubezpieczenia społeczne</t>
  </si>
  <si>
    <t>Składki na Fundusz Pracy oraz Fundusz Solidarnościowy</t>
  </si>
  <si>
    <t>Wynagrodzenia bezosobowe</t>
  </si>
  <si>
    <t>Zakup materiałów i wyposażenia</t>
  </si>
  <si>
    <t>Zakup energii</t>
  </si>
  <si>
    <t>Zakup usług remontowych</t>
  </si>
  <si>
    <t>Zakup usług obejmujących wykonanie ekspertyz, analiz i opinii</t>
  </si>
  <si>
    <t>Różne opłaty i składki</t>
  </si>
  <si>
    <t>Podatek od nieruchomości</t>
  </si>
  <si>
    <t>Opłaty na rzecz budżetów jednostek samorządu terytorialnego</t>
  </si>
  <si>
    <t>Pozostałe odsetki</t>
  </si>
  <si>
    <t>Kary i odszkodowania wypłacane na rzecz osób fizycznych</t>
  </si>
  <si>
    <t>Koszty postępowania sądowego i prokuratorskiego</t>
  </si>
  <si>
    <t>Działalność usługowa</t>
  </si>
  <si>
    <t>71012</t>
  </si>
  <si>
    <t>Zadania z zakresu geodezji i kartografii</t>
  </si>
  <si>
    <t>Nadzór budowlany</t>
  </si>
  <si>
    <t>Wydatki osobowe niezaliczone do wynagrodzeń</t>
  </si>
  <si>
    <t>Wynagrodzenia osobowe członków korpusu służby cywilnej</t>
  </si>
  <si>
    <t>Dodatkowe wynagrodzenie roczne</t>
  </si>
  <si>
    <t>Zakup usług zdrowotnych</t>
  </si>
  <si>
    <t>Podróże służbowe krajowe</t>
  </si>
  <si>
    <t>Odpisy na zakładowy fundusz świadczeń socjalnych</t>
  </si>
  <si>
    <t>Szkolenia członków korpusu służby cywilnej</t>
  </si>
  <si>
    <t>Szkolenia pracowników niebędących członkami korpusu służby cywilnej</t>
  </si>
  <si>
    <t>Administracja publiczna</t>
  </si>
  <si>
    <t>Urzędy wojewódzkie</t>
  </si>
  <si>
    <t>Kwalifikacja wojskowa</t>
  </si>
  <si>
    <t>Bezpieczeństwo publiczne i ochrona przeciwpożarowa</t>
  </si>
  <si>
    <t>Komendy powiatowe Państwowej Straży Pożarnej</t>
  </si>
  <si>
    <t>Wydatki osobowe niezaliczone do uposażeń wypłacane żołnierzom i funkcjonariuszom</t>
  </si>
  <si>
    <t>Uposażenia żołnierzy zawodowych oraz funkcjonariuszy</t>
  </si>
  <si>
    <t>Inne należności żołnierzy zawodowych oraz funkcjonariuszy zaliczane do wynagrodzeń</t>
  </si>
  <si>
    <t>Dodatkowe uposażenie roczne dla żołnierzy zawodowych oraz nagrody roczne dla funkcjonariuszy</t>
  </si>
  <si>
    <t>Uposażenia i świadczenia pieniężne wypłacane przez okres roku żołnierzom i funkcjonariuszom zwolnionym ze służby</t>
  </si>
  <si>
    <t>Zakup środków żywności</t>
  </si>
  <si>
    <t>Zakup leków, wyrobów medycznych i produktów biobójczych</t>
  </si>
  <si>
    <t>Zakup sprzętu i uzbrojenia</t>
  </si>
  <si>
    <t>755</t>
  </si>
  <si>
    <t>Wymiar sprawiedliwości</t>
  </si>
  <si>
    <t>75515</t>
  </si>
  <si>
    <t>Nieodpłatna pomoc prawna</t>
  </si>
  <si>
    <t>Ochrona zdrowia</t>
  </si>
  <si>
    <t>Składki na ubezpieczenie zdrowotne</t>
  </si>
  <si>
    <t>852</t>
  </si>
  <si>
    <t>Pomoc społeczna</t>
  </si>
  <si>
    <t>Ośrodki wsparcia</t>
  </si>
  <si>
    <t>Wpłaty na PPK finansowane przez podmiot zatrudniający</t>
  </si>
  <si>
    <t>Pozostałe zadania w zakresie polityki społecznej</t>
  </si>
  <si>
    <t>Zespoły do spraw orzekania o niepełnosprawności</t>
  </si>
  <si>
    <t>855</t>
  </si>
  <si>
    <t>Rodzina</t>
  </si>
  <si>
    <t>85504</t>
  </si>
  <si>
    <t>Wspieranie rodziny</t>
  </si>
  <si>
    <t>85508</t>
  </si>
  <si>
    <t>Rodziny zastępcze</t>
  </si>
  <si>
    <t>Świadczenia społeczne</t>
  </si>
  <si>
    <t>85510</t>
  </si>
  <si>
    <t>Działalność placówek opiekuńczo-wychowawczych</t>
  </si>
  <si>
    <t/>
  </si>
  <si>
    <t>2110</t>
  </si>
  <si>
    <t>4300</t>
  </si>
  <si>
    <t>700</t>
  </si>
  <si>
    <t>70005</t>
  </si>
  <si>
    <t>4010</t>
  </si>
  <si>
    <t>4110</t>
  </si>
  <si>
    <t>4120</t>
  </si>
  <si>
    <t>4170</t>
  </si>
  <si>
    <t>4210</t>
  </si>
  <si>
    <t>4260</t>
  </si>
  <si>
    <t>4270</t>
  </si>
  <si>
    <t>4390</t>
  </si>
  <si>
    <t>4430</t>
  </si>
  <si>
    <t>4480</t>
  </si>
  <si>
    <t>4520</t>
  </si>
  <si>
    <t>4580</t>
  </si>
  <si>
    <t>4590</t>
  </si>
  <si>
    <t>4610</t>
  </si>
  <si>
    <t>710</t>
  </si>
  <si>
    <t>71015</t>
  </si>
  <si>
    <t>3020</t>
  </si>
  <si>
    <t>4020</t>
  </si>
  <si>
    <t>4040</t>
  </si>
  <si>
    <t>4280</t>
  </si>
  <si>
    <t>4360</t>
  </si>
  <si>
    <t>Opłaty z tytułu zakupu usług telekomunikacyjnych</t>
  </si>
  <si>
    <t>4410</t>
  </si>
  <si>
    <t>4440</t>
  </si>
  <si>
    <t>4550</t>
  </si>
  <si>
    <t>4700</t>
  </si>
  <si>
    <t>750</t>
  </si>
  <si>
    <t>75011</t>
  </si>
  <si>
    <t>75045</t>
  </si>
  <si>
    <t>754</t>
  </si>
  <si>
    <t>75411</t>
  </si>
  <si>
    <t>3070</t>
  </si>
  <si>
    <t>4050</t>
  </si>
  <si>
    <t>4060</t>
  </si>
  <si>
    <t>4070</t>
  </si>
  <si>
    <t>4080</t>
  </si>
  <si>
    <t>4180</t>
  </si>
  <si>
    <t>Równoważniki pieniężne i ekwiwalenty dla żołnierzy i funkcjonariuszy oraz pozostałe nleżności</t>
  </si>
  <si>
    <t>4220</t>
  </si>
  <si>
    <t>4230</t>
  </si>
  <si>
    <t>4250</t>
  </si>
  <si>
    <t>2360</t>
  </si>
  <si>
    <t>851</t>
  </si>
  <si>
    <t>85156</t>
  </si>
  <si>
    <t>Składki na ubezpieczenie zdrowotne oraz świadczenia dla osób nie objętych obowiązkiem ubezpieczenia zdrowotnego</t>
  </si>
  <si>
    <t>4130</t>
  </si>
  <si>
    <t>85203</t>
  </si>
  <si>
    <t>4710</t>
  </si>
  <si>
    <t>853</t>
  </si>
  <si>
    <t>85321</t>
  </si>
  <si>
    <t>3110</t>
  </si>
  <si>
    <t>2160</t>
  </si>
  <si>
    <t>Razem:</t>
  </si>
  <si>
    <t>Przychody i rozchody budżetu w 2021 roku - po zmianach</t>
  </si>
  <si>
    <t>Dochody i wydatki związane z realizacją zadań z zakresu administracji rządowej i innych zadań zleconych                                                                jednostce samorządu terytorialnego odrębnymi ustawami na 2021 rok - po zmianach</t>
  </si>
  <si>
    <t>Dotacje celowe z budżetu na finansowanie lub dofinansowanie kosztów realizacji inwestycji i zakupów inwestycyjnych jednostek niezaliczanych do sektora finansów publicznych</t>
  </si>
  <si>
    <t>Pozostała działalność</t>
  </si>
  <si>
    <t>85395</t>
  </si>
  <si>
    <t>Dochody i wydatki związane z realizacją zadań realizowanych w drodze umów lub porozumień między                                              jednostkami samorządu terytorialnego na 2021 rok - po zmianach</t>
  </si>
  <si>
    <t>Paragraf</t>
  </si>
  <si>
    <t>Wyszczególnienie</t>
  </si>
  <si>
    <t>Dochody</t>
  </si>
  <si>
    <t>Wydatki</t>
  </si>
  <si>
    <t>Transport i łączność</t>
  </si>
  <si>
    <t>Lokalny transport zbiorowy</t>
  </si>
  <si>
    <t>Drogi publiczne powiatowe</t>
  </si>
  <si>
    <t xml:space="preserve">Dotacja celowa otrzymana z tytułu  pomocy finansowej udzielanej między jednostkami samorządu terytorialnego na dofinansowanie własnych zadań inwestycyjnych i zakupów inwestycyjnych </t>
  </si>
  <si>
    <t>Dotacje celowe przekazane gminie na inwestycje i zakupy inwestycyjne realizowane naa podstawie porozumień (umów) między jednostkami samorządu terytorialnego</t>
  </si>
  <si>
    <t>Starostwa powiatowe</t>
  </si>
  <si>
    <t>Dotacja celowa otrzymana z tytułu  pomocy  finansowej udzielanej między jednostkami samorządu terytorialnego na dofinansowanie własnych zadań bieżących</t>
  </si>
  <si>
    <t>Rehabilitacja zawodowa i społeczna osób niepełnosprawnych</t>
  </si>
  <si>
    <t>Dotacje celowe otrzymane z powiatu na zadania bieżące realizowane na podstawie porozumień (umów) między jednostkami samorządu terytorialnego</t>
  </si>
  <si>
    <t>Działalność ośrodków adopcyjnych</t>
  </si>
  <si>
    <t>Gospodarka komunalna i ochrona środowiska</t>
  </si>
  <si>
    <t>Kultura i ochrona dziedzictwa narodowego</t>
  </si>
  <si>
    <t>Biblioteki</t>
  </si>
  <si>
    <t>Dotacja celowa otrzymana z tytułu pomocy finansowej udzielanej między jednostkami samorządu terytorialnego na dofinansowanie własnych zadań bieżących</t>
  </si>
  <si>
    <t>Razem</t>
  </si>
  <si>
    <t>Turystyka</t>
  </si>
  <si>
    <t>Zadania w zakresie upowszechniania turystyki</t>
  </si>
  <si>
    <t>Dotacja celowa na pomoc finansową udzielaną między jednostkami samorządu terytorialnego na dofinansowanie własnych zadań inwestycyjnych i zakupów inwestycyjnych</t>
  </si>
  <si>
    <t>Dotacje celowe z budżetu na finansowanie lub dofinansowanie kosztów realizacji inwestycji i zakupów inwestycyjnych jednostek nie zaliczanych do sektora finansów publicznych</t>
  </si>
  <si>
    <t>801</t>
  </si>
  <si>
    <t>Oświata i wychowanie</t>
  </si>
  <si>
    <t>80153</t>
  </si>
  <si>
    <t>Zapewnienie uczniom prawa do bezpłatnego dostępu do podręczników, materiałów edukacyjnych lub materiałów ćwiczeniowych</t>
  </si>
  <si>
    <t>4240</t>
  </si>
  <si>
    <t>Zakup środków dydaktycznych i książek</t>
  </si>
  <si>
    <t>Dotacje udzielone w 2021 roku z budżetu podmiotom należącym                                                                                                               i nienależącym do sektora finansów publicznych - po zmianach</t>
  </si>
  <si>
    <t>Plan wydatków majątkowych na 2021 rok  - po zmianach</t>
  </si>
  <si>
    <t>Rozdz.</t>
  </si>
  <si>
    <t>Plan</t>
  </si>
  <si>
    <t>z tego:</t>
  </si>
  <si>
    <t>Uwagi</t>
  </si>
  <si>
    <t>środki własne</t>
  </si>
  <si>
    <t>kredyty, pożyczki, obligacje</t>
  </si>
  <si>
    <t>środki o których mowa w art. 5 ust. 1 pkt 2 i 3 uofp</t>
  </si>
  <si>
    <t>środki pochodzące                  z innych źródeł                     (w tym dotacje)</t>
  </si>
  <si>
    <t>8.</t>
  </si>
  <si>
    <t>9.</t>
  </si>
  <si>
    <t>10.</t>
  </si>
  <si>
    <t>11.</t>
  </si>
  <si>
    <t>Gmina Celestynów</t>
  </si>
  <si>
    <t>Modernizacja drogi powiatowej Nr 2744W w Ponurzycy</t>
  </si>
  <si>
    <t>WPF</t>
  </si>
  <si>
    <t>Doświetlenie przejścia dla pieszych na drodze powiatowej nr 2715W w Pogorzeli na ul. Warszawskiej w rejonie przystanków autobusowych</t>
  </si>
  <si>
    <t>Droga 2715W i Droga 2722W - modernizacja ciągów pieszych w ul. Głównej                      i ul. Brzozowej w m. Pogorzel Warszawska</t>
  </si>
  <si>
    <t>Rozbudowa drogi powiatowej Nr 2713W w miejscowościach Stara Wieś, Dąbrówka i Celestynów</t>
  </si>
  <si>
    <t>C. 1000 000</t>
  </si>
  <si>
    <t>Dotacja dla Gminy Celestynów na zadanie w drodze powiatowej pn. "Budowa skrzyżowania bezkolizyjnego z linią kolejową nr 7 w ciągu ul. Jankowskiego w Celestynowie wraz z budową przyległego układu drogowego, w zamian za likwidację przejazdu kolejowo-drogowego kat. A w km 38,364 linii kolejowej nr 7 w ul. Jankowskiego, w ramach projektu pn. „Poprawa bezpieczeństwa na skrzyżowaniach linii kolejowych z drogami – etap III</t>
  </si>
  <si>
    <t>Gmina Józefów</t>
  </si>
  <si>
    <t xml:space="preserve">
Wymiana nawierzchni na drodze powiatowej Nr 2766W w ul. 3 Maja na odcinku od ul. Kopernika do ul. Polnej
</t>
  </si>
  <si>
    <t>Doświetlenie przejścia dla pieszych w drodze powiatowej Nr 2766W -                                    ul. 3 Maja  przy skrzyżowaniu z ul. Leśną</t>
  </si>
  <si>
    <t>Modernizacja nawierzchni jezdni drogi powiatowej Nr 2765 W - ul. Piłsudskiego w Józefowie na odcinku od ul. Polnej do ul. Cichej</t>
  </si>
  <si>
    <t>Modernizacja odwodnienia w drodze powiatowej Nr 2768W - ul. Granicznej w Józefowie na wysokości nr 21B</t>
  </si>
  <si>
    <t>Droga 2767W - modernizacja nawierzchni jezdni ul. Kard. Wyszyńskiego na odcinku od ul. Wawerskiej do ul. 3 Maja</t>
  </si>
  <si>
    <t>Droga 2768W - wykonanie doświetlonego przejścia dla pieszych w ul. Granicznej w Józefowie pomiędzy ul. Teatralną a ul. Uśmiech</t>
  </si>
  <si>
    <t>12.</t>
  </si>
  <si>
    <t>Poprawa bezpieczeństwa ruchu drogowego na przejściu dla pieszych w Józefowie na ul. Granicznej na drodze nr 2768W</t>
  </si>
  <si>
    <t>A. 50 000</t>
  </si>
  <si>
    <t>Gmina Otwock</t>
  </si>
  <si>
    <t>13.</t>
  </si>
  <si>
    <t>14.</t>
  </si>
  <si>
    <t>Projekt i budowa  brakującego ciągu pieszo-rowerowego i odwodnienia w drodze powiatowej Nr 2759W - ul. Narutowicza w Otwocku na wysokości OSP Jabłonna</t>
  </si>
  <si>
    <t>15.</t>
  </si>
  <si>
    <t>Rozbudowa drogi powiatowej Nr 2765W - ul. Staszica i ul. Kołłątaja w Otwocku na odcinku od ul. Karczewskiej do mostu na rzece Świder</t>
  </si>
  <si>
    <t>16.</t>
  </si>
  <si>
    <t xml:space="preserve">Przedłużenie ul. Narutowicza w Otwocku na odcinku od ul. Andriollego w Otwocku do ul. Ciepłowniczej w Karczewie i dalej  do drogi wojewódzkiej   nr 801 </t>
  </si>
  <si>
    <t>dokumentacja projektowa                      100.000 zł dotacja z gminy Karczew</t>
  </si>
  <si>
    <t>17.</t>
  </si>
  <si>
    <t>Projekt i budowa odwodnienia w drogach powiatowych na terenie miasta Otwocka:                                                                                                                                               1.  Nr 2754W - ul. Reymonta w okolicach ul. Chopina i przy skrzyżowaniu                              z ul. Żeromskiego,                                                                                                                               2. 2760W - ul. Filipowicza przy skrzyżowaniu z ul. Andriollego,                                                       3. 2762W - ul. Kraszewskiego w okolicach posesji nr 53,                                                          4. 2765W  - ul. Karczewska w okolicach OPWiK</t>
  </si>
  <si>
    <t>18.</t>
  </si>
  <si>
    <t>Doświetlanie przejść dla pieszych na drogach powiatowych na terenie miasta Otwocka w drogach:                                                                                                                                                                                            1. Nr 2759W ul. Narutowicza przy skrzyżowaniu z ul. Reymonta,                                         2. Nr 2756W ul. Orla przy skrzyżowaniu z ul. Pod Zegarem,                                                                              3. Nr 2764W ul. Żeromskiego między ul. Prusa i Kopernika</t>
  </si>
  <si>
    <t>19.</t>
  </si>
  <si>
    <t>Przebudowa drogi powiatowej Nr 2765W ul. Karczewskiej na odcinku Otwock – Karczew</t>
  </si>
  <si>
    <t>20.</t>
  </si>
  <si>
    <t>Droga 2765W - przebudowa chodnika w ul. Karczewskiej w m. Otwock na odcinku od ul. Batorego do ul. Bema</t>
  </si>
  <si>
    <t>21.</t>
  </si>
  <si>
    <t>Poprawa bezpieczeństwa ruchu poprzez budowę ciągów pieszych i rowerowych na ul. Warszawskiej, ul. Jana Pawła II i ul. Poniatowskiego</t>
  </si>
  <si>
    <t>D. 200 000</t>
  </si>
  <si>
    <t>22.</t>
  </si>
  <si>
    <t xml:space="preserve">Dokumentacja projektowa na przebudowę ul. Staszica/ Kołłątaja wraz z przebudową skrzyżowania z ul. Świderską </t>
  </si>
  <si>
    <t>Gmina Karczew</t>
  </si>
  <si>
    <t>23.</t>
  </si>
  <si>
    <t>Przebudowa drogi powiatowej Nr 2724W Karczew - Janów</t>
  </si>
  <si>
    <t>B. 339 768         A. 1 528 539</t>
  </si>
  <si>
    <t>24.</t>
  </si>
  <si>
    <t xml:space="preserve">Wymiana nawierzchni jezdni w drodze powiatowej Nr 2724W ul. Żaboklickiego w Karczewie na odc. od ronda do ul. Częstochowskiej </t>
  </si>
  <si>
    <t>25.</t>
  </si>
  <si>
    <t>Wykonanie nakładki asfaltobetonowej na drodze powiatowej Nr 2728W w Ostrówcu</t>
  </si>
  <si>
    <t>26.</t>
  </si>
  <si>
    <t>Wykonanie nakładki asfaltobetonowej na drodze powiatowej Nr 2726W przez Sobiekursk</t>
  </si>
  <si>
    <t>wpf</t>
  </si>
  <si>
    <t>27.</t>
  </si>
  <si>
    <t>Modernizacja drogi powiatowej w Glinkach</t>
  </si>
  <si>
    <t>28.</t>
  </si>
  <si>
    <t>Modernizacja drogi powiatowej Nr 2730W w Kępie Nadbrzeskiej</t>
  </si>
  <si>
    <t>29.</t>
  </si>
  <si>
    <t>30.</t>
  </si>
  <si>
    <t>Droga Nr 2772W - Przebudowa ul. Świderskiej w Karczewie polegająca na budowie chodnika na odcinku od ul. Kościelnej do ul. Ordona</t>
  </si>
  <si>
    <t>31.</t>
  </si>
  <si>
    <t>Droga Nr 2772W - Modernizacja ul. Świderskiej polegająca na wymianie nawierzchni parkingu zlokalizowanego w pasie drogowym</t>
  </si>
  <si>
    <t>Gmina Kołbiel</t>
  </si>
  <si>
    <t>32.</t>
  </si>
  <si>
    <t xml:space="preserve">Przebudowa drogi powiatowej Nr 2245W m. Dobrzyniec gmina Kołbiel </t>
  </si>
  <si>
    <t>C. 140 000                 B. 100 000</t>
  </si>
  <si>
    <t>33.</t>
  </si>
  <si>
    <t>Modernizacja  drogi powiatowej Nr 2739W w Radachówce</t>
  </si>
  <si>
    <t>34.</t>
  </si>
  <si>
    <t>Modernizacja drogi powiatowej Nr 2737W Anielinek-Sępochów-Rudno</t>
  </si>
  <si>
    <t>35.</t>
  </si>
  <si>
    <t xml:space="preserve">Projekt i budowa ciągu pieszo – rowerowego w drodze powiatowej  Nr 2741W                     w miejsc. Wola Sufczyńska </t>
  </si>
  <si>
    <t>36.</t>
  </si>
  <si>
    <t>Projekt i budowa ciągu pieszo – rowerowego w drodze powiatowej Nr  2739W                      w miejsc. Gadka</t>
  </si>
  <si>
    <t>37.</t>
  </si>
  <si>
    <t>Doświetlanie przejść dla pieszych na drogach powiatowych na terenie gminy Kołbiel w drogach:                                                                                                                                         1. Nr 2745W w miejsc. Kąty przy szkole podstawowej,                                                               2. Nr 2743W w miejsc. Człekówka przy szkole podstawowej</t>
  </si>
  <si>
    <t>38.</t>
  </si>
  <si>
    <t xml:space="preserve">Nakładka na drodze Sufczyn - Wola Sufczyńska  </t>
  </si>
  <si>
    <t>Gmina Osieck</t>
  </si>
  <si>
    <t>39.</t>
  </si>
  <si>
    <t>Budowa drogi powiatowej Nr 1311W w Natolinie</t>
  </si>
  <si>
    <t>40.</t>
  </si>
  <si>
    <t>Modernizacja drogi powiatowej Nr 2745W  ul. Kobielskiej w Osiecku od działki 994/28 do przejazdu kolejowego</t>
  </si>
  <si>
    <t>C. 50 000</t>
  </si>
  <si>
    <t>41.</t>
  </si>
  <si>
    <t>Wykonanie nakładki asfaltowej na drodze powiatowej Nr 2747W  -  Nowe Kościeliska</t>
  </si>
  <si>
    <t>42.</t>
  </si>
  <si>
    <t>Modernizacja drogi powiatowej Nr 2746W Grabianka - Górki - Osieck</t>
  </si>
  <si>
    <t>Gmina Sobienie Jeziory</t>
  </si>
  <si>
    <t>43.</t>
  </si>
  <si>
    <t>Modernizacja drogi powiatowej Nr 2750W na odcinku  od DW805 do cmentarza w miejsc. Warszawice</t>
  </si>
  <si>
    <t>44.</t>
  </si>
  <si>
    <t>Doświetlanie przejść dla pieszych na drogach powiatowych na terenie gminy Sobienie-Jeziory w drogach:                                                                                                          1. Nr 1302W w miejsc. Siedzów przy szkole podstawowej,                                                    2. Nr 2753W w miejsc. Sobienie-Jeziory - ul. Garwolińska przy szkole podstawowej</t>
  </si>
  <si>
    <t>45.</t>
  </si>
  <si>
    <t>Modernizacja drogi powiatowej Nr 2751W Sobienie Kiełczewski-Zuzanów-Czarnowiec</t>
  </si>
  <si>
    <t>B. 200 000</t>
  </si>
  <si>
    <t>46.</t>
  </si>
  <si>
    <t>Modernizacja drogi powiatowej Nr 2752W Władysławów-Zambrzyków Stary-Sobienie Kiełczewskie</t>
  </si>
  <si>
    <t>Gmina Wiązowna</t>
  </si>
  <si>
    <t>47.</t>
  </si>
  <si>
    <t xml:space="preserve">Rozbudowa skrzyżowania drogi powiatowej Nr 2709W - ulicy Napoleońskiej z drogą powiatową Nr 2710W - ulicą Łąkową na pograniczu miejscowości Lipowo i Glinianka w gminie Wiązowna </t>
  </si>
  <si>
    <t>B. 103 050</t>
  </si>
  <si>
    <t>48.</t>
  </si>
  <si>
    <t>Budowa chodnika przy drodze powiatowej Nr 2709W w Czarnówce od skrzyżowania w Gliniance</t>
  </si>
  <si>
    <t>49.</t>
  </si>
  <si>
    <t>Budowa chodnika w drodze powiatowej Nr 2709W w Bolesławowie</t>
  </si>
  <si>
    <t xml:space="preserve"> dokumentacja  projektowo - kosztorysowa</t>
  </si>
  <si>
    <t>50.</t>
  </si>
  <si>
    <t>51.</t>
  </si>
  <si>
    <t>Wykonanie przejść dla pieszych do przystanków komunikacji zbiorowej w miejsc. Żanęcin, Dziechciniec i Malcanów (projekt i wykonanie)</t>
  </si>
  <si>
    <t>52.</t>
  </si>
  <si>
    <t>Budowa chodników w drogach powiatowych na terenie gminy Wiązowna - Majdan   ul. Widoczna</t>
  </si>
  <si>
    <t>53.</t>
  </si>
  <si>
    <t>Wykonanie projektu ZRID ciągu  pieszo - rowerowego w drodze powiatowej                Nr 2709W w m. Żanęcin oraz wzdłuż ul. Majowej w m. Dziechciniec od drogi krajowej S17 do posesji Sali weselnej "Raj"</t>
  </si>
  <si>
    <t>54.</t>
  </si>
  <si>
    <t>Wykonanie projektu ZRID ciągu pieszo - rowerowego w drodze powiatowej                Nr 2709W ul. Mazowiecka w Malcanowie, ul. Armii Krajowej w Lipowie  od ul. Kotliny w Malcanowie do ul. Wypoczynkowej w Lipowie</t>
  </si>
  <si>
    <t>55.</t>
  </si>
  <si>
    <t>Zakupy inwestycyjne w Zarządzie Dróg Powiatowych</t>
  </si>
  <si>
    <t>Razem Rozdział 60014</t>
  </si>
  <si>
    <t>56.</t>
  </si>
  <si>
    <t xml:space="preserve">Dotacja dla Miasta Otwocka na realizację zadania pn. "Wykonanie pomostów/przystani do wodowania i cumowania kajaków na rzece Świder”                  </t>
  </si>
  <si>
    <t>Razem Rozdział 63003</t>
  </si>
  <si>
    <t>57.</t>
  </si>
  <si>
    <t>Ploter ze skanerem - PODGIK</t>
  </si>
  <si>
    <t>58.</t>
  </si>
  <si>
    <t>Serwer dla potrzeb PODGIK</t>
  </si>
  <si>
    <t>Razem Rozdział 71012</t>
  </si>
  <si>
    <t>59.</t>
  </si>
  <si>
    <t>Regionalne partnerstwo samorządów Mazowsza dla aktywizacji społeczeństwa informacyjnego w zakresie e-administracji i geoinformacji</t>
  </si>
  <si>
    <t>Razem Rozdział 71095</t>
  </si>
  <si>
    <t>60.</t>
  </si>
  <si>
    <t>Zakup miernika poziomu dźwięku do pomiaru hałasu w środowisku oraz stacji meteorologicznej ze świadectwem wzorcowania na potrzeby Wydziału Ochrony Środowiska</t>
  </si>
  <si>
    <t>Razem Rozdział 75011</t>
  </si>
  <si>
    <t>61.</t>
  </si>
  <si>
    <t>Dostosowanie pomieszczeń w budynku Starostwa przy ul. Górnej 13 pod salę konferencyjną dla potrzeb posiedzeń Sesji Rady Powiatu</t>
  </si>
  <si>
    <t>Razem Rozdział 75019</t>
  </si>
  <si>
    <t>62.</t>
  </si>
  <si>
    <t>Przebudowa i rozbudowa budynku w Otwocku przy ul. Komunardów wraz z towarzyszącą infrastrukturą na potrzeby siedziby Starostwa i jednostek organizacyjnych powiatu</t>
  </si>
  <si>
    <t>63.</t>
  </si>
  <si>
    <t>64.</t>
  </si>
  <si>
    <t>Wykonanie nowego przyłącza energetycznego do serwerowni w budynku Starostwa Powiatowego w Otwocku przy ul. Górnej 13</t>
  </si>
  <si>
    <t>65.</t>
  </si>
  <si>
    <t>Zakup klimatyzatora wraz z  montażem do pomieszczenia  serwerowni w budynku Starostwa Powiatowego w Otwocku przy ul. Górnej 13</t>
  </si>
  <si>
    <t xml:space="preserve">  Razem Rozdział 75020</t>
  </si>
  <si>
    <t>66.</t>
  </si>
  <si>
    <t>Rozwój elektronicznej administracji w samorządach województwa mazowieckiego wspomagającej niwelowanie dwudzielności potencjału województwa (EA)</t>
  </si>
  <si>
    <t>Razem Rozdział 75095</t>
  </si>
  <si>
    <t>67.</t>
  </si>
  <si>
    <t>Dotacja na dofinansowanie wykonania dokumentacji projektowej wraz z nadzorem autorskim    przebudowy budynku Komendy Powiatowej Policji                                                    w Otwocku</t>
  </si>
  <si>
    <t>Razem Rozdział 75404</t>
  </si>
  <si>
    <t>68.</t>
  </si>
  <si>
    <t>Dotacja dla Komendy Powiatowej Państwowej Straży Pożarnej w Otwocku na remont i modernizację budynku strażnicy</t>
  </si>
  <si>
    <t>Razem Rozdział 75410</t>
  </si>
  <si>
    <t>69.</t>
  </si>
  <si>
    <t>Rezerwa na inwestycje i zakupy inwestycyjne</t>
  </si>
  <si>
    <t>Razem rozdział 75818</t>
  </si>
  <si>
    <t>70.</t>
  </si>
  <si>
    <t>Rewitalizacja parkingu przed budynkiem Liceum Ogólnokształcącego Nr I w Otwocku</t>
  </si>
  <si>
    <t>C. 620 000</t>
  </si>
  <si>
    <t>71.</t>
  </si>
  <si>
    <t>A. 90 000</t>
  </si>
  <si>
    <t>Razem Rozdział 80120</t>
  </si>
  <si>
    <t>72.</t>
  </si>
  <si>
    <t>Wniesienie wkładu pieniężnego - zwiększenie udziału w Powiatowym Centrum Zdrowia Sp. z o.o.</t>
  </si>
  <si>
    <t>73.</t>
  </si>
  <si>
    <t>D. 5 700 000</t>
  </si>
  <si>
    <t>74.</t>
  </si>
  <si>
    <t>Zakup sprzętu i aparatury medycznej na potrzeby Powiatowego Centrum Zdrowia   Sp. z o.o. w restrukturyzacji</t>
  </si>
  <si>
    <t>75.</t>
  </si>
  <si>
    <t>Zakup sprzętu i aparatury medycznej na potrzeby Powiatowego Centrum Zdrowia  Sp. z o.o. w restrukturyzacji</t>
  </si>
  <si>
    <t>Razem Rozdział 85111</t>
  </si>
  <si>
    <t>76.</t>
  </si>
  <si>
    <t>77.</t>
  </si>
  <si>
    <t xml:space="preserve">Budowa Domu Pomocy Społecznej "Wrzos" </t>
  </si>
  <si>
    <t>Razem Rozdział 85202</t>
  </si>
  <si>
    <t>`</t>
  </si>
  <si>
    <t>78.</t>
  </si>
  <si>
    <t>Zakup samochodu do przewozu uczestników ŚDS - wkład własny Powiatu do środków PFRON</t>
  </si>
  <si>
    <t>Razem Rozdział 85203</t>
  </si>
  <si>
    <t>79.</t>
  </si>
  <si>
    <t>Razem Rozdział 85311</t>
  </si>
  <si>
    <t>80.</t>
  </si>
  <si>
    <t>Zakup kontenera biurowego na archiwizację dokumentów w Powiatowym Urzędzie Pracy</t>
  </si>
  <si>
    <t>Razem Rozdział 85333</t>
  </si>
  <si>
    <t>81.</t>
  </si>
  <si>
    <t>Modernizacja budynku Specjalnego Ośrodka Szkolno-Wychowawczego Nr 1 - wzmocnienie stropów, dostosowanie budynku do zaleceń  ppoż.</t>
  </si>
  <si>
    <t>82.</t>
  </si>
  <si>
    <t>Zakup pieca konwekcyjnego na potrzeby Specjalnego Ośrodka Szkolno-Wychowawczego Nr 2</t>
  </si>
  <si>
    <t>Razem Rozdział 85403</t>
  </si>
  <si>
    <t>83.</t>
  </si>
  <si>
    <t>Budowa ogrodzenia w Powiatowej Poradni Psychologiczno-Pedagogicznej w Otwocku</t>
  </si>
  <si>
    <t>Razem Rozdział 85406</t>
  </si>
  <si>
    <t>84.</t>
  </si>
  <si>
    <t>Modernizacja systemu cieplnego RDD Podbiel</t>
  </si>
  <si>
    <t>Razem Rozdział 85510</t>
  </si>
  <si>
    <t>Ogółem</t>
  </si>
  <si>
    <t>A. Dotacje i środki z budżetu państwa (np. od wojewody, MEN, UKFiS, …), w tym: Rządowy Fundusz Rozwoju Dróg</t>
  </si>
  <si>
    <t>B. Środki i dotacje otrzymane od innych jst oraz innych jednostek zaliczanych do sektora finansów publicznych</t>
  </si>
  <si>
    <t>C. Inne źródła  - Rządowy Fundusz Inwestycji Lokalnych 2020</t>
  </si>
  <si>
    <t>D. Inne źródła  - Rządowy Fundusz Inwestycji Lokalnych 2021</t>
  </si>
  <si>
    <t>Doświetlanie przejść dla pieszych na drogach powiatowych na terenie gminy Kołbiel w drodze  Nr 2743W w miejsc. Człekówka przy szkole podstawowej</t>
  </si>
  <si>
    <t>Doświetlanie przejść dla pieszych na drogach powiatowych na terenie gminy Sobienie-Jeziory w drodze Nr 2753W w miejsc. Sobienie-Jeziory - ul. Garwolińska przy szkole podstawowej</t>
  </si>
  <si>
    <t xml:space="preserve">Dotacja na sfinansowanie wymaganego wkładu własnego dla placówki prowadzącej  Warsztaty Terapii Zajęciowej  przez  Polskie Stowarzyszenie na Rzecz Osób  z Niepełnosprawnością Intelektualną   w Otwocku, ul. Moniuszki 41  na modernizację budynku w związku z koniecznością wykonania  zaleceń pokontrolnych Państwowej Straży Pożarnej                                  </t>
  </si>
  <si>
    <t>Wykonanie ogrodu sensorycznego – placu zabaw na terenie Rodzinnego Domu Dziecka w Podbieli</t>
  </si>
  <si>
    <t>Doświetlanie przejść dla pieszych na drogach powiatowych na terenie gminy Karczew w drogach:                                                                                                                        1. Nr 2729W ul. Częstochowska przy skrzyżowaniu z ul. Żaboklickiego,                            2. Nr 2726W w Sobiekursku przy szkole podstawowej,                                                           3. Nr 2773W ul. Warszawska w Karczewie przy ul. Przechodniej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</si>
  <si>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</si>
  <si>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</si>
  <si>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</si>
  <si>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</si>
  <si>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</si>
  <si>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</si>
  <si>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</si>
  <si>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</si>
  <si>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</si>
  <si>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</si>
  <si>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</si>
  <si>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 xml:space="preserve">Termomodernizacja  budynku użyteczności  publicznej przy ul. Górnej 13  w Otwocku </t>
  </si>
  <si>
    <t>Poprawa bezpieczeństwa ruchu drogowego na  przejściu dla pieszych w Pogorzeli na ul. Warszawskiej na drodze Nr 2715W</t>
  </si>
  <si>
    <t xml:space="preserve">Poprawa bezpieczeństwa ruchu drogowego na  przejściu dla pieszych w Otwocku na ul. Narutowicza na drodze Nr 2759W
</t>
  </si>
  <si>
    <t>A. 830</t>
  </si>
  <si>
    <t>A. 910</t>
  </si>
  <si>
    <t>Poprawa bezpieczeństwa ruchu drogowego na przejściu dla pieszych w Sobiekursku na drodze Nr 2726W</t>
  </si>
  <si>
    <t>Poprawa bezpieczeństwa ruchu drogowego na  przejściu dla pieszych w  Kątach na ul. Królewskiej na drodze Nr 2745W</t>
  </si>
  <si>
    <t>Poprawa bezpieczeństwa ruchu drogowego na  przejściu dla pieszych w Siedzowie na drodze Nr 1302W</t>
  </si>
  <si>
    <t>A. 680 293,85             C. 696 284,15</t>
  </si>
  <si>
    <t>C. 0</t>
  </si>
  <si>
    <t>Przebudowa drogi powiatowej Nr 2765W ul. Karczewskiej na odcinku Otwock - Karczew - chodnik</t>
  </si>
  <si>
    <t>A. 271 918,15            C. 792 715,85</t>
  </si>
  <si>
    <t>Doświetlanie przejść dla pieszych na drogach powiatowych na terenie gminy Wiązowna w drogach:                                                                                                                                    1.  Nr 2709W przy szkole podstawowej oraz przy skrzyżowaniu z droga powiatową      Nr 2706W,                                                                                                                                          2.  Nr 271W przy skrzyżowaniu z drogą powiatową Nr 2709W  w rejonie szkoły podstawowej</t>
  </si>
  <si>
    <t>96.</t>
  </si>
  <si>
    <t xml:space="preserve">Dotacja na dofinansowanie  zakupu   schodołazu dla placówki prowadzącej  Warsztaty Terapii Zajęciowej  przez  Polskie Stowarzyszenie na Rzecz Osób                   z Niepełnosprawnością Intelektualną   w Otwocku, ul. Moniuszki 41                                    </t>
  </si>
  <si>
    <t>C. 186 287</t>
  </si>
  <si>
    <t>C. 73 713</t>
  </si>
  <si>
    <t>B. 0</t>
  </si>
  <si>
    <t>C. 161 600</t>
  </si>
  <si>
    <t>B. 20 000</t>
  </si>
  <si>
    <t>C. 100 000                B. 50 000</t>
  </si>
  <si>
    <t>C. 150 000</t>
  </si>
  <si>
    <t xml:space="preserve">Modernizacja chodnika na drodze powiatowej Nr 2741W w miejscowości Kołbiel </t>
  </si>
  <si>
    <t>97.</t>
  </si>
  <si>
    <t>98.</t>
  </si>
  <si>
    <t>99.</t>
  </si>
  <si>
    <t>Budowa budynku siedziby Starostwa Powiatowego w Otwocku oraz wybranych powiatowych jednostek organizacyjnych i wybranych służb powiatowych wraz z zagospodarowaniem terenu</t>
  </si>
  <si>
    <t>Zakup programu komputerowego firmy INFO-SYSTEM dla potrzeb kierowników wydziałów Starostwa Powiatowego w Otwocku</t>
  </si>
  <si>
    <t>C. 56.953</t>
  </si>
  <si>
    <t>Projekt i budowa  brakującego ciągu pieszo-rowerowego i odwodnienia w drodze powiatowej Nr 2759W - ul. Narutowicza w Otwocku na wysokości OSP Jabłonna i dalej w kierunku Świerku</t>
  </si>
  <si>
    <t>100.</t>
  </si>
  <si>
    <t>Montaż instalacji fotowoltaicznej w Zespole Szkół Nr 2 w Otwocku</t>
  </si>
  <si>
    <t>Razem Rozdział 80115</t>
  </si>
  <si>
    <t>101.</t>
  </si>
  <si>
    <t>102.</t>
  </si>
  <si>
    <t>Montaż instalacji fotowoltaicznej w Zespole Szkół Ekonomiczno-Gastronomicznych w Otwocku</t>
  </si>
  <si>
    <t>A. 6 900</t>
  </si>
  <si>
    <t>Przebudowa drogi powiatowej Nr 2759W – ul. Poniatowskiego w Otwocku wraz   z wykonaniem odwodnienia na wysokości Zakładu Ubezpieczeń Społecznych</t>
  </si>
  <si>
    <t>Doświetlanie przejść dla pieszych na drogach powiatowych na terenie miasta Otwocka w drogach: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Nr 2756W ul. Orla przy skrzyżowaniu z ul. Pod Zegarem,                                                                              2. Nr 2764W ul. Żeromskiego między ul. Prusa i Kopernika,                        3. Nr 2759W ul. Narutowicza przy skrzyżowaniu z ul. Tatrzańską w Otwocku (naprzeciwko posesji nr 80)</t>
  </si>
  <si>
    <t>Poprawa bezpieczeństwa ruchu drogowego w obszarze oddziaływania przejścia dla pieszych w Karczewie na ul. Mickiewicza na drodze nr 2771W</t>
  </si>
  <si>
    <t>A. 500</t>
  </si>
  <si>
    <t>103.</t>
  </si>
  <si>
    <t>Modernizacja zaplecza kuchennego w Domu Pomocy Społecznej w Otwocku,  w tym: instalacji wodno - kanalizacyjnej, podłogi, zasobnika ciepłej wody</t>
  </si>
  <si>
    <t>Dotacja dla Powiatowego Centrum Zdrowia Sp. z o.o. w Otwocku na przebudowę i modernizację podziemia szpitala oraz modernizację przychodni specjalistycznej</t>
  </si>
  <si>
    <t>Doświetlanie przejść dla pieszych na drogach powiatowych na terenie gminy Karczew w drogach:                                                                                                                                   1. Nr 2729W ul. Częstochowska przy skrzyżowaniu z ul. Żaboklickiego,                                                                                                                2. Nr 2773W ul. Warszawska w Karczewie przy ul. Przechodniej</t>
  </si>
  <si>
    <t>A. 0</t>
  </si>
  <si>
    <t>Dotacja celowa otrzymana z budżetu państwa na zadania bieżące z zakresu administracji rządowej oraz inne zadania zlecone ustawami realizowane przez powiat</t>
  </si>
  <si>
    <t>Dotacja celowa z budżetu jednostki samorządu terytorialnego, udzielone w trybie art. 221 ustawy, na finansowanie lub dofinansowanie zadań zleconych do realizacji organizacjom prowadzącym działalność pożytku publicznego</t>
  </si>
  <si>
    <t>6410</t>
  </si>
  <si>
    <t>Dotacja celowa otrzymana z budżetu państwa na inwestycje i zakupy inwestycyjne z zakresu administracji rządowej oraz inne zadania zlecone ustawami realizowane przez powiat</t>
  </si>
  <si>
    <t>6060</t>
  </si>
  <si>
    <t>Wydatki na zakupy inwestycyjne jednostek budżetowych</t>
  </si>
  <si>
    <t>Dotacja celowa otrzymana z budżetu państwa na zadania bieżące z zakresu administracji rządowej zlecone powiatom, związane z realizacją dodatku wychowawczego, dodatku do zryczałtowanej kwoty oraz dodatku w wysokości świadczenia wychowawczego stanowiących pomoc państwa w wychowywaniu dzieci</t>
  </si>
  <si>
    <t>Dochody z opłat i kar pieniężnych za korzystanie ze środowiska  oraz wydatki na finansowanie zadań Powiatu Otwockiego w zakresie ochrony środowiska na 2021 rok -  po zmianach</t>
  </si>
  <si>
    <t>Wpływy i wydatki związane z gromadzeniem środków z opłat i kar za korzystanie ze środowiska</t>
  </si>
  <si>
    <t>0690</t>
  </si>
  <si>
    <t>Wpływy z różnych opłat</t>
  </si>
  <si>
    <t>Melioracje wodne</t>
  </si>
  <si>
    <t>75020</t>
  </si>
  <si>
    <t>6050</t>
  </si>
  <si>
    <t xml:space="preserve">Termomodernizacja  budynku użyteczności  publicznej przy ul. Górnej 13   w Otwocku </t>
  </si>
  <si>
    <t>Domy pomocy społecznej</t>
  </si>
  <si>
    <t>Edukacyjna opieka wychowawcza</t>
  </si>
  <si>
    <t>Specjalne ośrodki szkolno-wychowawcze</t>
  </si>
  <si>
    <t>2710</t>
  </si>
  <si>
    <t>4190</t>
  </si>
  <si>
    <t>Nagrody konkursowe</t>
  </si>
  <si>
    <t>Remont i prace konserwatorskie schodów w Liceum Ogólnokształcącym Nr I  w Otwocku</t>
  </si>
  <si>
    <t>Oświata i wychowania</t>
  </si>
  <si>
    <t>Technikum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</si>
</sst>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164" formatCode="#,##0_ ;\-#,##0\ "/>
    <numFmt numFmtId="165" formatCode="\ #,##0.00&quot; zł &quot;;\-#,##0.00&quot; zł &quot;;&quot; -&quot;#&quot; zł &quot;;@\ "/>
  </numFmts>
  <fonts count="52">
    <font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2"/>
      <name val="Arial"/>
      <family val="2"/>
      <charset val="238"/>
    </font>
    <font>
      <i/>
      <sz val="10"/>
      <name val="Arial"/>
      <family val="2"/>
      <charset val="238"/>
    </font>
    <font>
      <sz val="6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name val="Arial"/>
      <family val="2"/>
      <charset val="238"/>
    </font>
    <font>
      <sz val="7"/>
      <name val="Arial"/>
      <family val="2"/>
      <charset val="238"/>
    </font>
    <font>
      <sz val="11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rgb="FF000000"/>
      <name val="Tahoma"/>
      <family val="2"/>
      <charset val="238"/>
    </font>
    <font>
      <sz val="10"/>
      <color rgb="FF222222"/>
      <name val="Arial"/>
      <family val="2"/>
      <charset val="238"/>
    </font>
    <font>
      <sz val="8"/>
      <color rgb="FF000000"/>
      <name val="Tahoma"/>
      <family val="2"/>
      <charset val="238"/>
    </font>
    <font>
      <sz val="10"/>
      <color indexed="8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9"/>
      <name val="Arial"/>
      <family val="2"/>
      <charset val="238"/>
    </font>
    <font>
      <sz val="8"/>
      <color rgb="FF000000"/>
      <name val="Tahoma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theme="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i/>
      <sz val="11"/>
      <name val="Arial"/>
      <family val="2"/>
      <charset val="238"/>
    </font>
    <font>
      <sz val="8"/>
      <color rgb="FF000000"/>
      <name val="Tahoma"/>
      <family val="2"/>
      <charset val="238"/>
    </font>
    <font>
      <b/>
      <i/>
      <sz val="8"/>
      <color rgb="FFFF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B9CF8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3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2CCEC"/>
        <bgColor indexed="64"/>
      </patternFill>
    </fill>
    <fill>
      <patternFill patternType="solid">
        <fgColor rgb="FFD0E0F4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 applyNumberFormat="0" applyFill="0" applyBorder="0" applyAlignment="0" applyProtection="0">
      <alignment vertical="top"/>
    </xf>
    <xf numFmtId="0" fontId="4" fillId="0" borderId="0"/>
    <xf numFmtId="0" fontId="7" fillId="0" borderId="0"/>
    <xf numFmtId="0" fontId="3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8" fillId="0" borderId="0"/>
    <xf numFmtId="164" fontId="11" fillId="0" borderId="0"/>
    <xf numFmtId="0" fontId="4" fillId="0" borderId="0"/>
    <xf numFmtId="0" fontId="7" fillId="0" borderId="0"/>
    <xf numFmtId="0" fontId="7" fillId="0" borderId="0"/>
    <xf numFmtId="44" fontId="8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19" fillId="0" borderId="0" applyNumberFormat="0" applyFill="0" applyBorder="0" applyAlignment="0" applyProtection="0">
      <alignment vertical="top"/>
    </xf>
    <xf numFmtId="0" fontId="3" fillId="0" borderId="0" applyNumberFormat="0" applyFill="0" applyBorder="0" applyAlignment="0" applyProtection="0">
      <alignment vertical="top"/>
    </xf>
    <xf numFmtId="0" fontId="2" fillId="0" borderId="0"/>
    <xf numFmtId="0" fontId="1" fillId="0" borderId="0"/>
    <xf numFmtId="0" fontId="20" fillId="0" borderId="0"/>
    <xf numFmtId="0" fontId="22" fillId="0" borderId="0"/>
    <xf numFmtId="0" fontId="24" fillId="0" borderId="0"/>
    <xf numFmtId="0" fontId="29" fillId="0" borderId="0"/>
    <xf numFmtId="0" fontId="32" fillId="0" borderId="0"/>
    <xf numFmtId="0" fontId="48" fillId="0" borderId="0"/>
    <xf numFmtId="0" fontId="20" fillId="0" borderId="0"/>
  </cellStyleXfs>
  <cellXfs count="555">
    <xf numFmtId="0" fontId="0" fillId="0" borderId="0" xfId="0" applyAlignment="1"/>
    <xf numFmtId="0" fontId="12" fillId="0" borderId="0" xfId="9" applyFont="1" applyAlignment="1">
      <alignment vertical="center"/>
    </xf>
    <xf numFmtId="0" fontId="8" fillId="0" borderId="0" xfId="9" applyFont="1" applyAlignment="1">
      <alignment vertical="center"/>
    </xf>
    <xf numFmtId="0" fontId="8" fillId="0" borderId="0" xfId="9" applyFont="1" applyAlignment="1">
      <alignment horizontal="right" vertical="top"/>
    </xf>
    <xf numFmtId="0" fontId="10" fillId="4" borderId="4" xfId="9" applyFont="1" applyFill="1" applyBorder="1" applyAlignment="1">
      <alignment horizontal="center" vertical="center"/>
    </xf>
    <xf numFmtId="0" fontId="10" fillId="4" borderId="1" xfId="9" applyFont="1" applyFill="1" applyBorder="1" applyAlignment="1">
      <alignment horizontal="center" vertical="center" wrapText="1"/>
    </xf>
    <xf numFmtId="0" fontId="10" fillId="0" borderId="4" xfId="9" applyFont="1" applyBorder="1" applyAlignment="1">
      <alignment horizontal="center" vertical="center"/>
    </xf>
    <xf numFmtId="0" fontId="10" fillId="0" borderId="4" xfId="9" applyFont="1" applyBorder="1" applyAlignment="1">
      <alignment horizontal="left" vertical="center"/>
    </xf>
    <xf numFmtId="3" fontId="10" fillId="0" borderId="4" xfId="9" applyNumberFormat="1" applyFont="1" applyBorder="1" applyAlignment="1">
      <alignment horizontal="right"/>
    </xf>
    <xf numFmtId="0" fontId="10" fillId="0" borderId="0" xfId="9" applyFont="1" applyAlignment="1">
      <alignment vertical="center"/>
    </xf>
    <xf numFmtId="0" fontId="13" fillId="0" borderId="4" xfId="9" applyFont="1" applyBorder="1" applyAlignment="1">
      <alignment horizontal="center" vertical="center"/>
    </xf>
    <xf numFmtId="0" fontId="13" fillId="0" borderId="4" xfId="9" applyFont="1" applyBorder="1" applyAlignment="1">
      <alignment horizontal="left" vertical="center"/>
    </xf>
    <xf numFmtId="3" fontId="13" fillId="0" borderId="4" xfId="9" applyNumberFormat="1" applyFont="1" applyFill="1" applyBorder="1" applyAlignment="1">
      <alignment horizontal="right"/>
    </xf>
    <xf numFmtId="0" fontId="13" fillId="0" borderId="0" xfId="9" applyFont="1" applyAlignment="1">
      <alignment vertical="center"/>
    </xf>
    <xf numFmtId="3" fontId="13" fillId="0" borderId="4" xfId="9" applyNumberFormat="1" applyFont="1" applyBorder="1" applyAlignment="1">
      <alignment horizontal="right"/>
    </xf>
    <xf numFmtId="3" fontId="10" fillId="0" borderId="4" xfId="9" applyNumberFormat="1" applyFont="1" applyBorder="1" applyAlignment="1"/>
    <xf numFmtId="3" fontId="13" fillId="0" borderId="4" xfId="9" applyNumberFormat="1" applyFont="1" applyFill="1" applyBorder="1" applyAlignment="1"/>
    <xf numFmtId="3" fontId="13" fillId="0" borderId="4" xfId="9" applyNumberFormat="1" applyFont="1" applyBorder="1" applyAlignment="1"/>
    <xf numFmtId="0" fontId="10" fillId="0" borderId="4" xfId="9" applyFont="1" applyBorder="1" applyAlignment="1">
      <alignment vertical="center"/>
    </xf>
    <xf numFmtId="0" fontId="8" fillId="4" borderId="4" xfId="9" applyFont="1" applyFill="1" applyBorder="1" applyAlignment="1">
      <alignment vertical="center"/>
    </xf>
    <xf numFmtId="3" fontId="10" fillId="4" borderId="4" xfId="9" applyNumberFormat="1" applyFont="1" applyFill="1" applyBorder="1" applyAlignment="1"/>
    <xf numFmtId="0" fontId="8" fillId="0" borderId="4" xfId="9" applyFont="1" applyBorder="1" applyAlignment="1">
      <alignment horizontal="center" vertical="center"/>
    </xf>
    <xf numFmtId="0" fontId="8" fillId="0" borderId="1" xfId="9" applyFont="1" applyBorder="1" applyAlignment="1">
      <alignment vertical="center"/>
    </xf>
    <xf numFmtId="3" fontId="8" fillId="0" borderId="4" xfId="9" applyNumberFormat="1" applyFont="1" applyBorder="1" applyAlignment="1"/>
    <xf numFmtId="0" fontId="8" fillId="0" borderId="4" xfId="9" applyFont="1" applyBorder="1" applyAlignment="1">
      <alignment vertical="center"/>
    </xf>
    <xf numFmtId="3" fontId="8" fillId="0" borderId="3" xfId="9" applyNumberFormat="1" applyFont="1" applyBorder="1" applyAlignment="1"/>
    <xf numFmtId="0" fontId="8" fillId="4" borderId="4" xfId="9" applyFont="1" applyFill="1" applyBorder="1" applyAlignment="1">
      <alignment horizontal="center" vertical="center"/>
    </xf>
    <xf numFmtId="0" fontId="8" fillId="0" borderId="0" xfId="9" applyFont="1" applyBorder="1" applyAlignment="1">
      <alignment horizontal="center" vertical="center"/>
    </xf>
    <xf numFmtId="0" fontId="8" fillId="0" borderId="0" xfId="9" applyFont="1" applyBorder="1" applyAlignment="1">
      <alignment vertical="center"/>
    </xf>
    <xf numFmtId="3" fontId="8" fillId="0" borderId="0" xfId="9" applyNumberFormat="1" applyFont="1" applyBorder="1" applyAlignment="1"/>
    <xf numFmtId="0" fontId="14" fillId="0" borderId="0" xfId="9" applyFont="1" applyAlignment="1">
      <alignment vertical="center"/>
    </xf>
    <xf numFmtId="0" fontId="5" fillId="0" borderId="0" xfId="7" applyFont="1"/>
    <xf numFmtId="0" fontId="14" fillId="0" borderId="4" xfId="9" applyFont="1" applyFill="1" applyBorder="1" applyAlignment="1">
      <alignment horizontal="center" vertical="center"/>
    </xf>
    <xf numFmtId="0" fontId="14" fillId="0" borderId="4" xfId="9" applyFont="1" applyFill="1" applyBorder="1" applyAlignment="1">
      <alignment horizontal="center" vertical="center" wrapText="1"/>
    </xf>
    <xf numFmtId="0" fontId="8" fillId="0" borderId="6" xfId="9" applyFont="1" applyBorder="1" applyAlignment="1">
      <alignment vertical="center" wrapText="1"/>
    </xf>
    <xf numFmtId="0" fontId="8" fillId="0" borderId="0" xfId="9" applyFont="1" applyFill="1" applyAlignment="1">
      <alignment vertical="center"/>
    </xf>
    <xf numFmtId="0" fontId="5" fillId="0" borderId="0" xfId="7" applyFont="1" applyAlignment="1">
      <alignment horizontal="center" vertical="center"/>
    </xf>
    <xf numFmtId="0" fontId="5" fillId="0" borderId="0" xfId="7" applyFont="1" applyAlignment="1"/>
    <xf numFmtId="0" fontId="9" fillId="0" borderId="0" xfId="7" applyFont="1" applyAlignment="1">
      <alignment vertical="center" wrapText="1"/>
    </xf>
    <xf numFmtId="0" fontId="12" fillId="0" borderId="0" xfId="7" applyFont="1"/>
    <xf numFmtId="0" fontId="6" fillId="2" borderId="4" xfId="7" applyFont="1" applyFill="1" applyBorder="1" applyAlignment="1">
      <alignment horizontal="center" vertical="center"/>
    </xf>
    <xf numFmtId="0" fontId="17" fillId="5" borderId="4" xfId="7" applyFont="1" applyFill="1" applyBorder="1" applyAlignment="1">
      <alignment horizontal="center" vertical="center"/>
    </xf>
    <xf numFmtId="0" fontId="17" fillId="0" borderId="0" xfId="7" applyFont="1"/>
    <xf numFmtId="0" fontId="6" fillId="3" borderId="4" xfId="7" applyFont="1" applyFill="1" applyBorder="1" applyAlignment="1">
      <alignment horizontal="center" vertical="center"/>
    </xf>
    <xf numFmtId="0" fontId="5" fillId="3" borderId="4" xfId="7" applyFont="1" applyFill="1" applyBorder="1" applyAlignment="1">
      <alignment horizontal="center" vertical="center"/>
    </xf>
    <xf numFmtId="0" fontId="5" fillId="0" borderId="0" xfId="7" applyFont="1" applyAlignment="1">
      <alignment vertical="center"/>
    </xf>
    <xf numFmtId="0" fontId="6" fillId="0" borderId="0" xfId="7" applyFont="1" applyAlignment="1">
      <alignment vertical="center"/>
    </xf>
    <xf numFmtId="3" fontId="6" fillId="0" borderId="0" xfId="7" applyNumberFormat="1" applyFont="1" applyAlignment="1">
      <alignment vertical="center"/>
    </xf>
    <xf numFmtId="3" fontId="5" fillId="0" borderId="0" xfId="7" applyNumberFormat="1" applyFont="1" applyAlignment="1">
      <alignment vertical="center"/>
    </xf>
    <xf numFmtId="3" fontId="9" fillId="6" borderId="4" xfId="7" applyNumberFormat="1" applyFont="1" applyFill="1" applyBorder="1" applyAlignment="1">
      <alignment horizontal="right"/>
    </xf>
    <xf numFmtId="0" fontId="18" fillId="0" borderId="0" xfId="7" applyFont="1"/>
    <xf numFmtId="0" fontId="6" fillId="0" borderId="0" xfId="7" applyFont="1" applyAlignment="1">
      <alignment horizontal="center" vertical="center"/>
    </xf>
    <xf numFmtId="3" fontId="8" fillId="0" borderId="4" xfId="9" applyNumberFormat="1" applyFont="1" applyFill="1" applyBorder="1" applyAlignment="1"/>
    <xf numFmtId="0" fontId="8" fillId="0" borderId="4" xfId="9" applyFont="1" applyFill="1" applyBorder="1" applyAlignment="1">
      <alignment horizontal="center" vertical="center"/>
    </xf>
    <xf numFmtId="0" fontId="21" fillId="0" borderId="4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 readingOrder="1"/>
    </xf>
    <xf numFmtId="49" fontId="8" fillId="7" borderId="7" xfId="0" applyNumberFormat="1" applyFont="1" applyFill="1" applyBorder="1" applyAlignment="1" applyProtection="1">
      <alignment horizontal="left" vertical="center" wrapText="1"/>
      <protection locked="0"/>
    </xf>
    <xf numFmtId="49" fontId="23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7" applyFont="1" applyFill="1" applyAlignment="1">
      <alignment vertical="center"/>
    </xf>
    <xf numFmtId="3" fontId="5" fillId="0" borderId="0" xfId="7" applyNumberFormat="1" applyFont="1" applyFill="1" applyAlignment="1">
      <alignment vertical="center"/>
    </xf>
    <xf numFmtId="0" fontId="5" fillId="0" borderId="0" xfId="7" applyFont="1" applyFill="1" applyAlignment="1">
      <alignment horizontal="center" vertical="center"/>
    </xf>
    <xf numFmtId="0" fontId="5" fillId="0" borderId="4" xfId="7" applyFont="1" applyFill="1" applyBorder="1" applyAlignment="1">
      <alignment horizontal="center" vertical="center" wrapText="1"/>
    </xf>
    <xf numFmtId="0" fontId="5" fillId="0" borderId="4" xfId="11" applyFont="1" applyBorder="1" applyAlignment="1">
      <alignment vertical="center" wrapText="1"/>
    </xf>
    <xf numFmtId="0" fontId="5" fillId="0" borderId="4" xfId="11" applyFont="1" applyFill="1" applyBorder="1" applyAlignment="1">
      <alignment vertical="center" wrapText="1"/>
    </xf>
    <xf numFmtId="3" fontId="5" fillId="0" borderId="4" xfId="7" applyNumberFormat="1" applyFont="1" applyFill="1" applyBorder="1" applyAlignment="1">
      <alignment vertical="center"/>
    </xf>
    <xf numFmtId="0" fontId="5" fillId="0" borderId="4" xfId="7" applyFont="1" applyFill="1" applyBorder="1" applyAlignment="1">
      <alignment vertical="center"/>
    </xf>
    <xf numFmtId="0" fontId="5" fillId="0" borderId="4" xfId="7" applyFont="1" applyBorder="1" applyAlignment="1">
      <alignment vertical="center" wrapText="1"/>
    </xf>
    <xf numFmtId="3" fontId="6" fillId="2" borderId="4" xfId="7" applyNumberFormat="1" applyFont="1" applyFill="1" applyBorder="1" applyAlignment="1">
      <alignment vertical="center"/>
    </xf>
    <xf numFmtId="49" fontId="5" fillId="0" borderId="4" xfId="7" applyNumberFormat="1" applyFont="1" applyBorder="1" applyAlignment="1">
      <alignment horizontal="center" vertical="center"/>
    </xf>
    <xf numFmtId="49" fontId="5" fillId="0" borderId="4" xfId="7" applyNumberFormat="1" applyFont="1" applyFill="1" applyBorder="1" applyAlignment="1">
      <alignment horizontal="center" vertical="center"/>
    </xf>
    <xf numFmtId="0" fontId="5" fillId="0" borderId="4" xfId="7" applyFont="1" applyFill="1" applyBorder="1" applyAlignment="1">
      <alignment vertical="center" wrapText="1"/>
    </xf>
    <xf numFmtId="0" fontId="30" fillId="0" borderId="0" xfId="11" applyFont="1" applyAlignment="1">
      <alignment horizontal="center" vertical="center"/>
    </xf>
    <xf numFmtId="0" fontId="30" fillId="0" borderId="0" xfId="11" applyFont="1" applyAlignment="1">
      <alignment vertical="center" wrapText="1"/>
    </xf>
    <xf numFmtId="3" fontId="30" fillId="0" borderId="0" xfId="11" applyNumberFormat="1" applyFont="1" applyAlignment="1">
      <alignment vertical="center"/>
    </xf>
    <xf numFmtId="0" fontId="30" fillId="0" borderId="0" xfId="11" applyFont="1"/>
    <xf numFmtId="0" fontId="25" fillId="0" borderId="0" xfId="11" applyFont="1" applyAlignment="1">
      <alignment horizontal="center" vertical="center" wrapText="1"/>
    </xf>
    <xf numFmtId="0" fontId="31" fillId="11" borderId="4" xfId="11" applyFont="1" applyFill="1" applyBorder="1" applyAlignment="1">
      <alignment horizontal="center" vertical="center"/>
    </xf>
    <xf numFmtId="0" fontId="31" fillId="11" borderId="4" xfId="11" applyFont="1" applyFill="1" applyBorder="1" applyAlignment="1">
      <alignment horizontal="center" vertical="center" wrapText="1"/>
    </xf>
    <xf numFmtId="3" fontId="31" fillId="11" borderId="4" xfId="11" applyNumberFormat="1" applyFont="1" applyFill="1" applyBorder="1" applyAlignment="1">
      <alignment horizontal="center" vertical="center"/>
    </xf>
    <xf numFmtId="0" fontId="31" fillId="0" borderId="0" xfId="11" applyFont="1" applyAlignment="1">
      <alignment vertical="center"/>
    </xf>
    <xf numFmtId="0" fontId="31" fillId="12" borderId="4" xfId="11" applyFont="1" applyFill="1" applyBorder="1" applyAlignment="1">
      <alignment horizontal="center" vertical="center"/>
    </xf>
    <xf numFmtId="0" fontId="31" fillId="12" borderId="4" xfId="11" applyFont="1" applyFill="1" applyBorder="1" applyAlignment="1">
      <alignment vertical="center" wrapText="1"/>
    </xf>
    <xf numFmtId="3" fontId="31" fillId="12" borderId="4" xfId="11" applyNumberFormat="1" applyFont="1" applyFill="1" applyBorder="1" applyAlignment="1">
      <alignment vertical="center"/>
    </xf>
    <xf numFmtId="0" fontId="30" fillId="9" borderId="4" xfId="11" applyFont="1" applyFill="1" applyBorder="1" applyAlignment="1">
      <alignment horizontal="center" vertical="center"/>
    </xf>
    <xf numFmtId="0" fontId="30" fillId="9" borderId="4" xfId="11" applyFont="1" applyFill="1" applyBorder="1" applyAlignment="1">
      <alignment vertical="center" wrapText="1"/>
    </xf>
    <xf numFmtId="3" fontId="30" fillId="9" borderId="4" xfId="11" applyNumberFormat="1" applyFont="1" applyFill="1" applyBorder="1" applyAlignment="1">
      <alignment vertical="center"/>
    </xf>
    <xf numFmtId="0" fontId="30" fillId="0" borderId="0" xfId="11" applyFont="1" applyAlignment="1">
      <alignment vertical="center"/>
    </xf>
    <xf numFmtId="0" fontId="5" fillId="0" borderId="4" xfId="11" applyFont="1" applyFill="1" applyBorder="1" applyAlignment="1">
      <alignment horizontal="center" vertical="center"/>
    </xf>
    <xf numFmtId="3" fontId="5" fillId="0" borderId="4" xfId="11" applyNumberFormat="1" applyFont="1" applyFill="1" applyBorder="1" applyAlignment="1">
      <alignment vertical="center"/>
    </xf>
    <xf numFmtId="0" fontId="5" fillId="0" borderId="0" xfId="11" applyFont="1" applyFill="1" applyAlignment="1">
      <alignment vertical="center"/>
    </xf>
    <xf numFmtId="0" fontId="30" fillId="0" borderId="4" xfId="11" applyFont="1" applyFill="1" applyBorder="1" applyAlignment="1">
      <alignment horizontal="center" vertical="center"/>
    </xf>
    <xf numFmtId="3" fontId="30" fillId="0" borderId="4" xfId="11" applyNumberFormat="1" applyFont="1" applyFill="1" applyBorder="1" applyAlignment="1">
      <alignment vertical="center"/>
    </xf>
    <xf numFmtId="0" fontId="30" fillId="0" borderId="0" xfId="11" applyFont="1" applyFill="1" applyAlignment="1">
      <alignment vertical="center"/>
    </xf>
    <xf numFmtId="0" fontId="31" fillId="9" borderId="4" xfId="11" applyFont="1" applyFill="1" applyBorder="1" applyAlignment="1">
      <alignment horizontal="center" vertical="center"/>
    </xf>
    <xf numFmtId="0" fontId="31" fillId="9" borderId="4" xfId="11" applyFont="1" applyFill="1" applyBorder="1" applyAlignment="1">
      <alignment vertical="center" wrapText="1"/>
    </xf>
    <xf numFmtId="3" fontId="31" fillId="9" borderId="4" xfId="11" applyNumberFormat="1" applyFont="1" applyFill="1" applyBorder="1" applyAlignment="1">
      <alignment vertical="center"/>
    </xf>
    <xf numFmtId="0" fontId="30" fillId="0" borderId="4" xfId="11" applyFont="1" applyBorder="1" applyAlignment="1">
      <alignment horizontal="center" vertical="center"/>
    </xf>
    <xf numFmtId="0" fontId="30" fillId="0" borderId="4" xfId="11" applyFont="1" applyBorder="1" applyAlignment="1">
      <alignment vertical="center" wrapText="1"/>
    </xf>
    <xf numFmtId="3" fontId="5" fillId="0" borderId="4" xfId="11" applyNumberFormat="1" applyFont="1" applyBorder="1" applyAlignment="1">
      <alignment vertical="center"/>
    </xf>
    <xf numFmtId="0" fontId="31" fillId="12" borderId="4" xfId="11" applyFont="1" applyFill="1" applyBorder="1" applyAlignment="1">
      <alignment horizontal="left" vertical="center"/>
    </xf>
    <xf numFmtId="0" fontId="30" fillId="9" borderId="4" xfId="11" applyFont="1" applyFill="1" applyBorder="1" applyAlignment="1">
      <alignment horizontal="left" vertical="center"/>
    </xf>
    <xf numFmtId="0" fontId="31" fillId="9" borderId="9" xfId="11" applyFont="1" applyFill="1" applyBorder="1" applyAlignment="1">
      <alignment horizontal="center" vertical="center"/>
    </xf>
    <xf numFmtId="3" fontId="6" fillId="9" borderId="9" xfId="11" applyNumberFormat="1" applyFont="1" applyFill="1" applyBorder="1" applyAlignment="1">
      <alignment vertical="center"/>
    </xf>
    <xf numFmtId="0" fontId="31" fillId="12" borderId="9" xfId="11" applyFont="1" applyFill="1" applyBorder="1" applyAlignment="1">
      <alignment horizontal="center" vertical="center"/>
    </xf>
    <xf numFmtId="0" fontId="31" fillId="12" borderId="9" xfId="11" applyFont="1" applyFill="1" applyBorder="1" applyAlignment="1">
      <alignment vertical="center" wrapText="1"/>
    </xf>
    <xf numFmtId="3" fontId="31" fillId="12" borderId="9" xfId="11" applyNumberFormat="1" applyFont="1" applyFill="1" applyBorder="1" applyAlignment="1">
      <alignment vertical="center"/>
    </xf>
    <xf numFmtId="0" fontId="5" fillId="0" borderId="4" xfId="11" applyFont="1" applyBorder="1" applyAlignment="1">
      <alignment horizontal="center" vertical="center"/>
    </xf>
    <xf numFmtId="0" fontId="5" fillId="0" borderId="0" xfId="11" applyFont="1" applyAlignment="1">
      <alignment vertical="center"/>
    </xf>
    <xf numFmtId="3" fontId="30" fillId="0" borderId="4" xfId="11" applyNumberFormat="1" applyFont="1" applyBorder="1" applyAlignment="1">
      <alignment vertical="center"/>
    </xf>
    <xf numFmtId="3" fontId="31" fillId="11" borderId="4" xfId="11" applyNumberFormat="1" applyFont="1" applyFill="1" applyBorder="1" applyAlignment="1">
      <alignment vertical="center"/>
    </xf>
    <xf numFmtId="0" fontId="27" fillId="10" borderId="0" xfId="23" applyFont="1" applyFill="1" applyAlignment="1">
      <alignment horizontal="center" vertical="center" wrapText="1"/>
    </xf>
    <xf numFmtId="0" fontId="27" fillId="13" borderId="4" xfId="23" applyFont="1" applyFill="1" applyBorder="1" applyAlignment="1">
      <alignment horizontal="center" vertical="center" wrapText="1"/>
    </xf>
    <xf numFmtId="0" fontId="33" fillId="13" borderId="4" xfId="23" applyFont="1" applyFill="1" applyBorder="1" applyAlignment="1">
      <alignment horizontal="center" vertical="center" wrapText="1"/>
    </xf>
    <xf numFmtId="3" fontId="8" fillId="0" borderId="0" xfId="9" applyNumberFormat="1" applyFont="1" applyAlignment="1">
      <alignment vertical="center"/>
    </xf>
    <xf numFmtId="0" fontId="8" fillId="0" borderId="0" xfId="7" applyFont="1" applyFill="1" applyProtection="1">
      <protection locked="0"/>
    </xf>
    <xf numFmtId="0" fontId="8" fillId="0" borderId="0" xfId="7" applyFont="1" applyProtection="1">
      <protection locked="0"/>
    </xf>
    <xf numFmtId="0" fontId="8" fillId="0" borderId="0" xfId="7" applyFont="1" applyAlignment="1" applyProtection="1">
      <alignment horizontal="center" vertical="center"/>
      <protection locked="0"/>
    </xf>
    <xf numFmtId="4" fontId="8" fillId="0" borderId="0" xfId="7" applyNumberFormat="1" applyFont="1" applyProtection="1">
      <protection locked="0"/>
    </xf>
    <xf numFmtId="0" fontId="8" fillId="0" borderId="0" xfId="7" applyFont="1" applyFill="1" applyProtection="1"/>
    <xf numFmtId="0" fontId="8" fillId="0" borderId="0" xfId="7" applyFont="1" applyProtection="1"/>
    <xf numFmtId="0" fontId="8" fillId="0" borderId="0" xfId="7" applyFont="1" applyAlignment="1" applyProtection="1">
      <alignment horizontal="center" vertical="center"/>
    </xf>
    <xf numFmtId="0" fontId="35" fillId="0" borderId="15" xfId="7" applyFont="1" applyFill="1" applyBorder="1" applyAlignment="1" applyProtection="1">
      <alignment horizontal="center" vertical="center"/>
    </xf>
    <xf numFmtId="0" fontId="10" fillId="0" borderId="15" xfId="7" applyFont="1" applyFill="1" applyBorder="1" applyAlignment="1" applyProtection="1">
      <alignment horizontal="center" vertical="center"/>
    </xf>
    <xf numFmtId="4" fontId="35" fillId="0" borderId="0" xfId="7" applyNumberFormat="1" applyFont="1" applyFill="1" applyProtection="1">
      <protection locked="0"/>
    </xf>
    <xf numFmtId="0" fontId="35" fillId="0" borderId="0" xfId="7" applyFont="1" applyFill="1" applyProtection="1">
      <protection locked="0"/>
    </xf>
    <xf numFmtId="3" fontId="10" fillId="15" borderId="11" xfId="7" applyNumberFormat="1" applyFont="1" applyFill="1" applyBorder="1" applyAlignment="1" applyProtection="1">
      <alignment vertical="center" wrapText="1"/>
    </xf>
    <xf numFmtId="4" fontId="8" fillId="0" borderId="0" xfId="7" applyNumberFormat="1" applyFont="1" applyAlignment="1" applyProtection="1">
      <alignment vertical="center"/>
      <protection locked="0"/>
    </xf>
    <xf numFmtId="0" fontId="8" fillId="0" borderId="0" xfId="7" applyFont="1" applyAlignment="1" applyProtection="1">
      <alignment vertical="center"/>
      <protection locked="0"/>
    </xf>
    <xf numFmtId="0" fontId="8" fillId="0" borderId="16" xfId="7" applyFont="1" applyFill="1" applyBorder="1" applyAlignment="1" applyProtection="1">
      <alignment horizontal="center" vertical="center"/>
    </xf>
    <xf numFmtId="0" fontId="8" fillId="0" borderId="12" xfId="7" applyFont="1" applyFill="1" applyBorder="1" applyAlignment="1" applyProtection="1">
      <alignment horizontal="center" vertical="center" wrapText="1"/>
    </xf>
    <xf numFmtId="0" fontId="8" fillId="16" borderId="12" xfId="7" applyFont="1" applyFill="1" applyBorder="1" applyAlignment="1" applyProtection="1">
      <alignment horizontal="center" vertical="center" wrapText="1"/>
    </xf>
    <xf numFmtId="0" fontId="8" fillId="16" borderId="16" xfId="16" applyFont="1" applyFill="1" applyBorder="1" applyAlignment="1" applyProtection="1">
      <alignment vertical="center" wrapText="1"/>
    </xf>
    <xf numFmtId="3" fontId="8" fillId="16" borderId="17" xfId="7" applyNumberFormat="1" applyFont="1" applyFill="1" applyBorder="1" applyAlignment="1" applyProtection="1">
      <alignment vertical="center" wrapText="1"/>
    </xf>
    <xf numFmtId="3" fontId="8" fillId="16" borderId="11" xfId="7" applyNumberFormat="1" applyFont="1" applyFill="1" applyBorder="1" applyAlignment="1" applyProtection="1">
      <alignment vertical="center"/>
    </xf>
    <xf numFmtId="0" fontId="8" fillId="16" borderId="11" xfId="7" applyFont="1" applyFill="1" applyBorder="1" applyAlignment="1" applyProtection="1">
      <alignment vertical="center" wrapText="1"/>
    </xf>
    <xf numFmtId="0" fontId="8" fillId="16" borderId="11" xfId="7" applyFont="1" applyFill="1" applyBorder="1" applyAlignment="1" applyProtection="1">
      <alignment horizontal="right" vertical="center" wrapText="1"/>
    </xf>
    <xf numFmtId="4" fontId="8" fillId="0" borderId="0" xfId="7" applyNumberFormat="1" applyFont="1" applyFill="1" applyAlignment="1" applyProtection="1">
      <alignment vertical="center"/>
      <protection locked="0"/>
    </xf>
    <xf numFmtId="0" fontId="8" fillId="0" borderId="0" xfId="7" applyFont="1" applyFill="1" applyAlignment="1" applyProtection="1">
      <alignment vertical="center"/>
      <protection locked="0"/>
    </xf>
    <xf numFmtId="0" fontId="8" fillId="0" borderId="11" xfId="7" applyFont="1" applyFill="1" applyBorder="1" applyAlignment="1" applyProtection="1">
      <alignment horizontal="center" vertical="center"/>
    </xf>
    <xf numFmtId="0" fontId="8" fillId="0" borderId="11" xfId="7" applyFont="1" applyFill="1" applyBorder="1" applyAlignment="1" applyProtection="1">
      <alignment horizontal="center" vertical="center" wrapText="1"/>
    </xf>
    <xf numFmtId="0" fontId="8" fillId="0" borderId="11" xfId="16" applyFont="1" applyFill="1" applyBorder="1" applyAlignment="1" applyProtection="1">
      <alignment vertical="center" wrapText="1"/>
      <protection locked="0"/>
    </xf>
    <xf numFmtId="3" fontId="8" fillId="0" borderId="17" xfId="7" applyNumberFormat="1" applyFont="1" applyFill="1" applyBorder="1" applyAlignment="1" applyProtection="1">
      <alignment vertical="center" wrapText="1"/>
    </xf>
    <xf numFmtId="3" fontId="8" fillId="0" borderId="11" xfId="7" applyNumberFormat="1" applyFont="1" applyFill="1" applyBorder="1" applyAlignment="1" applyProtection="1">
      <alignment vertical="center"/>
    </xf>
    <xf numFmtId="0" fontId="8" fillId="0" borderId="11" xfId="7" applyFont="1" applyFill="1" applyBorder="1" applyAlignment="1" applyProtection="1">
      <alignment vertical="center" wrapText="1"/>
    </xf>
    <xf numFmtId="0" fontId="8" fillId="0" borderId="11" xfId="7" applyFont="1" applyFill="1" applyBorder="1" applyAlignment="1" applyProtection="1">
      <alignment horizontal="right" vertical="center" wrapText="1"/>
    </xf>
    <xf numFmtId="0" fontId="8" fillId="16" borderId="18" xfId="7" applyFont="1" applyFill="1" applyBorder="1" applyAlignment="1" applyProtection="1">
      <alignment horizontal="center" vertical="center"/>
    </xf>
    <xf numFmtId="0" fontId="8" fillId="16" borderId="11" xfId="7" applyFont="1" applyFill="1" applyBorder="1" applyAlignment="1" applyProtection="1">
      <alignment horizontal="center" vertical="center" wrapText="1"/>
    </xf>
    <xf numFmtId="0" fontId="8" fillId="16" borderId="11" xfId="16" applyFont="1" applyFill="1" applyBorder="1" applyAlignment="1" applyProtection="1">
      <alignment vertical="center" wrapText="1"/>
      <protection locked="0"/>
    </xf>
    <xf numFmtId="0" fontId="8" fillId="16" borderId="13" xfId="7" applyFont="1" applyFill="1" applyBorder="1" applyAlignment="1" applyProtection="1">
      <alignment horizontal="right" vertical="center" wrapText="1"/>
    </xf>
    <xf numFmtId="0" fontId="37" fillId="16" borderId="16" xfId="7" applyFont="1" applyFill="1" applyBorder="1" applyAlignment="1" applyProtection="1">
      <alignment horizontal="center" vertical="center" wrapText="1"/>
    </xf>
    <xf numFmtId="0" fontId="8" fillId="0" borderId="11" xfId="7" applyFont="1" applyFill="1" applyBorder="1" applyAlignment="1" applyProtection="1">
      <alignment horizontal="left" vertical="center" wrapText="1"/>
    </xf>
    <xf numFmtId="3" fontId="8" fillId="0" borderId="11" xfId="7" applyNumberFormat="1" applyFont="1" applyFill="1" applyBorder="1" applyAlignment="1" applyProtection="1">
      <alignment vertical="center" wrapText="1"/>
    </xf>
    <xf numFmtId="0" fontId="40" fillId="0" borderId="11" xfId="7" applyFont="1" applyFill="1" applyBorder="1" applyAlignment="1" applyProtection="1">
      <alignment vertical="center" wrapText="1"/>
    </xf>
    <xf numFmtId="0" fontId="10" fillId="17" borderId="19" xfId="7" applyFont="1" applyFill="1" applyBorder="1" applyAlignment="1" applyProtection="1">
      <alignment horizontal="center" vertical="center" wrapText="1"/>
      <protection locked="0"/>
    </xf>
    <xf numFmtId="4" fontId="40" fillId="0" borderId="0" xfId="7" applyNumberFormat="1" applyFont="1" applyAlignment="1" applyProtection="1">
      <alignment vertical="center"/>
      <protection locked="0"/>
    </xf>
    <xf numFmtId="0" fontId="40" fillId="0" borderId="0" xfId="7" applyFont="1" applyAlignment="1" applyProtection="1">
      <alignment vertical="center"/>
      <protection locked="0"/>
    </xf>
    <xf numFmtId="3" fontId="10" fillId="15" borderId="11" xfId="7" applyNumberFormat="1" applyFont="1" applyFill="1" applyBorder="1" applyAlignment="1" applyProtection="1">
      <alignment horizontal="right" vertical="center" wrapText="1"/>
    </xf>
    <xf numFmtId="4" fontId="43" fillId="0" borderId="0" xfId="7" applyNumberFormat="1" applyFont="1" applyFill="1" applyAlignment="1" applyProtection="1">
      <alignment vertical="center"/>
      <protection locked="0"/>
    </xf>
    <xf numFmtId="0" fontId="43" fillId="0" borderId="0" xfId="7" applyFont="1" applyFill="1" applyAlignment="1" applyProtection="1">
      <alignment vertical="center"/>
      <protection locked="0"/>
    </xf>
    <xf numFmtId="4" fontId="40" fillId="0" borderId="0" xfId="7" applyNumberFormat="1" applyFont="1" applyFill="1" applyAlignment="1" applyProtection="1">
      <alignment vertical="center"/>
      <protection locked="0"/>
    </xf>
    <xf numFmtId="0" fontId="40" fillId="0" borderId="0" xfId="7" applyFont="1" applyFill="1" applyAlignment="1" applyProtection="1">
      <alignment vertical="center"/>
      <protection locked="0"/>
    </xf>
    <xf numFmtId="0" fontId="40" fillId="0" borderId="11" xfId="7" applyFont="1" applyFill="1" applyBorder="1" applyAlignment="1" applyProtection="1">
      <alignment horizontal="right" vertical="center" wrapText="1"/>
    </xf>
    <xf numFmtId="3" fontId="8" fillId="16" borderId="11" xfId="7" applyNumberFormat="1" applyFont="1" applyFill="1" applyBorder="1" applyAlignment="1" applyProtection="1">
      <alignment vertical="center" wrapText="1"/>
    </xf>
    <xf numFmtId="41" fontId="10" fillId="15" borderId="11" xfId="7" applyNumberFormat="1" applyFont="1" applyFill="1" applyBorder="1" applyAlignment="1" applyProtection="1">
      <alignment horizontal="right" vertical="center" wrapText="1"/>
    </xf>
    <xf numFmtId="4" fontId="10" fillId="0" borderId="0" xfId="7" applyNumberFormat="1" applyFont="1" applyFill="1" applyAlignment="1" applyProtection="1">
      <alignment vertical="center"/>
      <protection locked="0"/>
    </xf>
    <xf numFmtId="0" fontId="10" fillId="0" borderId="0" xfId="7" applyFont="1" applyFill="1" applyAlignment="1" applyProtection="1">
      <alignment vertical="center"/>
      <protection locked="0"/>
    </xf>
    <xf numFmtId="3" fontId="8" fillId="0" borderId="11" xfId="7" applyNumberFormat="1" applyFont="1" applyFill="1" applyBorder="1" applyAlignment="1" applyProtection="1">
      <alignment horizontal="center" vertical="center"/>
    </xf>
    <xf numFmtId="0" fontId="8" fillId="0" borderId="11" xfId="7" applyNumberFormat="1" applyFont="1" applyFill="1" applyBorder="1" applyAlignment="1" applyProtection="1">
      <alignment horizontal="center" vertical="center"/>
    </xf>
    <xf numFmtId="0" fontId="8" fillId="0" borderId="11" xfId="16" applyFont="1" applyFill="1" applyBorder="1" applyAlignment="1">
      <alignment vertical="center" wrapText="1"/>
    </xf>
    <xf numFmtId="3" fontId="8" fillId="0" borderId="11" xfId="7" applyNumberFormat="1" applyFont="1" applyFill="1" applyBorder="1" applyAlignment="1" applyProtection="1">
      <alignment horizontal="right" vertical="center" wrapText="1"/>
    </xf>
    <xf numFmtId="3" fontId="8" fillId="0" borderId="0" xfId="7" applyNumberFormat="1" applyFont="1" applyFill="1" applyAlignment="1" applyProtection="1">
      <alignment vertical="center"/>
      <protection locked="0"/>
    </xf>
    <xf numFmtId="0" fontId="8" fillId="16" borderId="11" xfId="7" applyNumberFormat="1" applyFont="1" applyFill="1" applyBorder="1" applyAlignment="1" applyProtection="1">
      <alignment horizontal="center" vertical="center"/>
    </xf>
    <xf numFmtId="4" fontId="13" fillId="0" borderId="0" xfId="7" applyNumberFormat="1" applyFont="1" applyFill="1" applyAlignment="1" applyProtection="1">
      <alignment vertical="center"/>
      <protection locked="0"/>
    </xf>
    <xf numFmtId="0" fontId="13" fillId="0" borderId="0" xfId="7" applyFont="1" applyFill="1" applyAlignment="1" applyProtection="1">
      <alignment vertical="center"/>
      <protection locked="0"/>
    </xf>
    <xf numFmtId="0" fontId="8" fillId="0" borderId="24" xfId="7" applyFont="1" applyFill="1" applyBorder="1" applyAlignment="1">
      <alignment vertical="center" wrapText="1"/>
    </xf>
    <xf numFmtId="0" fontId="8" fillId="0" borderId="11" xfId="7" applyFont="1" applyFill="1" applyBorder="1" applyAlignment="1">
      <alignment vertical="center" wrapText="1"/>
    </xf>
    <xf numFmtId="4" fontId="43" fillId="0" borderId="0" xfId="7" applyNumberFormat="1" applyFont="1" applyAlignment="1" applyProtection="1">
      <alignment vertical="center"/>
      <protection locked="0"/>
    </xf>
    <xf numFmtId="0" fontId="43" fillId="0" borderId="0" xfId="7" applyFont="1" applyAlignment="1" applyProtection="1">
      <alignment vertical="center"/>
      <protection locked="0"/>
    </xf>
    <xf numFmtId="0" fontId="8" fillId="0" borderId="11" xfId="7" applyFont="1" applyFill="1" applyBorder="1" applyAlignment="1" applyProtection="1">
      <alignment horizontal="left" vertical="center" wrapText="1"/>
      <protection locked="0"/>
    </xf>
    <xf numFmtId="1" fontId="10" fillId="15" borderId="11" xfId="7" applyNumberFormat="1" applyFont="1" applyFill="1" applyBorder="1" applyAlignment="1" applyProtection="1">
      <alignment horizontal="right" vertical="center" wrapText="1"/>
    </xf>
    <xf numFmtId="4" fontId="45" fillId="0" borderId="0" xfId="7" applyNumberFormat="1" applyFont="1" applyAlignment="1" applyProtection="1">
      <alignment vertical="center"/>
      <protection locked="0"/>
    </xf>
    <xf numFmtId="0" fontId="45" fillId="0" borderId="0" xfId="7" applyFont="1" applyAlignment="1" applyProtection="1">
      <alignment vertical="center"/>
      <protection locked="0"/>
    </xf>
    <xf numFmtId="3" fontId="40" fillId="0" borderId="11" xfId="7" applyNumberFormat="1" applyFont="1" applyFill="1" applyBorder="1" applyAlignment="1" applyProtection="1">
      <alignment vertical="center"/>
    </xf>
    <xf numFmtId="0" fontId="44" fillId="0" borderId="11" xfId="16" applyFont="1" applyFill="1" applyBorder="1" applyAlignment="1" applyProtection="1">
      <alignment vertical="center" wrapText="1"/>
      <protection locked="0"/>
    </xf>
    <xf numFmtId="2" fontId="8" fillId="0" borderId="11" xfId="16" applyNumberFormat="1" applyFont="1" applyFill="1" applyBorder="1" applyAlignment="1" applyProtection="1">
      <alignment vertical="center" wrapText="1"/>
      <protection locked="0"/>
    </xf>
    <xf numFmtId="2" fontId="26" fillId="0" borderId="11" xfId="16" applyNumberFormat="1" applyFont="1" applyFill="1" applyBorder="1" applyAlignment="1" applyProtection="1">
      <alignment vertical="center" wrapText="1"/>
      <protection locked="0"/>
    </xf>
    <xf numFmtId="2" fontId="26" fillId="16" borderId="11" xfId="16" applyNumberFormat="1" applyFont="1" applyFill="1" applyBorder="1" applyAlignment="1" applyProtection="1">
      <alignment vertical="center" wrapText="1"/>
      <protection locked="0"/>
    </xf>
    <xf numFmtId="0" fontId="40" fillId="16" borderId="11" xfId="7" applyFont="1" applyFill="1" applyBorder="1" applyAlignment="1" applyProtection="1">
      <alignment vertical="center" wrapText="1"/>
    </xf>
    <xf numFmtId="3" fontId="10" fillId="2" borderId="12" xfId="7" applyNumberFormat="1" applyFont="1" applyFill="1" applyBorder="1" applyAlignment="1" applyProtection="1">
      <alignment vertical="center" wrapText="1"/>
    </xf>
    <xf numFmtId="3" fontId="43" fillId="0" borderId="0" xfId="7" applyNumberFormat="1" applyFont="1" applyFill="1" applyAlignment="1" applyProtection="1">
      <alignment vertical="center"/>
      <protection locked="0"/>
    </xf>
    <xf numFmtId="0" fontId="8" fillId="0" borderId="25" xfId="7" applyFont="1" applyFill="1" applyBorder="1" applyAlignment="1" applyProtection="1">
      <alignment horizontal="center" vertical="center" wrapText="1"/>
    </xf>
    <xf numFmtId="0" fontId="8" fillId="0" borderId="26" xfId="7" applyFont="1" applyFill="1" applyBorder="1" applyAlignment="1" applyProtection="1">
      <alignment horizontal="center" vertical="center" wrapText="1"/>
    </xf>
    <xf numFmtId="0" fontId="8" fillId="0" borderId="27" xfId="7" applyFont="1" applyFill="1" applyBorder="1" applyAlignment="1" applyProtection="1">
      <alignment horizontal="center" vertical="center" wrapText="1"/>
    </xf>
    <xf numFmtId="3" fontId="8" fillId="0" borderId="29" xfId="7" applyNumberFormat="1" applyFont="1" applyFill="1" applyBorder="1" applyAlignment="1" applyProtection="1">
      <alignment vertical="center" wrapText="1"/>
    </xf>
    <xf numFmtId="3" fontId="8" fillId="0" borderId="30" xfId="7" applyNumberFormat="1" applyFont="1" applyFill="1" applyBorder="1" applyAlignment="1" applyProtection="1">
      <alignment vertical="center" wrapText="1"/>
    </xf>
    <xf numFmtId="3" fontId="10" fillId="2" borderId="35" xfId="7" applyNumberFormat="1" applyFont="1" applyFill="1" applyBorder="1" applyAlignment="1" applyProtection="1">
      <alignment vertical="center" wrapText="1"/>
    </xf>
    <xf numFmtId="3" fontId="10" fillId="2" borderId="36" xfId="7" applyNumberFormat="1" applyFont="1" applyFill="1" applyBorder="1" applyAlignment="1" applyProtection="1">
      <alignment vertical="center" wrapText="1"/>
    </xf>
    <xf numFmtId="0" fontId="8" fillId="0" borderId="15" xfId="7" applyFont="1" applyFill="1" applyBorder="1" applyAlignment="1" applyProtection="1">
      <alignment horizontal="center" vertical="center" wrapText="1"/>
    </xf>
    <xf numFmtId="0" fontId="8" fillId="0" borderId="15" xfId="7" applyFont="1" applyFill="1" applyBorder="1" applyAlignment="1" applyProtection="1">
      <alignment vertical="center" wrapText="1"/>
    </xf>
    <xf numFmtId="3" fontId="8" fillId="0" borderId="15" xfId="7" applyNumberFormat="1" applyFont="1" applyFill="1" applyBorder="1" applyAlignment="1" applyProtection="1">
      <alignment vertical="center" wrapText="1"/>
    </xf>
    <xf numFmtId="4" fontId="46" fillId="0" borderId="0" xfId="7" applyNumberFormat="1" applyFont="1" applyFill="1" applyAlignment="1" applyProtection="1">
      <alignment vertical="center"/>
      <protection locked="0"/>
    </xf>
    <xf numFmtId="0" fontId="46" fillId="0" borderId="0" xfId="7" applyFont="1" applyFill="1" applyAlignment="1" applyProtection="1">
      <alignment vertical="center"/>
      <protection locked="0"/>
    </xf>
    <xf numFmtId="3" fontId="10" fillId="2" borderId="11" xfId="7" applyNumberFormat="1" applyFont="1" applyFill="1" applyBorder="1" applyAlignment="1" applyProtection="1">
      <alignment vertical="center" wrapText="1"/>
    </xf>
    <xf numFmtId="3" fontId="8" fillId="2" borderId="12" xfId="7" applyNumberFormat="1" applyFont="1" applyFill="1" applyBorder="1" applyAlignment="1" applyProtection="1">
      <alignment vertical="center" wrapText="1"/>
    </xf>
    <xf numFmtId="0" fontId="8" fillId="0" borderId="13" xfId="7" applyFont="1" applyFill="1" applyBorder="1" applyAlignment="1" applyProtection="1">
      <alignment horizontal="center" vertical="center" wrapText="1"/>
    </xf>
    <xf numFmtId="3" fontId="10" fillId="2" borderId="15" xfId="7" applyNumberFormat="1" applyFont="1" applyFill="1" applyBorder="1" applyAlignment="1" applyProtection="1">
      <alignment vertical="center" wrapText="1"/>
    </xf>
    <xf numFmtId="3" fontId="10" fillId="2" borderId="20" xfId="7" applyNumberFormat="1" applyFont="1" applyFill="1" applyBorder="1" applyAlignment="1" applyProtection="1">
      <alignment vertical="center" wrapText="1"/>
    </xf>
    <xf numFmtId="0" fontId="35" fillId="2" borderId="16" xfId="7" applyFont="1" applyFill="1" applyBorder="1" applyAlignment="1" applyProtection="1">
      <alignment horizontal="center" vertical="center" wrapText="1"/>
    </xf>
    <xf numFmtId="0" fontId="10" fillId="2" borderId="11" xfId="7" applyFont="1" applyFill="1" applyBorder="1" applyAlignment="1" applyProtection="1">
      <alignment vertical="center" wrapText="1"/>
    </xf>
    <xf numFmtId="4" fontId="46" fillId="0" borderId="0" xfId="7" applyNumberFormat="1" applyFont="1" applyFill="1" applyBorder="1" applyAlignment="1" applyProtection="1">
      <alignment vertical="center"/>
      <protection locked="0"/>
    </xf>
    <xf numFmtId="0" fontId="46" fillId="0" borderId="0" xfId="7" applyFont="1" applyFill="1" applyBorder="1" applyAlignment="1" applyProtection="1">
      <alignment vertical="center"/>
      <protection locked="0"/>
    </xf>
    <xf numFmtId="0" fontId="10" fillId="17" borderId="42" xfId="7" applyFont="1" applyFill="1" applyBorder="1" applyAlignment="1" applyProtection="1">
      <alignment horizontal="center" vertical="center" wrapText="1"/>
      <protection locked="0"/>
    </xf>
    <xf numFmtId="4" fontId="10" fillId="16" borderId="0" xfId="7" applyNumberFormat="1" applyFont="1" applyFill="1" applyAlignment="1" applyProtection="1">
      <alignment vertical="center"/>
      <protection locked="0"/>
    </xf>
    <xf numFmtId="0" fontId="10" fillId="16" borderId="0" xfId="7" applyFont="1" applyFill="1" applyAlignment="1" applyProtection="1">
      <alignment vertical="center"/>
      <protection locked="0"/>
    </xf>
    <xf numFmtId="3" fontId="10" fillId="16" borderId="0" xfId="7" applyNumberFormat="1" applyFont="1" applyFill="1" applyAlignment="1" applyProtection="1">
      <alignment vertical="center"/>
      <protection locked="0"/>
    </xf>
    <xf numFmtId="0" fontId="8" fillId="16" borderId="17" xfId="7" applyFont="1" applyFill="1" applyBorder="1" applyAlignment="1" applyProtection="1">
      <alignment horizontal="left" vertical="center" wrapText="1"/>
    </xf>
    <xf numFmtId="4" fontId="8" fillId="16" borderId="0" xfId="7" applyNumberFormat="1" applyFont="1" applyFill="1" applyAlignment="1" applyProtection="1">
      <alignment vertical="center"/>
      <protection locked="0"/>
    </xf>
    <xf numFmtId="0" fontId="8" fillId="16" borderId="0" xfId="7" applyFont="1" applyFill="1" applyAlignment="1" applyProtection="1">
      <alignment vertical="center"/>
      <protection locked="0"/>
    </xf>
    <xf numFmtId="0" fontId="10" fillId="2" borderId="12" xfId="7" applyFont="1" applyFill="1" applyBorder="1" applyAlignment="1" applyProtection="1">
      <alignment vertical="center" wrapText="1"/>
    </xf>
    <xf numFmtId="0" fontId="8" fillId="0" borderId="16" xfId="7" applyFont="1" applyFill="1" applyBorder="1" applyAlignment="1" applyProtection="1">
      <alignment horizontal="center" vertical="center" wrapText="1"/>
    </xf>
    <xf numFmtId="3" fontId="8" fillId="0" borderId="16" xfId="7" applyNumberFormat="1" applyFont="1" applyFill="1" applyBorder="1" applyAlignment="1" applyProtection="1">
      <alignment vertical="center" wrapText="1"/>
    </xf>
    <xf numFmtId="0" fontId="8" fillId="0" borderId="16" xfId="7" applyFont="1" applyFill="1" applyBorder="1" applyAlignment="1" applyProtection="1">
      <alignment vertical="center" wrapText="1"/>
    </xf>
    <xf numFmtId="0" fontId="37" fillId="0" borderId="16" xfId="7" applyFont="1" applyFill="1" applyBorder="1" applyAlignment="1" applyProtection="1">
      <alignment horizontal="center" vertical="center" wrapText="1"/>
    </xf>
    <xf numFmtId="3" fontId="10" fillId="2" borderId="16" xfId="7" applyNumberFormat="1" applyFont="1" applyFill="1" applyBorder="1" applyAlignment="1" applyProtection="1">
      <alignment vertical="center" wrapText="1"/>
    </xf>
    <xf numFmtId="3" fontId="10" fillId="2" borderId="45" xfId="7" applyNumberFormat="1" applyFont="1" applyFill="1" applyBorder="1" applyAlignment="1" applyProtection="1">
      <alignment vertical="center" wrapText="1"/>
    </xf>
    <xf numFmtId="3" fontId="8" fillId="0" borderId="12" xfId="7" applyNumberFormat="1" applyFont="1" applyFill="1" applyBorder="1" applyAlignment="1" applyProtection="1">
      <alignment vertical="center" wrapText="1"/>
    </xf>
    <xf numFmtId="0" fontId="8" fillId="0" borderId="12" xfId="7" applyFont="1" applyFill="1" applyBorder="1" applyAlignment="1" applyProtection="1">
      <alignment vertical="center" wrapText="1"/>
    </xf>
    <xf numFmtId="0" fontId="8" fillId="0" borderId="12" xfId="7" applyFont="1" applyFill="1" applyBorder="1" applyAlignment="1" applyProtection="1">
      <alignment horizontal="right" vertical="center" wrapText="1"/>
    </xf>
    <xf numFmtId="4" fontId="10" fillId="16" borderId="0" xfId="7" applyNumberFormat="1" applyFont="1" applyFill="1" applyBorder="1" applyAlignment="1" applyProtection="1">
      <alignment vertical="center"/>
      <protection locked="0"/>
    </xf>
    <xf numFmtId="3" fontId="10" fillId="16" borderId="0" xfId="7" applyNumberFormat="1" applyFont="1" applyFill="1" applyBorder="1" applyAlignment="1" applyProtection="1">
      <alignment vertical="center"/>
      <protection locked="0"/>
    </xf>
    <xf numFmtId="0" fontId="10" fillId="16" borderId="0" xfId="7" applyFont="1" applyFill="1" applyBorder="1" applyAlignment="1" applyProtection="1">
      <alignment vertical="center"/>
      <protection locked="0"/>
    </xf>
    <xf numFmtId="0" fontId="35" fillId="0" borderId="0" xfId="9" applyFont="1" applyProtection="1"/>
    <xf numFmtId="0" fontId="35" fillId="0" borderId="0" xfId="7" applyFont="1" applyProtection="1"/>
    <xf numFmtId="0" fontId="10" fillId="0" borderId="0" xfId="7" applyFont="1" applyProtection="1"/>
    <xf numFmtId="3" fontId="37" fillId="0" borderId="0" xfId="7" applyNumberFormat="1" applyFont="1" applyProtection="1"/>
    <xf numFmtId="0" fontId="37" fillId="0" borderId="0" xfId="7" applyFont="1" applyProtection="1"/>
    <xf numFmtId="0" fontId="37" fillId="0" borderId="0" xfId="7" applyFont="1" applyAlignment="1" applyProtection="1">
      <alignment horizontal="center" vertical="center"/>
    </xf>
    <xf numFmtId="0" fontId="10" fillId="0" borderId="0" xfId="7" applyFont="1" applyFill="1" applyProtection="1"/>
    <xf numFmtId="3" fontId="8" fillId="0" borderId="0" xfId="7" applyNumberFormat="1" applyFont="1" applyProtection="1"/>
    <xf numFmtId="3" fontId="8" fillId="0" borderId="0" xfId="7" applyNumberFormat="1" applyFont="1" applyAlignment="1" applyProtection="1">
      <alignment horizontal="center" vertical="center"/>
    </xf>
    <xf numFmtId="3" fontId="8" fillId="0" borderId="0" xfId="7" applyNumberFormat="1" applyFont="1" applyProtection="1">
      <protection locked="0"/>
    </xf>
    <xf numFmtId="4" fontId="37" fillId="0" borderId="0" xfId="7" applyNumberFormat="1" applyFont="1" applyProtection="1">
      <protection locked="0"/>
    </xf>
    <xf numFmtId="0" fontId="37" fillId="0" borderId="0" xfId="7" applyFont="1" applyProtection="1">
      <protection locked="0"/>
    </xf>
    <xf numFmtId="0" fontId="8" fillId="0" borderId="11" xfId="16" applyFont="1" applyFill="1" applyBorder="1" applyAlignment="1" applyProtection="1">
      <alignment vertical="top" wrapText="1"/>
      <protection locked="0"/>
    </xf>
    <xf numFmtId="4" fontId="38" fillId="0" borderId="0" xfId="7" applyNumberFormat="1" applyFont="1" applyFill="1" applyAlignment="1" applyProtection="1">
      <alignment vertical="center"/>
      <protection locked="0"/>
    </xf>
    <xf numFmtId="0" fontId="38" fillId="0" borderId="0" xfId="7" applyFont="1" applyFill="1" applyAlignment="1" applyProtection="1">
      <alignment vertical="center"/>
      <protection locked="0"/>
    </xf>
    <xf numFmtId="0" fontId="31" fillId="8" borderId="4" xfId="11" applyFont="1" applyFill="1" applyBorder="1" applyAlignment="1">
      <alignment horizontal="center" vertical="center"/>
    </xf>
    <xf numFmtId="0" fontId="6" fillId="8" borderId="4" xfId="11" applyFont="1" applyFill="1" applyBorder="1" applyAlignment="1">
      <alignment vertical="center" wrapText="1"/>
    </xf>
    <xf numFmtId="3" fontId="31" fillId="8" borderId="4" xfId="11" applyNumberFormat="1" applyFont="1" applyFill="1" applyBorder="1" applyAlignment="1">
      <alignment vertical="center"/>
    </xf>
    <xf numFmtId="0" fontId="31" fillId="0" borderId="0" xfId="11" applyFont="1" applyFill="1" applyAlignment="1">
      <alignment vertical="center"/>
    </xf>
    <xf numFmtId="0" fontId="5" fillId="9" borderId="4" xfId="11" applyFont="1" applyFill="1" applyBorder="1" applyAlignment="1">
      <alignment vertical="center" wrapText="1"/>
    </xf>
    <xf numFmtId="0" fontId="28" fillId="0" borderId="4" xfId="11" applyFont="1" applyBorder="1" applyAlignment="1">
      <alignment vertical="center" wrapText="1"/>
    </xf>
    <xf numFmtId="0" fontId="10" fillId="14" borderId="15" xfId="7" applyFont="1" applyFill="1" applyBorder="1" applyAlignment="1" applyProtection="1">
      <alignment horizontal="center" vertical="center" wrapText="1"/>
    </xf>
    <xf numFmtId="0" fontId="10" fillId="0" borderId="22" xfId="7" applyFont="1" applyFill="1" applyBorder="1" applyAlignment="1" applyProtection="1">
      <alignment horizontal="center" vertical="center"/>
      <protection locked="0"/>
    </xf>
    <xf numFmtId="0" fontId="36" fillId="15" borderId="17" xfId="7" applyFont="1" applyFill="1" applyBorder="1" applyAlignment="1" applyProtection="1">
      <alignment horizontal="center" vertical="center" wrapText="1"/>
      <protection locked="0"/>
    </xf>
    <xf numFmtId="0" fontId="10" fillId="17" borderId="17" xfId="7" applyFont="1" applyFill="1" applyBorder="1" applyAlignment="1" applyProtection="1">
      <alignment horizontal="center" vertical="center" wrapText="1"/>
      <protection locked="0"/>
    </xf>
    <xf numFmtId="0" fontId="10" fillId="0" borderId="39" xfId="7" applyFont="1" applyFill="1" applyBorder="1" applyAlignment="1" applyProtection="1">
      <alignment horizontal="center" vertical="center" wrapText="1"/>
      <protection locked="0"/>
    </xf>
    <xf numFmtId="0" fontId="8" fillId="0" borderId="39" xfId="7" applyFont="1" applyFill="1" applyBorder="1" applyAlignment="1" applyProtection="1">
      <alignment horizontal="center" vertical="center" wrapText="1"/>
      <protection locked="0"/>
    </xf>
    <xf numFmtId="0" fontId="8" fillId="17" borderId="47" xfId="7" applyFont="1" applyFill="1" applyBorder="1" applyAlignment="1" applyProtection="1">
      <alignment horizontal="center" vertical="center" wrapText="1"/>
      <protection locked="0"/>
    </xf>
    <xf numFmtId="0" fontId="10" fillId="0" borderId="17" xfId="7" applyFont="1" applyFill="1" applyBorder="1" applyAlignment="1" applyProtection="1">
      <alignment horizontal="center" vertical="center" wrapText="1"/>
      <protection locked="0"/>
    </xf>
    <xf numFmtId="0" fontId="8" fillId="0" borderId="17" xfId="7" applyFont="1" applyFill="1" applyBorder="1" applyAlignment="1" applyProtection="1">
      <alignment horizontal="center" vertical="center" wrapText="1"/>
      <protection locked="0"/>
    </xf>
    <xf numFmtId="0" fontId="8" fillId="17" borderId="17" xfId="7" applyFont="1" applyFill="1" applyBorder="1" applyAlignment="1" applyProtection="1">
      <alignment horizontal="center" vertical="center" wrapText="1"/>
      <protection locked="0"/>
    </xf>
    <xf numFmtId="0" fontId="43" fillId="15" borderId="17" xfId="7" applyFont="1" applyFill="1" applyBorder="1" applyAlignment="1" applyProtection="1">
      <alignment horizontal="center" vertical="center" wrapText="1"/>
      <protection locked="0"/>
    </xf>
    <xf numFmtId="0" fontId="38" fillId="0" borderId="17" xfId="7" applyFont="1" applyFill="1" applyBorder="1" applyAlignment="1" applyProtection="1">
      <alignment horizontal="center" vertical="center" wrapText="1"/>
      <protection locked="0"/>
    </xf>
    <xf numFmtId="0" fontId="10" fillId="15" borderId="17" xfId="7" applyFont="1" applyFill="1" applyBorder="1" applyAlignment="1" applyProtection="1">
      <alignment horizontal="center" vertical="center" wrapText="1"/>
      <protection locked="0"/>
    </xf>
    <xf numFmtId="0" fontId="38" fillId="17" borderId="17" xfId="7" applyFont="1" applyFill="1" applyBorder="1" applyAlignment="1" applyProtection="1">
      <alignment horizontal="center" vertical="center" wrapText="1"/>
      <protection locked="0"/>
    </xf>
    <xf numFmtId="0" fontId="38" fillId="15" borderId="17" xfId="7" applyFont="1" applyFill="1" applyBorder="1" applyAlignment="1" applyProtection="1">
      <alignment horizontal="center" vertical="center" wrapText="1"/>
      <protection locked="0"/>
    </xf>
    <xf numFmtId="0" fontId="43" fillId="0" borderId="39" xfId="7" applyFont="1" applyFill="1" applyBorder="1" applyAlignment="1" applyProtection="1">
      <alignment horizontal="center" vertical="center" wrapText="1"/>
      <protection locked="0"/>
    </xf>
    <xf numFmtId="0" fontId="46" fillId="0" borderId="48" xfId="7" applyFont="1" applyFill="1" applyBorder="1" applyAlignment="1" applyProtection="1">
      <alignment horizontal="center" vertical="center" wrapText="1"/>
      <protection locked="0"/>
    </xf>
    <xf numFmtId="0" fontId="43" fillId="0" borderId="49" xfId="7" applyFont="1" applyFill="1" applyBorder="1" applyAlignment="1" applyProtection="1">
      <alignment horizontal="center" vertical="center" wrapText="1"/>
      <protection locked="0"/>
    </xf>
    <xf numFmtId="0" fontId="8" fillId="0" borderId="42" xfId="7" applyFont="1" applyFill="1" applyBorder="1" applyAlignment="1" applyProtection="1">
      <alignment horizontal="center" vertical="center" wrapText="1"/>
      <protection locked="0"/>
    </xf>
    <xf numFmtId="0" fontId="38" fillId="0" borderId="42" xfId="7" applyFont="1" applyFill="1" applyBorder="1" applyAlignment="1" applyProtection="1">
      <alignment horizontal="center" vertical="center" wrapText="1"/>
      <protection locked="0"/>
    </xf>
    <xf numFmtId="0" fontId="8" fillId="17" borderId="42" xfId="7" applyFont="1" applyFill="1" applyBorder="1" applyAlignment="1" applyProtection="1">
      <alignment horizontal="center" vertical="center" wrapText="1"/>
      <protection locked="0"/>
    </xf>
    <xf numFmtId="0" fontId="35" fillId="0" borderId="56" xfId="7" applyFont="1" applyFill="1" applyBorder="1" applyAlignment="1" applyProtection="1">
      <alignment horizontal="center" vertical="center"/>
    </xf>
    <xf numFmtId="0" fontId="35" fillId="0" borderId="37" xfId="7" applyFont="1" applyFill="1" applyBorder="1" applyAlignment="1" applyProtection="1">
      <alignment horizontal="center" vertical="center"/>
    </xf>
    <xf numFmtId="0" fontId="35" fillId="15" borderId="41" xfId="7" applyFont="1" applyFill="1" applyBorder="1" applyAlignment="1" applyProtection="1">
      <alignment horizontal="center" vertical="center" wrapText="1"/>
    </xf>
    <xf numFmtId="0" fontId="37" fillId="16" borderId="41" xfId="7" applyFont="1" applyFill="1" applyBorder="1" applyAlignment="1" applyProtection="1">
      <alignment horizontal="center" vertical="center" wrapText="1"/>
    </xf>
    <xf numFmtId="0" fontId="37" fillId="0" borderId="43" xfId="7" applyFont="1" applyFill="1" applyBorder="1" applyAlignment="1" applyProtection="1">
      <alignment horizontal="center" vertical="center" wrapText="1"/>
    </xf>
    <xf numFmtId="0" fontId="8" fillId="0" borderId="55" xfId="7" applyFont="1" applyFill="1" applyBorder="1" applyAlignment="1" applyProtection="1">
      <alignment horizontal="center" vertical="center"/>
    </xf>
    <xf numFmtId="0" fontId="41" fillId="0" borderId="37" xfId="7" applyFont="1" applyFill="1" applyBorder="1" applyAlignment="1" applyProtection="1">
      <alignment horizontal="center" vertical="center" wrapText="1"/>
    </xf>
    <xf numFmtId="0" fontId="37" fillId="0" borderId="41" xfId="7" applyFont="1" applyFill="1" applyBorder="1" applyAlignment="1" applyProtection="1">
      <alignment horizontal="center" vertical="center" wrapText="1"/>
    </xf>
    <xf numFmtId="0" fontId="42" fillId="15" borderId="41" xfId="7" applyFont="1" applyFill="1" applyBorder="1" applyAlignment="1" applyProtection="1">
      <alignment horizontal="center" vertical="center" wrapText="1"/>
    </xf>
    <xf numFmtId="0" fontId="41" fillId="0" borderId="41" xfId="7" applyFont="1" applyFill="1" applyBorder="1" applyAlignment="1" applyProtection="1">
      <alignment horizontal="center" vertical="center" wrapText="1"/>
    </xf>
    <xf numFmtId="0" fontId="41" fillId="16" borderId="41" xfId="7" applyFont="1" applyFill="1" applyBorder="1" applyAlignment="1" applyProtection="1">
      <alignment horizontal="center" vertical="center" wrapText="1"/>
    </xf>
    <xf numFmtId="41" fontId="35" fillId="15" borderId="41" xfId="7" applyNumberFormat="1" applyFont="1" applyFill="1" applyBorder="1" applyAlignment="1" applyProtection="1">
      <alignment horizontal="right" vertical="center" wrapText="1"/>
    </xf>
    <xf numFmtId="0" fontId="41" fillId="15" borderId="41" xfId="7" applyFont="1" applyFill="1" applyBorder="1" applyAlignment="1" applyProtection="1">
      <alignment horizontal="center" vertical="center" wrapText="1"/>
    </xf>
    <xf numFmtId="0" fontId="35" fillId="2" borderId="43" xfId="7" applyFont="1" applyFill="1" applyBorder="1" applyAlignment="1" applyProtection="1">
      <alignment horizontal="center" vertical="center" wrapText="1"/>
    </xf>
    <xf numFmtId="0" fontId="37" fillId="0" borderId="31" xfId="7" applyFont="1" applyFill="1" applyBorder="1" applyAlignment="1" applyProtection="1">
      <alignment horizontal="center" vertical="center" wrapText="1"/>
    </xf>
    <xf numFmtId="0" fontId="35" fillId="2" borderId="61" xfId="7" applyFont="1" applyFill="1" applyBorder="1" applyAlignment="1" applyProtection="1">
      <alignment horizontal="center" vertical="center" wrapText="1"/>
    </xf>
    <xf numFmtId="0" fontId="8" fillId="0" borderId="56" xfId="7" applyFont="1" applyFill="1" applyBorder="1" applyAlignment="1" applyProtection="1">
      <alignment horizontal="center" vertical="center" wrapText="1"/>
    </xf>
    <xf numFmtId="0" fontId="37" fillId="0" borderId="37" xfId="7" applyFont="1" applyFill="1" applyBorder="1" applyAlignment="1" applyProtection="1">
      <alignment horizontal="center" vertical="center" wrapText="1"/>
    </xf>
    <xf numFmtId="0" fontId="8" fillId="0" borderId="55" xfId="7" applyFont="1" applyFill="1" applyBorder="1" applyAlignment="1" applyProtection="1">
      <alignment horizontal="center" vertical="center" wrapText="1"/>
    </xf>
    <xf numFmtId="0" fontId="35" fillId="2" borderId="41" xfId="7" applyFont="1" applyFill="1" applyBorder="1" applyAlignment="1" applyProtection="1">
      <alignment horizontal="center" vertical="center" wrapText="1"/>
    </xf>
    <xf numFmtId="0" fontId="8" fillId="0" borderId="41" xfId="7" applyFont="1" applyFill="1" applyBorder="1" applyAlignment="1" applyProtection="1">
      <alignment horizontal="center" vertical="center" wrapText="1"/>
    </xf>
    <xf numFmtId="3" fontId="10" fillId="2" borderId="41" xfId="7" applyNumberFormat="1" applyFont="1" applyFill="1" applyBorder="1" applyAlignment="1" applyProtection="1">
      <alignment vertical="center" wrapText="1"/>
    </xf>
    <xf numFmtId="0" fontId="44" fillId="0" borderId="55" xfId="7" applyFont="1" applyFill="1" applyBorder="1" applyAlignment="1" applyProtection="1">
      <alignment horizontal="center" vertical="center"/>
    </xf>
    <xf numFmtId="0" fontId="8" fillId="16" borderId="59" xfId="7" applyFont="1" applyFill="1" applyBorder="1" applyAlignment="1" applyProtection="1">
      <alignment horizontal="center" vertical="center" wrapText="1"/>
    </xf>
    <xf numFmtId="0" fontId="37" fillId="0" borderId="63" xfId="7" applyFont="1" applyFill="1" applyBorder="1" applyAlignment="1" applyProtection="1">
      <alignment horizontal="center" vertical="center" wrapText="1"/>
    </xf>
    <xf numFmtId="0" fontId="8" fillId="16" borderId="55" xfId="7" applyFont="1" applyFill="1" applyBorder="1" applyAlignment="1" applyProtection="1">
      <alignment horizontal="center" vertical="center" wrapText="1"/>
    </xf>
    <xf numFmtId="0" fontId="8" fillId="16" borderId="41" xfId="7" applyFont="1" applyFill="1" applyBorder="1" applyAlignment="1" applyProtection="1">
      <alignment horizontal="center" vertical="center" wrapText="1"/>
    </xf>
    <xf numFmtId="0" fontId="35" fillId="2" borderId="37" xfId="7" applyFont="1" applyFill="1" applyBorder="1" applyAlignment="1" applyProtection="1">
      <alignment horizontal="center" vertical="center" wrapText="1"/>
    </xf>
    <xf numFmtId="3" fontId="10" fillId="18" borderId="36" xfId="7" applyNumberFormat="1" applyFont="1" applyFill="1" applyBorder="1" applyAlignment="1" applyProtection="1">
      <alignment vertical="center" wrapText="1"/>
    </xf>
    <xf numFmtId="3" fontId="35" fillId="18" borderId="61" xfId="7" applyNumberFormat="1" applyFont="1" applyFill="1" applyBorder="1" applyAlignment="1" applyProtection="1">
      <alignment horizontal="center" vertical="center" wrapText="1"/>
    </xf>
    <xf numFmtId="0" fontId="10" fillId="0" borderId="0" xfId="7" applyFont="1" applyFill="1" applyAlignment="1" applyProtection="1">
      <alignment horizontal="center" vertical="center"/>
      <protection locked="0"/>
    </xf>
    <xf numFmtId="0" fontId="8" fillId="0" borderId="57" xfId="7" applyFont="1" applyFill="1" applyBorder="1" applyAlignment="1" applyProtection="1">
      <alignment horizontal="center" vertical="center"/>
    </xf>
    <xf numFmtId="0" fontId="23" fillId="0" borderId="16" xfId="16" applyFont="1" applyFill="1" applyBorder="1" applyAlignment="1">
      <alignment vertical="center" wrapText="1"/>
    </xf>
    <xf numFmtId="0" fontId="8" fillId="0" borderId="43" xfId="7" applyFont="1" applyFill="1" applyBorder="1" applyAlignment="1" applyProtection="1">
      <alignment horizontal="center" vertical="center" wrapText="1"/>
    </xf>
    <xf numFmtId="0" fontId="23" fillId="0" borderId="23" xfId="16" applyFont="1" applyFill="1" applyBorder="1" applyAlignment="1">
      <alignment vertical="center" wrapText="1"/>
    </xf>
    <xf numFmtId="0" fontId="23" fillId="0" borderId="11" xfId="16" applyFont="1" applyFill="1" applyBorder="1" applyAlignment="1">
      <alignment vertical="center" wrapText="1"/>
    </xf>
    <xf numFmtId="0" fontId="23" fillId="0" borderId="0" xfId="16" applyFont="1" applyFill="1" applyBorder="1" applyAlignment="1">
      <alignment vertical="center" wrapText="1"/>
    </xf>
    <xf numFmtId="0" fontId="40" fillId="0" borderId="41" xfId="7" applyFont="1" applyFill="1" applyBorder="1" applyAlignment="1" applyProtection="1">
      <alignment horizontal="center" vertical="center" wrapText="1"/>
    </xf>
    <xf numFmtId="0" fontId="8" fillId="0" borderId="11" xfId="16" applyFont="1" applyFill="1" applyBorder="1" applyAlignment="1" applyProtection="1">
      <alignment wrapText="1"/>
      <protection locked="0"/>
    </xf>
    <xf numFmtId="4" fontId="8" fillId="0" borderId="11" xfId="7" applyNumberFormat="1" applyFont="1" applyFill="1" applyBorder="1" applyAlignment="1" applyProtection="1">
      <alignment vertical="center" wrapText="1"/>
    </xf>
    <xf numFmtId="0" fontId="23" fillId="16" borderId="11" xfId="16" applyFont="1" applyFill="1" applyBorder="1" applyAlignment="1">
      <alignment vertical="center" wrapText="1"/>
    </xf>
    <xf numFmtId="0" fontId="23" fillId="0" borderId="11" xfId="16" applyFont="1" applyFill="1" applyBorder="1" applyAlignment="1">
      <alignment horizontal="left" vertical="center" wrapText="1"/>
    </xf>
    <xf numFmtId="0" fontId="23" fillId="0" borderId="28" xfId="16" applyFont="1" applyFill="1" applyBorder="1" applyAlignment="1">
      <alignment vertical="center" wrapText="1"/>
    </xf>
    <xf numFmtId="0" fontId="8" fillId="0" borderId="50" xfId="7" applyFont="1" applyFill="1" applyBorder="1" applyAlignment="1" applyProtection="1">
      <alignment horizontal="center" vertical="center" wrapText="1"/>
      <protection locked="0"/>
    </xf>
    <xf numFmtId="0" fontId="47" fillId="0" borderId="17" xfId="7" applyFont="1" applyFill="1" applyBorder="1" applyAlignment="1" applyProtection="1">
      <alignment horizontal="center" vertical="center" wrapText="1"/>
      <protection locked="0"/>
    </xf>
    <xf numFmtId="0" fontId="10" fillId="0" borderId="47" xfId="7" applyFont="1" applyFill="1" applyBorder="1" applyAlignment="1" applyProtection="1">
      <alignment horizontal="center" vertical="center" wrapText="1"/>
      <protection locked="0"/>
    </xf>
    <xf numFmtId="0" fontId="10" fillId="2" borderId="42" xfId="7" applyFont="1" applyFill="1" applyBorder="1" applyAlignment="1" applyProtection="1">
      <alignment horizontal="center" vertical="center" wrapText="1"/>
      <protection locked="0"/>
    </xf>
    <xf numFmtId="0" fontId="10" fillId="0" borderId="42" xfId="7" applyFont="1" applyFill="1" applyBorder="1" applyAlignment="1" applyProtection="1">
      <alignment horizontal="center" vertical="center" wrapText="1"/>
      <protection locked="0"/>
    </xf>
    <xf numFmtId="0" fontId="40" fillId="0" borderId="42" xfId="7" applyFont="1" applyFill="1" applyBorder="1" applyAlignment="1" applyProtection="1">
      <alignment horizontal="center" vertical="center" wrapText="1"/>
      <protection locked="0"/>
    </xf>
    <xf numFmtId="0" fontId="10" fillId="0" borderId="51" xfId="7" applyFont="1" applyFill="1" applyBorder="1" applyAlignment="1" applyProtection="1">
      <alignment horizontal="center" vertical="center" wrapText="1"/>
      <protection locked="0"/>
    </xf>
    <xf numFmtId="0" fontId="23" fillId="0" borderId="16" xfId="16" applyFont="1" applyFill="1" applyBorder="1" applyAlignment="1">
      <alignment horizontal="justify" vertical="center"/>
    </xf>
    <xf numFmtId="0" fontId="10" fillId="0" borderId="22" xfId="7" applyFont="1" applyFill="1" applyBorder="1" applyAlignment="1" applyProtection="1">
      <alignment horizontal="center" vertical="center" wrapText="1"/>
      <protection locked="0"/>
    </xf>
    <xf numFmtId="0" fontId="23" fillId="16" borderId="11" xfId="16" applyFont="1" applyFill="1" applyBorder="1" applyAlignment="1">
      <alignment horizontal="left" vertical="center" wrapText="1"/>
    </xf>
    <xf numFmtId="0" fontId="8" fillId="0" borderId="16" xfId="7" applyFont="1" applyFill="1" applyBorder="1" applyAlignment="1" applyProtection="1">
      <alignment horizontal="left" vertical="center" wrapText="1"/>
    </xf>
    <xf numFmtId="3" fontId="10" fillId="0" borderId="17" xfId="7" applyNumberFormat="1" applyFont="1" applyFill="1" applyBorder="1" applyAlignment="1" applyProtection="1">
      <alignment horizontal="center" vertical="center" wrapText="1"/>
      <protection locked="0"/>
    </xf>
    <xf numFmtId="0" fontId="34" fillId="0" borderId="4" xfId="11" applyFont="1" applyFill="1" applyBorder="1" applyAlignment="1">
      <alignment horizontal="center" vertical="center"/>
    </xf>
    <xf numFmtId="0" fontId="28" fillId="0" borderId="4" xfId="11" applyFont="1" applyFill="1" applyBorder="1" applyAlignment="1">
      <alignment vertical="center" wrapText="1"/>
    </xf>
    <xf numFmtId="3" fontId="34" fillId="0" borderId="4" xfId="11" applyNumberFormat="1" applyFont="1" applyFill="1" applyBorder="1" applyAlignment="1">
      <alignment vertical="center"/>
    </xf>
    <xf numFmtId="0" fontId="34" fillId="0" borderId="0" xfId="11" applyFont="1" applyFill="1" applyAlignment="1">
      <alignment vertical="center"/>
    </xf>
    <xf numFmtId="3" fontId="28" fillId="0" borderId="4" xfId="11" applyNumberFormat="1" applyFont="1" applyBorder="1" applyAlignment="1">
      <alignment vertical="center"/>
    </xf>
    <xf numFmtId="0" fontId="30" fillId="0" borderId="9" xfId="11" applyFont="1" applyBorder="1" applyAlignment="1">
      <alignment horizontal="center" vertical="center"/>
    </xf>
    <xf numFmtId="3" fontId="5" fillId="0" borderId="9" xfId="11" applyNumberFormat="1" applyFont="1" applyBorder="1" applyAlignment="1">
      <alignment vertical="center"/>
    </xf>
    <xf numFmtId="0" fontId="38" fillId="19" borderId="11" xfId="7" applyFont="1" applyFill="1" applyBorder="1" applyAlignment="1" applyProtection="1">
      <alignment horizontal="center" vertical="center" wrapText="1"/>
    </xf>
    <xf numFmtId="3" fontId="38" fillId="19" borderId="11" xfId="7" applyNumberFormat="1" applyFont="1" applyFill="1" applyBorder="1" applyAlignment="1" applyProtection="1">
      <alignment vertical="center" wrapText="1"/>
    </xf>
    <xf numFmtId="0" fontId="38" fillId="19" borderId="11" xfId="7" applyFont="1" applyFill="1" applyBorder="1" applyAlignment="1" applyProtection="1">
      <alignment vertical="center" wrapText="1"/>
    </xf>
    <xf numFmtId="0" fontId="38" fillId="19" borderId="11" xfId="7" applyFont="1" applyFill="1" applyBorder="1" applyAlignment="1" applyProtection="1">
      <alignment horizontal="right" vertical="center" wrapText="1"/>
    </xf>
    <xf numFmtId="0" fontId="38" fillId="19" borderId="11" xfId="7" applyFont="1" applyFill="1" applyBorder="1" applyAlignment="1" applyProtection="1">
      <alignment horizontal="left" vertical="center" wrapText="1"/>
    </xf>
    <xf numFmtId="0" fontId="38" fillId="19" borderId="55" xfId="7" applyFont="1" applyFill="1" applyBorder="1" applyAlignment="1" applyProtection="1">
      <alignment horizontal="center" vertical="center" wrapText="1"/>
    </xf>
    <xf numFmtId="0" fontId="30" fillId="0" borderId="0" xfId="2" applyFont="1"/>
    <xf numFmtId="0" fontId="30" fillId="0" borderId="0" xfId="2" applyFont="1" applyAlignment="1">
      <alignment vertical="center"/>
    </xf>
    <xf numFmtId="0" fontId="31" fillId="0" borderId="0" xfId="2" applyFont="1" applyAlignment="1">
      <alignment vertical="center"/>
    </xf>
    <xf numFmtId="0" fontId="30" fillId="0" borderId="0" xfId="2" applyFont="1" applyAlignment="1">
      <alignment horizontal="center"/>
    </xf>
    <xf numFmtId="0" fontId="10" fillId="2" borderId="15" xfId="7" applyFont="1" applyFill="1" applyBorder="1" applyAlignment="1" applyProtection="1">
      <alignment vertical="center" wrapText="1"/>
    </xf>
    <xf numFmtId="0" fontId="8" fillId="0" borderId="20" xfId="7" applyFont="1" applyFill="1" applyBorder="1" applyAlignment="1" applyProtection="1">
      <alignment horizontal="right" vertical="center" wrapText="1"/>
    </xf>
    <xf numFmtId="0" fontId="8" fillId="0" borderId="44" xfId="7" applyFont="1" applyFill="1" applyBorder="1" applyAlignment="1" applyProtection="1">
      <alignment vertical="center"/>
      <protection locked="0"/>
    </xf>
    <xf numFmtId="0" fontId="10" fillId="2" borderId="30" xfId="7" applyFont="1" applyFill="1" applyBorder="1" applyAlignment="1" applyProtection="1">
      <alignment vertical="center" wrapText="1"/>
    </xf>
    <xf numFmtId="0" fontId="35" fillId="2" borderId="31" xfId="7" applyFont="1" applyFill="1" applyBorder="1" applyAlignment="1" applyProtection="1">
      <alignment horizontal="center" vertical="center" wrapText="1"/>
    </xf>
    <xf numFmtId="0" fontId="8" fillId="0" borderId="67" xfId="7" applyFont="1" applyFill="1" applyBorder="1" applyAlignment="1">
      <alignment vertical="center" wrapText="1"/>
    </xf>
    <xf numFmtId="0" fontId="8" fillId="0" borderId="41" xfId="7" applyFont="1" applyFill="1" applyBorder="1" applyAlignment="1" applyProtection="1">
      <alignment horizontal="right" vertical="center" wrapText="1"/>
    </xf>
    <xf numFmtId="0" fontId="40" fillId="0" borderId="39" xfId="7" applyFont="1" applyFill="1" applyBorder="1" applyAlignment="1" applyProtection="1">
      <alignment horizontal="center" vertical="center" wrapText="1"/>
      <protection locked="0"/>
    </xf>
    <xf numFmtId="41" fontId="10" fillId="2" borderId="12" xfId="7" applyNumberFormat="1" applyFont="1" applyFill="1" applyBorder="1" applyAlignment="1" applyProtection="1">
      <alignment vertical="center" wrapText="1"/>
    </xf>
    <xf numFmtId="0" fontId="8" fillId="0" borderId="58" xfId="7" applyFont="1" applyFill="1" applyBorder="1" applyAlignment="1" applyProtection="1">
      <alignment horizontal="center" vertical="center" wrapText="1"/>
    </xf>
    <xf numFmtId="0" fontId="8" fillId="0" borderId="44" xfId="7" applyFont="1" applyFill="1" applyBorder="1" applyAlignment="1" applyProtection="1">
      <alignment horizontal="center" vertical="center" wrapText="1"/>
    </xf>
    <xf numFmtId="0" fontId="8" fillId="0" borderId="44" xfId="7" applyFont="1" applyFill="1" applyBorder="1" applyAlignment="1" applyProtection="1">
      <alignment horizontal="left" vertical="center" wrapText="1"/>
    </xf>
    <xf numFmtId="3" fontId="8" fillId="0" borderId="44" xfId="7" applyNumberFormat="1" applyFont="1" applyFill="1" applyBorder="1" applyAlignment="1" applyProtection="1">
      <alignment vertical="center" wrapText="1"/>
    </xf>
    <xf numFmtId="0" fontId="8" fillId="0" borderId="44" xfId="7" applyFont="1" applyFill="1" applyBorder="1" applyAlignment="1" applyProtection="1">
      <alignment vertical="center" wrapText="1"/>
    </xf>
    <xf numFmtId="0" fontId="37" fillId="0" borderId="44" xfId="7" applyFont="1" applyFill="1" applyBorder="1" applyAlignment="1" applyProtection="1">
      <alignment horizontal="center" vertical="center" wrapText="1"/>
    </xf>
    <xf numFmtId="0" fontId="8" fillId="0" borderId="22" xfId="7" applyFont="1" applyFill="1" applyBorder="1" applyAlignment="1" applyProtection="1">
      <alignment horizontal="center" vertical="center" wrapText="1"/>
      <protection locked="0"/>
    </xf>
    <xf numFmtId="0" fontId="38" fillId="19" borderId="55" xfId="7" applyFont="1" applyFill="1" applyBorder="1" applyAlignment="1" applyProtection="1">
      <alignment horizontal="center" vertical="center"/>
    </xf>
    <xf numFmtId="0" fontId="38" fillId="19" borderId="11" xfId="16" applyFont="1" applyFill="1" applyBorder="1" applyAlignment="1" applyProtection="1">
      <alignment vertical="center" wrapText="1"/>
      <protection locked="0"/>
    </xf>
    <xf numFmtId="3" fontId="38" fillId="19" borderId="11" xfId="7" applyNumberFormat="1" applyFont="1" applyFill="1" applyBorder="1" applyAlignment="1" applyProtection="1">
      <alignment vertical="center"/>
    </xf>
    <xf numFmtId="0" fontId="46" fillId="19" borderId="11" xfId="7" applyFont="1" applyFill="1" applyBorder="1" applyAlignment="1" applyProtection="1">
      <alignment vertical="center" wrapText="1"/>
    </xf>
    <xf numFmtId="0" fontId="46" fillId="19" borderId="11" xfId="7" applyFont="1" applyFill="1" applyBorder="1" applyAlignment="1" applyProtection="1">
      <alignment horizontal="right" vertical="center" wrapText="1"/>
    </xf>
    <xf numFmtId="0" fontId="46" fillId="19" borderId="41" xfId="7" applyFont="1" applyFill="1" applyBorder="1" applyAlignment="1" applyProtection="1">
      <alignment horizontal="center" vertical="center" wrapText="1"/>
    </xf>
    <xf numFmtId="3" fontId="38" fillId="19" borderId="11" xfId="7" applyNumberFormat="1" applyFont="1" applyFill="1" applyBorder="1" applyAlignment="1" applyProtection="1">
      <alignment horizontal="center" vertical="center"/>
    </xf>
    <xf numFmtId="0" fontId="38" fillId="19" borderId="11" xfId="7" applyNumberFormat="1" applyFont="1" applyFill="1" applyBorder="1" applyAlignment="1" applyProtection="1">
      <alignment horizontal="center" vertical="center"/>
    </xf>
    <xf numFmtId="3" fontId="38" fillId="19" borderId="11" xfId="7" applyNumberFormat="1" applyFont="1" applyFill="1" applyBorder="1" applyAlignment="1" applyProtection="1">
      <alignment horizontal="right" vertical="center" wrapText="1"/>
    </xf>
    <xf numFmtId="0" fontId="49" fillId="19" borderId="41" xfId="7" applyFont="1" applyFill="1" applyBorder="1" applyAlignment="1" applyProtection="1">
      <alignment horizontal="center" vertical="center" wrapText="1"/>
    </xf>
    <xf numFmtId="0" fontId="38" fillId="19" borderId="16" xfId="7" applyFont="1" applyFill="1" applyBorder="1" applyAlignment="1" applyProtection="1">
      <alignment horizontal="center" vertical="center" wrapText="1"/>
    </xf>
    <xf numFmtId="0" fontId="50" fillId="19" borderId="0" xfId="16" applyFont="1" applyFill="1" applyBorder="1" applyAlignment="1">
      <alignment horizontal="left" vertical="center" wrapText="1"/>
    </xf>
    <xf numFmtId="3" fontId="38" fillId="19" borderId="16" xfId="7" applyNumberFormat="1" applyFont="1" applyFill="1" applyBorder="1" applyAlignment="1" applyProtection="1">
      <alignment vertical="center" wrapText="1"/>
    </xf>
    <xf numFmtId="0" fontId="38" fillId="19" borderId="16" xfId="7" applyFont="1" applyFill="1" applyBorder="1" applyAlignment="1" applyProtection="1">
      <alignment vertical="center" wrapText="1"/>
    </xf>
    <xf numFmtId="0" fontId="49" fillId="19" borderId="37" xfId="7" applyFont="1" applyFill="1" applyBorder="1" applyAlignment="1" applyProtection="1">
      <alignment horizontal="center" vertical="center" wrapText="1"/>
    </xf>
    <xf numFmtId="0" fontId="51" fillId="19" borderId="55" xfId="7" applyFont="1" applyFill="1" applyBorder="1" applyAlignment="1" applyProtection="1">
      <alignment horizontal="center" vertical="center"/>
    </xf>
    <xf numFmtId="0" fontId="38" fillId="19" borderId="11" xfId="7" applyFont="1" applyFill="1" applyBorder="1" applyAlignment="1" applyProtection="1">
      <alignment horizontal="center" vertical="center"/>
    </xf>
    <xf numFmtId="0" fontId="38" fillId="19" borderId="11" xfId="7" applyFont="1" applyFill="1" applyBorder="1" applyAlignment="1" applyProtection="1">
      <alignment horizontal="left" vertical="center" wrapText="1"/>
      <protection locked="0"/>
    </xf>
    <xf numFmtId="0" fontId="39" fillId="19" borderId="43" xfId="7" applyFont="1" applyFill="1" applyBorder="1" applyAlignment="1" applyProtection="1">
      <alignment horizontal="center" vertical="center" wrapText="1"/>
    </xf>
    <xf numFmtId="0" fontId="28" fillId="0" borderId="4" xfId="11" applyFont="1" applyBorder="1" applyAlignment="1">
      <alignment horizontal="center" vertical="center"/>
    </xf>
    <xf numFmtId="0" fontId="28" fillId="0" borderId="0" xfId="11" applyFont="1" applyAlignment="1">
      <alignment vertical="center"/>
    </xf>
    <xf numFmtId="0" fontId="26" fillId="10" borderId="8" xfId="19" applyFont="1" applyFill="1" applyBorder="1" applyAlignment="1">
      <alignment horizontal="center" vertical="center" wrapText="1"/>
    </xf>
    <xf numFmtId="0" fontId="26" fillId="10" borderId="8" xfId="19" applyFont="1" applyFill="1" applyBorder="1" applyAlignment="1">
      <alignment horizontal="left" vertical="center" wrapText="1"/>
    </xf>
    <xf numFmtId="39" fontId="26" fillId="10" borderId="8" xfId="19" applyNumberFormat="1" applyFont="1" applyFill="1" applyBorder="1" applyAlignment="1">
      <alignment horizontal="right" vertical="center" wrapText="1"/>
    </xf>
    <xf numFmtId="0" fontId="27" fillId="13" borderId="8" xfId="19" applyFont="1" applyFill="1" applyBorder="1" applyAlignment="1">
      <alignment horizontal="center" vertical="center" wrapText="1"/>
    </xf>
    <xf numFmtId="0" fontId="27" fillId="13" borderId="8" xfId="19" applyFont="1" applyFill="1" applyBorder="1" applyAlignment="1">
      <alignment horizontal="left" vertical="center" wrapText="1"/>
    </xf>
    <xf numFmtId="39" fontId="27" fillId="13" borderId="8" xfId="19" applyNumberFormat="1" applyFont="1" applyFill="1" applyBorder="1" applyAlignment="1">
      <alignment horizontal="right" vertical="center" wrapText="1"/>
    </xf>
    <xf numFmtId="0" fontId="26" fillId="9" borderId="8" xfId="19" applyFont="1" applyFill="1" applyBorder="1" applyAlignment="1">
      <alignment horizontal="center" vertical="center" wrapText="1"/>
    </xf>
    <xf numFmtId="0" fontId="26" fillId="9" borderId="8" xfId="19" applyFont="1" applyFill="1" applyBorder="1" applyAlignment="1">
      <alignment horizontal="left" vertical="center" wrapText="1"/>
    </xf>
    <xf numFmtId="39" fontId="26" fillId="9" borderId="8" xfId="19" applyNumberFormat="1" applyFont="1" applyFill="1" applyBorder="1" applyAlignment="1">
      <alignment horizontal="right" vertical="center" wrapText="1"/>
    </xf>
    <xf numFmtId="0" fontId="26" fillId="10" borderId="0" xfId="19" applyFont="1" applyFill="1" applyAlignment="1">
      <alignment horizontal="left" vertical="top" wrapText="1"/>
    </xf>
    <xf numFmtId="0" fontId="26" fillId="10" borderId="0" xfId="19" applyFont="1" applyFill="1" applyBorder="1" applyAlignment="1">
      <alignment vertical="top" wrapText="1"/>
    </xf>
    <xf numFmtId="0" fontId="26" fillId="10" borderId="0" xfId="24" applyFont="1" applyFill="1" applyAlignment="1">
      <alignment horizontal="left" vertical="top" wrapText="1"/>
    </xf>
    <xf numFmtId="0" fontId="30" fillId="0" borderId="4" xfId="7" applyFont="1" applyBorder="1" applyAlignment="1">
      <alignment vertical="center" wrapText="1"/>
    </xf>
    <xf numFmtId="0" fontId="30" fillId="0" borderId="4" xfId="7" applyFont="1" applyFill="1" applyBorder="1" applyAlignment="1">
      <alignment vertical="center"/>
    </xf>
    <xf numFmtId="3" fontId="30" fillId="0" borderId="4" xfId="7" applyNumberFormat="1" applyFont="1" applyFill="1" applyBorder="1" applyAlignment="1">
      <alignment vertical="center"/>
    </xf>
    <xf numFmtId="0" fontId="30" fillId="0" borderId="4" xfId="7" applyFont="1" applyFill="1" applyBorder="1" applyAlignment="1">
      <alignment horizontal="center" vertical="center" wrapText="1"/>
    </xf>
    <xf numFmtId="0" fontId="30" fillId="0" borderId="4" xfId="7" applyFont="1" applyFill="1" applyBorder="1" applyAlignment="1">
      <alignment vertical="center" wrapText="1"/>
    </xf>
    <xf numFmtId="0" fontId="30" fillId="0" borderId="4" xfId="7" applyFont="1" applyBorder="1" applyAlignment="1">
      <alignment horizontal="center" vertical="center"/>
    </xf>
    <xf numFmtId="0" fontId="30" fillId="0" borderId="4" xfId="7" applyFont="1" applyFill="1" applyBorder="1" applyAlignment="1">
      <alignment horizontal="center" vertical="center"/>
    </xf>
    <xf numFmtId="3" fontId="30" fillId="0" borderId="4" xfId="7" applyNumberFormat="1" applyFont="1" applyFill="1" applyBorder="1" applyAlignment="1">
      <alignment vertical="center" wrapText="1"/>
    </xf>
    <xf numFmtId="0" fontId="34" fillId="0" borderId="4" xfId="7" applyFont="1" applyBorder="1" applyAlignment="1">
      <alignment horizontal="center" vertical="center"/>
    </xf>
    <xf numFmtId="0" fontId="34" fillId="0" borderId="4" xfId="7" applyFont="1" applyFill="1" applyBorder="1" applyAlignment="1">
      <alignment horizontal="center" vertical="center"/>
    </xf>
    <xf numFmtId="0" fontId="34" fillId="0" borderId="4" xfId="7" applyFont="1" applyBorder="1" applyAlignment="1">
      <alignment vertical="center" wrapText="1"/>
    </xf>
    <xf numFmtId="0" fontId="34" fillId="0" borderId="4" xfId="7" applyFont="1" applyFill="1" applyBorder="1" applyAlignment="1">
      <alignment vertical="center" wrapText="1"/>
    </xf>
    <xf numFmtId="1" fontId="30" fillId="0" borderId="4" xfId="7" applyNumberFormat="1" applyFont="1" applyFill="1" applyBorder="1" applyAlignment="1">
      <alignment vertical="center" wrapText="1"/>
    </xf>
    <xf numFmtId="3" fontId="31" fillId="2" borderId="4" xfId="7" applyNumberFormat="1" applyFont="1" applyFill="1" applyBorder="1" applyAlignment="1">
      <alignment vertical="center"/>
    </xf>
    <xf numFmtId="0" fontId="30" fillId="0" borderId="4" xfId="7" applyFont="1" applyBorder="1" applyAlignment="1">
      <alignment horizontal="center" vertical="center" wrapText="1"/>
    </xf>
    <xf numFmtId="3" fontId="30" fillId="0" borderId="4" xfId="7" applyNumberFormat="1" applyFont="1" applyFill="1" applyBorder="1" applyAlignment="1">
      <alignment horizontal="right" vertical="center"/>
    </xf>
    <xf numFmtId="0" fontId="30" fillId="0" borderId="4" xfId="11" applyFont="1" applyFill="1" applyBorder="1" applyAlignment="1">
      <alignment vertical="center" wrapText="1"/>
    </xf>
    <xf numFmtId="0" fontId="34" fillId="0" borderId="4" xfId="7" applyFont="1" applyFill="1" applyBorder="1" applyAlignment="1">
      <alignment vertical="center"/>
    </xf>
    <xf numFmtId="3" fontId="34" fillId="0" borderId="4" xfId="7" applyNumberFormat="1" applyFont="1" applyFill="1" applyBorder="1" applyAlignment="1">
      <alignment vertical="center"/>
    </xf>
    <xf numFmtId="0" fontId="30" fillId="0" borderId="4" xfId="7" applyFont="1" applyFill="1" applyBorder="1" applyAlignment="1">
      <alignment horizontal="right" vertical="center"/>
    </xf>
    <xf numFmtId="0" fontId="30" fillId="0" borderId="4" xfId="7" applyFont="1" applyBorder="1" applyAlignment="1">
      <alignment horizontal="left" vertical="center" wrapText="1"/>
    </xf>
    <xf numFmtId="3" fontId="30" fillId="0" borderId="4" xfId="7" applyNumberFormat="1" applyFont="1" applyFill="1" applyBorder="1" applyAlignment="1">
      <alignment horizontal="right" vertical="center" wrapText="1"/>
    </xf>
    <xf numFmtId="0" fontId="30" fillId="0" borderId="0" xfId="7" applyFont="1" applyAlignment="1">
      <alignment vertical="center"/>
    </xf>
    <xf numFmtId="3" fontId="30" fillId="0" borderId="0" xfId="7" applyNumberFormat="1" applyFont="1" applyAlignment="1">
      <alignment vertical="center"/>
    </xf>
    <xf numFmtId="0" fontId="30" fillId="0" borderId="0" xfId="7" applyFont="1" applyAlignment="1">
      <alignment horizontal="center" vertical="center"/>
    </xf>
    <xf numFmtId="0" fontId="30" fillId="0" borderId="0" xfId="7" applyFont="1" applyFill="1" applyAlignment="1">
      <alignment vertical="center"/>
    </xf>
    <xf numFmtId="0" fontId="34" fillId="0" borderId="4" xfId="11" applyFont="1" applyFill="1" applyBorder="1" applyAlignment="1">
      <alignment vertical="center" wrapText="1"/>
    </xf>
    <xf numFmtId="0" fontId="34" fillId="0" borderId="0" xfId="7" applyFont="1" applyFill="1" applyAlignment="1">
      <alignment vertical="center"/>
    </xf>
    <xf numFmtId="0" fontId="34" fillId="0" borderId="0" xfId="7" applyFont="1" applyAlignment="1">
      <alignment vertical="center"/>
    </xf>
    <xf numFmtId="0" fontId="30" fillId="0" borderId="0" xfId="7" applyFont="1"/>
    <xf numFmtId="0" fontId="30" fillId="0" borderId="65" xfId="7" applyFont="1" applyBorder="1" applyAlignment="1">
      <alignment horizontal="center" vertical="center"/>
    </xf>
    <xf numFmtId="0" fontId="30" fillId="0" borderId="65" xfId="7" applyFont="1" applyBorder="1" applyAlignment="1">
      <alignment vertical="center" wrapText="1"/>
    </xf>
    <xf numFmtId="3" fontId="30" fillId="0" borderId="65" xfId="7" applyNumberFormat="1" applyFont="1" applyFill="1" applyBorder="1" applyAlignment="1">
      <alignment vertical="center" wrapText="1"/>
    </xf>
    <xf numFmtId="0" fontId="30" fillId="0" borderId="65" xfId="7" applyFont="1" applyFill="1" applyBorder="1" applyAlignment="1">
      <alignment vertical="center" wrapText="1"/>
    </xf>
    <xf numFmtId="0" fontId="30" fillId="0" borderId="0" xfId="7" applyFont="1" applyAlignment="1">
      <alignment vertical="center" wrapText="1"/>
    </xf>
    <xf numFmtId="3" fontId="34" fillId="0" borderId="4" xfId="7" applyNumberFormat="1" applyFont="1" applyFill="1" applyBorder="1" applyAlignment="1">
      <alignment horizontal="right" vertical="center" wrapText="1"/>
    </xf>
    <xf numFmtId="0" fontId="34" fillId="0" borderId="0" xfId="7" applyFont="1" applyAlignment="1">
      <alignment vertical="center" wrapText="1"/>
    </xf>
    <xf numFmtId="0" fontId="31" fillId="20" borderId="67" xfId="2" applyFont="1" applyFill="1" applyBorder="1" applyAlignment="1">
      <alignment horizontal="center" vertical="center"/>
    </xf>
    <xf numFmtId="0" fontId="31" fillId="21" borderId="67" xfId="2" applyFont="1" applyFill="1" applyBorder="1" applyAlignment="1">
      <alignment horizontal="center" vertical="center"/>
    </xf>
    <xf numFmtId="0" fontId="31" fillId="21" borderId="67" xfId="2" applyFont="1" applyFill="1" applyBorder="1" applyAlignment="1">
      <alignment vertical="center" wrapText="1"/>
    </xf>
    <xf numFmtId="3" fontId="31" fillId="21" borderId="67" xfId="2" applyNumberFormat="1" applyFont="1" applyFill="1" applyBorder="1" applyAlignment="1">
      <alignment vertical="center"/>
    </xf>
    <xf numFmtId="49" fontId="31" fillId="19" borderId="67" xfId="2" applyNumberFormat="1" applyFont="1" applyFill="1" applyBorder="1" applyAlignment="1">
      <alignment horizontal="center" vertical="center"/>
    </xf>
    <xf numFmtId="0" fontId="31" fillId="19" borderId="67" xfId="2" applyFont="1" applyFill="1" applyBorder="1" applyAlignment="1">
      <alignment horizontal="center" vertical="center"/>
    </xf>
    <xf numFmtId="0" fontId="31" fillId="19" borderId="67" xfId="2" applyFont="1" applyFill="1" applyBorder="1" applyAlignment="1">
      <alignment vertical="center" wrapText="1"/>
    </xf>
    <xf numFmtId="3" fontId="31" fillId="19" borderId="67" xfId="2" applyNumberFormat="1" applyFont="1" applyFill="1" applyBorder="1" applyAlignment="1">
      <alignment vertical="center"/>
    </xf>
    <xf numFmtId="0" fontId="28" fillId="0" borderId="67" xfId="7" applyFont="1" applyBorder="1" applyAlignment="1">
      <alignment vertical="center" wrapText="1"/>
    </xf>
    <xf numFmtId="0" fontId="6" fillId="19" borderId="67" xfId="2" applyFont="1" applyFill="1" applyBorder="1" applyAlignment="1">
      <alignment vertical="center" wrapText="1"/>
    </xf>
    <xf numFmtId="0" fontId="28" fillId="0" borderId="67" xfId="2" applyFont="1" applyBorder="1" applyAlignment="1">
      <alignment horizontal="center" vertical="center"/>
    </xf>
    <xf numFmtId="49" fontId="28" fillId="0" borderId="67" xfId="2" applyNumberFormat="1" applyFont="1" applyBorder="1" applyAlignment="1">
      <alignment horizontal="center" vertical="center"/>
    </xf>
    <xf numFmtId="3" fontId="28" fillId="0" borderId="67" xfId="2" applyNumberFormat="1" applyFont="1" applyBorder="1" applyAlignment="1">
      <alignment vertical="center"/>
    </xf>
    <xf numFmtId="0" fontId="28" fillId="0" borderId="0" xfId="2" applyFont="1" applyAlignment="1">
      <alignment vertical="center"/>
    </xf>
    <xf numFmtId="0" fontId="6" fillId="19" borderId="67" xfId="2" applyFont="1" applyFill="1" applyBorder="1" applyAlignment="1">
      <alignment horizontal="center" vertical="center"/>
    </xf>
    <xf numFmtId="49" fontId="6" fillId="19" borderId="67" xfId="2" applyNumberFormat="1" applyFont="1" applyFill="1" applyBorder="1" applyAlignment="1">
      <alignment horizontal="center" vertical="center"/>
    </xf>
    <xf numFmtId="0" fontId="6" fillId="19" borderId="67" xfId="7" applyFont="1" applyFill="1" applyBorder="1" applyAlignment="1">
      <alignment vertical="center" wrapText="1"/>
    </xf>
    <xf numFmtId="3" fontId="6" fillId="19" borderId="67" xfId="2" applyNumberFormat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28" fillId="19" borderId="67" xfId="2" applyFont="1" applyFill="1" applyBorder="1" applyAlignment="1">
      <alignment horizontal="center" vertical="center"/>
    </xf>
    <xf numFmtId="49" fontId="28" fillId="19" borderId="67" xfId="2" applyNumberFormat="1" applyFont="1" applyFill="1" applyBorder="1" applyAlignment="1">
      <alignment horizontal="center" vertical="center"/>
    </xf>
    <xf numFmtId="0" fontId="28" fillId="19" borderId="67" xfId="7" applyFont="1" applyFill="1" applyBorder="1" applyAlignment="1">
      <alignment vertical="center" wrapText="1"/>
    </xf>
    <xf numFmtId="3" fontId="28" fillId="19" borderId="67" xfId="2" applyNumberFormat="1" applyFont="1" applyFill="1" applyBorder="1" applyAlignment="1">
      <alignment vertical="center"/>
    </xf>
    <xf numFmtId="4" fontId="6" fillId="19" borderId="67" xfId="25" applyNumberFormat="1" applyFont="1" applyFill="1" applyBorder="1" applyAlignment="1">
      <alignment vertical="center" wrapText="1"/>
    </xf>
    <xf numFmtId="3" fontId="30" fillId="0" borderId="0" xfId="2" applyNumberFormat="1" applyFont="1"/>
    <xf numFmtId="0" fontId="30" fillId="3" borderId="67" xfId="2" applyFont="1" applyFill="1" applyBorder="1" applyAlignment="1">
      <alignment horizontal="center" vertical="center"/>
    </xf>
    <xf numFmtId="0" fontId="30" fillId="3" borderId="67" xfId="2" applyFont="1" applyFill="1" applyBorder="1" applyAlignment="1">
      <alignment vertical="center" wrapText="1"/>
    </xf>
    <xf numFmtId="3" fontId="30" fillId="3" borderId="67" xfId="2" applyNumberFormat="1" applyFont="1" applyFill="1" applyBorder="1" applyAlignment="1">
      <alignment vertical="center"/>
    </xf>
    <xf numFmtId="0" fontId="30" fillId="0" borderId="67" xfId="2" applyFont="1" applyBorder="1" applyAlignment="1">
      <alignment horizontal="center" vertical="center"/>
    </xf>
    <xf numFmtId="49" fontId="30" fillId="0" borderId="67" xfId="2" applyNumberFormat="1" applyFont="1" applyBorder="1" applyAlignment="1">
      <alignment horizontal="center" vertical="center"/>
    </xf>
    <xf numFmtId="0" fontId="30" fillId="0" borderId="67" xfId="2" applyFont="1" applyBorder="1" applyAlignment="1">
      <alignment vertical="center" wrapText="1"/>
    </xf>
    <xf numFmtId="3" fontId="30" fillId="16" borderId="67" xfId="2" applyNumberFormat="1" applyFont="1" applyFill="1" applyBorder="1" applyAlignment="1">
      <alignment vertical="center"/>
    </xf>
    <xf numFmtId="3" fontId="30" fillId="0" borderId="67" xfId="2" applyNumberFormat="1" applyFont="1" applyBorder="1" applyAlignment="1">
      <alignment vertical="center"/>
    </xf>
    <xf numFmtId="49" fontId="30" fillId="3" borderId="67" xfId="2" applyNumberFormat="1" applyFont="1" applyFill="1" applyBorder="1" applyAlignment="1">
      <alignment horizontal="center" vertical="center"/>
    </xf>
    <xf numFmtId="0" fontId="5" fillId="0" borderId="67" xfId="7" applyFont="1" applyBorder="1" applyAlignment="1">
      <alignment vertical="center" wrapText="1"/>
    </xf>
    <xf numFmtId="4" fontId="5" fillId="3" borderId="67" xfId="25" applyNumberFormat="1" applyFont="1" applyFill="1" applyBorder="1" applyAlignment="1">
      <alignment vertical="center" wrapText="1"/>
    </xf>
    <xf numFmtId="49" fontId="30" fillId="0" borderId="67" xfId="2" applyNumberFormat="1" applyFont="1" applyFill="1" applyBorder="1" applyAlignment="1">
      <alignment horizontal="center" vertical="center"/>
    </xf>
    <xf numFmtId="0" fontId="30" fillId="0" borderId="67" xfId="2" applyFont="1" applyFill="1" applyBorder="1" applyAlignment="1">
      <alignment horizontal="center" vertical="center"/>
    </xf>
    <xf numFmtId="0" fontId="5" fillId="0" borderId="67" xfId="2" applyFont="1" applyFill="1" applyBorder="1" applyAlignment="1">
      <alignment vertical="center" wrapText="1"/>
    </xf>
    <xf numFmtId="3" fontId="30" fillId="0" borderId="67" xfId="2" applyNumberFormat="1" applyFont="1" applyFill="1" applyBorder="1" applyAlignment="1">
      <alignment vertical="center"/>
    </xf>
    <xf numFmtId="0" fontId="30" fillId="0" borderId="0" xfId="2" applyFont="1" applyFill="1" applyAlignment="1">
      <alignment vertical="center"/>
    </xf>
    <xf numFmtId="0" fontId="5" fillId="3" borderId="67" xfId="11" applyFont="1" applyFill="1" applyBorder="1" applyAlignment="1">
      <alignment vertical="center" wrapText="1"/>
    </xf>
    <xf numFmtId="0" fontId="5" fillId="0" borderId="67" xfId="2" applyFont="1" applyBorder="1" applyAlignment="1">
      <alignment horizontal="center" vertical="center"/>
    </xf>
    <xf numFmtId="49" fontId="5" fillId="0" borderId="67" xfId="2" applyNumberFormat="1" applyFont="1" applyBorder="1" applyAlignment="1">
      <alignment horizontal="center" vertical="center"/>
    </xf>
    <xf numFmtId="3" fontId="5" fillId="0" borderId="67" xfId="2" applyNumberFormat="1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3" borderId="67" xfId="2" applyFont="1" applyFill="1" applyBorder="1" applyAlignment="1">
      <alignment horizontal="center" vertical="center"/>
    </xf>
    <xf numFmtId="49" fontId="5" fillId="3" borderId="67" xfId="2" applyNumberFormat="1" applyFont="1" applyFill="1" applyBorder="1" applyAlignment="1">
      <alignment horizontal="center" vertical="center"/>
    </xf>
    <xf numFmtId="0" fontId="5" fillId="3" borderId="67" xfId="7" applyFont="1" applyFill="1" applyBorder="1" applyAlignment="1">
      <alignment vertical="center" wrapText="1"/>
    </xf>
    <xf numFmtId="3" fontId="5" fillId="3" borderId="67" xfId="2" applyNumberFormat="1" applyFont="1" applyFill="1" applyBorder="1" applyAlignment="1">
      <alignment vertical="center"/>
    </xf>
    <xf numFmtId="0" fontId="5" fillId="0" borderId="67" xfId="7" applyFont="1" applyFill="1" applyBorder="1" applyAlignment="1" applyProtection="1">
      <alignment horizontal="left" vertical="center" wrapText="1"/>
    </xf>
    <xf numFmtId="0" fontId="5" fillId="0" borderId="67" xfId="2" applyFont="1" applyFill="1" applyBorder="1" applyAlignment="1">
      <alignment horizontal="center" vertical="center"/>
    </xf>
    <xf numFmtId="49" fontId="5" fillId="0" borderId="67" xfId="2" applyNumberFormat="1" applyFont="1" applyFill="1" applyBorder="1" applyAlignment="1">
      <alignment horizontal="center" vertical="center"/>
    </xf>
    <xf numFmtId="4" fontId="5" fillId="0" borderId="67" xfId="25" applyNumberFormat="1" applyFont="1" applyFill="1" applyBorder="1" applyAlignment="1">
      <alignment vertical="center" wrapText="1"/>
    </xf>
    <xf numFmtId="3" fontId="5" fillId="0" borderId="67" xfId="2" applyNumberFormat="1" applyFont="1" applyFill="1" applyBorder="1" applyAlignment="1">
      <alignment vertical="center"/>
    </xf>
    <xf numFmtId="0" fontId="9" fillId="0" borderId="0" xfId="7" applyFont="1" applyBorder="1" applyAlignment="1" applyProtection="1">
      <alignment horizontal="center"/>
    </xf>
    <xf numFmtId="0" fontId="8" fillId="2" borderId="18" xfId="7" applyFont="1" applyFill="1" applyBorder="1" applyAlignment="1" applyProtection="1">
      <alignment horizontal="center" vertical="center"/>
    </xf>
    <xf numFmtId="0" fontId="8" fillId="2" borderId="55" xfId="7" applyFont="1" applyFill="1" applyBorder="1" applyAlignment="1" applyProtection="1">
      <alignment horizontal="center" vertical="center"/>
    </xf>
    <xf numFmtId="0" fontId="8" fillId="2" borderId="30" xfId="7" applyFont="1" applyFill="1" applyBorder="1" applyAlignment="1" applyProtection="1">
      <alignment horizontal="center" vertical="center" wrapText="1"/>
    </xf>
    <xf numFmtId="0" fontId="8" fillId="2" borderId="11" xfId="7" applyFont="1" applyFill="1" applyBorder="1" applyAlignment="1" applyProtection="1">
      <alignment horizontal="center" vertical="center" wrapText="1"/>
    </xf>
    <xf numFmtId="0" fontId="8" fillId="14" borderId="30" xfId="7" applyFont="1" applyFill="1" applyBorder="1" applyAlignment="1" applyProtection="1">
      <alignment horizontal="center" vertical="center" wrapText="1"/>
    </xf>
    <xf numFmtId="0" fontId="8" fillId="14" borderId="11" xfId="7" applyFont="1" applyFill="1" applyBorder="1" applyAlignment="1" applyProtection="1">
      <alignment horizontal="center" vertical="center" wrapText="1"/>
    </xf>
    <xf numFmtId="0" fontId="8" fillId="14" borderId="26" xfId="7" applyFont="1" applyFill="1" applyBorder="1" applyAlignment="1" applyProtection="1">
      <alignment horizontal="center" vertical="center" wrapText="1"/>
    </xf>
    <xf numFmtId="0" fontId="8" fillId="14" borderId="15" xfId="7" applyFont="1" applyFill="1" applyBorder="1" applyAlignment="1" applyProtection="1">
      <alignment horizontal="center" vertical="center" wrapText="1"/>
    </xf>
    <xf numFmtId="0" fontId="10" fillId="14" borderId="30" xfId="7" applyFont="1" applyFill="1" applyBorder="1" applyAlignment="1" applyProtection="1">
      <alignment horizontal="center" vertical="center" wrapText="1"/>
    </xf>
    <xf numFmtId="0" fontId="10" fillId="14" borderId="11" xfId="7" applyFont="1" applyFill="1" applyBorder="1" applyAlignment="1" applyProtection="1">
      <alignment horizontal="center" vertical="center" wrapText="1"/>
    </xf>
    <xf numFmtId="0" fontId="10" fillId="14" borderId="52" xfId="7" applyFont="1" applyFill="1" applyBorder="1" applyAlignment="1" applyProtection="1">
      <alignment horizontal="center" vertical="center" wrapText="1"/>
    </xf>
    <xf numFmtId="0" fontId="10" fillId="14" borderId="53" xfId="7" applyFont="1" applyFill="1" applyBorder="1" applyAlignment="1" applyProtection="1">
      <alignment horizontal="center" vertical="center" wrapText="1"/>
    </xf>
    <xf numFmtId="0" fontId="10" fillId="14" borderId="54" xfId="7" applyFont="1" applyFill="1" applyBorder="1" applyAlignment="1" applyProtection="1">
      <alignment horizontal="center" vertical="center" wrapText="1"/>
    </xf>
    <xf numFmtId="0" fontId="10" fillId="14" borderId="37" xfId="7" applyFont="1" applyFill="1" applyBorder="1" applyAlignment="1" applyProtection="1">
      <alignment horizontal="center" vertical="center" wrapText="1"/>
    </xf>
    <xf numFmtId="0" fontId="10" fillId="2" borderId="32" xfId="7" applyFont="1" applyFill="1" applyBorder="1" applyAlignment="1" applyProtection="1">
      <alignment horizontal="center" vertical="center" wrapText="1"/>
    </xf>
    <xf numFmtId="0" fontId="10" fillId="2" borderId="33" xfId="7" applyFont="1" applyFill="1" applyBorder="1" applyAlignment="1" applyProtection="1">
      <alignment horizontal="center" vertical="center" wrapText="1"/>
    </xf>
    <xf numFmtId="0" fontId="10" fillId="2" borderId="34" xfId="7" applyFont="1" applyFill="1" applyBorder="1" applyAlignment="1" applyProtection="1">
      <alignment horizontal="center" vertical="center" wrapText="1"/>
    </xf>
    <xf numFmtId="0" fontId="10" fillId="2" borderId="39" xfId="7" applyFont="1" applyFill="1" applyBorder="1" applyAlignment="1" applyProtection="1">
      <alignment horizontal="center" vertical="center" wrapText="1"/>
      <protection locked="0"/>
    </xf>
    <xf numFmtId="0" fontId="10" fillId="2" borderId="22" xfId="7" applyFont="1" applyFill="1" applyBorder="1" applyAlignment="1" applyProtection="1">
      <alignment horizontal="center" vertical="center" wrapText="1"/>
      <protection locked="0"/>
    </xf>
    <xf numFmtId="0" fontId="16" fillId="15" borderId="55" xfId="7" applyFont="1" applyFill="1" applyBorder="1" applyAlignment="1" applyProtection="1">
      <alignment horizontal="center" vertical="center"/>
    </xf>
    <xf numFmtId="0" fontId="16" fillId="15" borderId="11" xfId="7" applyFont="1" applyFill="1" applyBorder="1" applyAlignment="1" applyProtection="1">
      <alignment horizontal="center" vertical="center"/>
    </xf>
    <xf numFmtId="0" fontId="16" fillId="15" borderId="58" xfId="7" applyFont="1" applyFill="1" applyBorder="1" applyAlignment="1" applyProtection="1">
      <alignment horizontal="center" vertical="center" wrapText="1"/>
    </xf>
    <xf numFmtId="0" fontId="16" fillId="15" borderId="21" xfId="7" applyFont="1" applyFill="1" applyBorder="1" applyAlignment="1" applyProtection="1">
      <alignment horizontal="center" vertical="center" wrapText="1"/>
    </xf>
    <xf numFmtId="0" fontId="16" fillId="15" borderId="22" xfId="7" applyFont="1" applyFill="1" applyBorder="1" applyAlignment="1" applyProtection="1">
      <alignment horizontal="center" vertical="center" wrapText="1"/>
    </xf>
    <xf numFmtId="0" fontId="16" fillId="15" borderId="59" xfId="7" applyFont="1" applyFill="1" applyBorder="1" applyAlignment="1" applyProtection="1">
      <alignment horizontal="center" vertical="center"/>
    </xf>
    <xf numFmtId="0" fontId="16" fillId="15" borderId="14" xfId="7" applyFont="1" applyFill="1" applyBorder="1" applyAlignment="1" applyProtection="1">
      <alignment horizontal="center" vertical="center"/>
    </xf>
    <xf numFmtId="0" fontId="16" fillId="15" borderId="17" xfId="7" applyFont="1" applyFill="1" applyBorder="1" applyAlignment="1" applyProtection="1">
      <alignment horizontal="center" vertical="center"/>
    </xf>
    <xf numFmtId="0" fontId="10" fillId="2" borderId="60" xfId="7" applyFont="1" applyFill="1" applyBorder="1" applyAlignment="1" applyProtection="1">
      <alignment horizontal="center" vertical="center" wrapText="1"/>
    </xf>
    <xf numFmtId="0" fontId="10" fillId="2" borderId="12" xfId="7" applyFont="1" applyFill="1" applyBorder="1" applyAlignment="1" applyProtection="1">
      <alignment horizontal="center" vertical="center" wrapText="1"/>
    </xf>
    <xf numFmtId="0" fontId="10" fillId="2" borderId="55" xfId="7" applyFont="1" applyFill="1" applyBorder="1" applyAlignment="1" applyProtection="1">
      <alignment horizontal="center" vertical="center" wrapText="1"/>
    </xf>
    <xf numFmtId="0" fontId="10" fillId="2" borderId="11" xfId="7" applyFont="1" applyFill="1" applyBorder="1" applyAlignment="1" applyProtection="1">
      <alignment horizontal="center" vertical="center" wrapText="1"/>
    </xf>
    <xf numFmtId="0" fontId="10" fillId="2" borderId="62" xfId="7" applyFont="1" applyFill="1" applyBorder="1" applyAlignment="1" applyProtection="1">
      <alignment horizontal="center" vertical="center" wrapText="1"/>
    </xf>
    <xf numFmtId="0" fontId="10" fillId="2" borderId="38" xfId="7" applyFont="1" applyFill="1" applyBorder="1" applyAlignment="1" applyProtection="1">
      <alignment horizontal="center" vertical="center" wrapText="1"/>
    </xf>
    <xf numFmtId="0" fontId="10" fillId="2" borderId="39" xfId="7" applyFont="1" applyFill="1" applyBorder="1" applyAlignment="1" applyProtection="1">
      <alignment horizontal="center" vertical="center" wrapText="1"/>
    </xf>
    <xf numFmtId="0" fontId="10" fillId="2" borderId="40" xfId="7" applyFont="1" applyFill="1" applyBorder="1" applyAlignment="1" applyProtection="1">
      <alignment horizontal="center" vertical="center" wrapText="1"/>
    </xf>
    <xf numFmtId="0" fontId="10" fillId="2" borderId="58" xfId="7" applyFont="1" applyFill="1" applyBorder="1" applyAlignment="1" applyProtection="1">
      <alignment horizontal="center" vertical="center" wrapText="1"/>
    </xf>
    <xf numFmtId="0" fontId="10" fillId="2" borderId="21" xfId="7" applyFont="1" applyFill="1" applyBorder="1" applyAlignment="1" applyProtection="1">
      <alignment horizontal="center" vertical="center" wrapText="1"/>
    </xf>
    <xf numFmtId="0" fontId="10" fillId="2" borderId="0" xfId="7" applyFont="1" applyFill="1" applyBorder="1" applyAlignment="1" applyProtection="1">
      <alignment horizontal="center" vertical="center" wrapText="1"/>
    </xf>
    <xf numFmtId="0" fontId="10" fillId="2" borderId="59" xfId="7" applyFont="1" applyFill="1" applyBorder="1" applyAlignment="1" applyProtection="1">
      <alignment horizontal="center" vertical="center" wrapText="1"/>
    </xf>
    <xf numFmtId="0" fontId="10" fillId="2" borderId="14" xfId="7" applyFont="1" applyFill="1" applyBorder="1" applyAlignment="1" applyProtection="1">
      <alignment horizontal="center" vertical="center" wrapText="1"/>
    </xf>
    <xf numFmtId="0" fontId="10" fillId="2" borderId="17" xfId="7" applyFont="1" applyFill="1" applyBorder="1" applyAlignment="1" applyProtection="1">
      <alignment horizontal="center" vertical="center" wrapText="1"/>
    </xf>
    <xf numFmtId="0" fontId="10" fillId="2" borderId="66" xfId="7" applyFont="1" applyFill="1" applyBorder="1" applyAlignment="1" applyProtection="1">
      <alignment horizontal="center" vertical="center" wrapText="1"/>
    </xf>
    <xf numFmtId="0" fontId="10" fillId="2" borderId="53" xfId="7" applyFont="1" applyFill="1" applyBorder="1" applyAlignment="1" applyProtection="1">
      <alignment horizontal="center" vertical="center" wrapText="1"/>
    </xf>
    <xf numFmtId="0" fontId="10" fillId="2" borderId="29" xfId="7" applyFont="1" applyFill="1" applyBorder="1" applyAlignment="1" applyProtection="1">
      <alignment horizontal="center" vertical="center" wrapText="1"/>
    </xf>
    <xf numFmtId="0" fontId="10" fillId="2" borderId="57" xfId="7" applyFont="1" applyFill="1" applyBorder="1" applyAlignment="1" applyProtection="1">
      <alignment horizontal="center" vertical="center" wrapText="1"/>
    </xf>
    <xf numFmtId="165" fontId="9" fillId="18" borderId="64" xfId="8" applyNumberFormat="1" applyFont="1" applyFill="1" applyBorder="1" applyAlignment="1" applyProtection="1">
      <alignment horizontal="center" vertical="center" wrapText="1"/>
    </xf>
    <xf numFmtId="165" fontId="9" fillId="18" borderId="46" xfId="8" applyNumberFormat="1" applyFont="1" applyFill="1" applyBorder="1" applyAlignment="1" applyProtection="1">
      <alignment horizontal="center" vertical="center" wrapText="1"/>
    </xf>
    <xf numFmtId="165" fontId="9" fillId="18" borderId="35" xfId="8" applyNumberFormat="1" applyFont="1" applyFill="1" applyBorder="1" applyAlignment="1" applyProtection="1">
      <alignment horizontal="center" vertical="center" wrapText="1"/>
    </xf>
    <xf numFmtId="0" fontId="10" fillId="2" borderId="16" xfId="7" applyFont="1" applyFill="1" applyBorder="1" applyAlignment="1" applyProtection="1">
      <alignment horizontal="center" vertical="center" wrapText="1"/>
    </xf>
    <xf numFmtId="0" fontId="10" fillId="2" borderId="64" xfId="7" applyFont="1" applyFill="1" applyBorder="1" applyAlignment="1" applyProtection="1">
      <alignment horizontal="center" vertical="center" wrapText="1"/>
    </xf>
    <xf numFmtId="0" fontId="10" fillId="2" borderId="46" xfId="7" applyFont="1" applyFill="1" applyBorder="1" applyAlignment="1" applyProtection="1">
      <alignment horizontal="center" vertical="center" wrapText="1"/>
    </xf>
    <xf numFmtId="0" fontId="10" fillId="2" borderId="35" xfId="7" applyFont="1" applyFill="1" applyBorder="1" applyAlignment="1" applyProtection="1">
      <alignment horizontal="center" vertical="center" wrapText="1"/>
    </xf>
    <xf numFmtId="0" fontId="9" fillId="0" borderId="0" xfId="9" applyFont="1" applyAlignment="1">
      <alignment horizontal="center" vertical="center"/>
    </xf>
    <xf numFmtId="0" fontId="10" fillId="4" borderId="5" xfId="9" applyFont="1" applyFill="1" applyBorder="1" applyAlignment="1">
      <alignment horizontal="center" vertical="center"/>
    </xf>
    <xf numFmtId="0" fontId="10" fillId="4" borderId="2" xfId="9" applyFont="1" applyFill="1" applyBorder="1" applyAlignment="1">
      <alignment horizontal="center" vertical="center"/>
    </xf>
    <xf numFmtId="49" fontId="25" fillId="0" borderId="0" xfId="10" applyNumberFormat="1" applyFont="1" applyAlignment="1">
      <alignment horizontal="center" vertical="center" wrapText="1"/>
    </xf>
    <xf numFmtId="0" fontId="27" fillId="13" borderId="8" xfId="19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25" fillId="0" borderId="0" xfId="11" applyFont="1" applyAlignment="1">
      <alignment horizontal="center" vertical="center" wrapText="1"/>
    </xf>
    <xf numFmtId="0" fontId="31" fillId="11" borderId="5" xfId="11" applyFont="1" applyFill="1" applyBorder="1" applyAlignment="1">
      <alignment horizontal="center" vertical="center" wrapText="1"/>
    </xf>
    <xf numFmtId="0" fontId="31" fillId="11" borderId="10" xfId="11" applyFont="1" applyFill="1" applyBorder="1" applyAlignment="1">
      <alignment horizontal="center" vertical="center" wrapText="1"/>
    </xf>
    <xf numFmtId="0" fontId="31" fillId="11" borderId="2" xfId="11" applyFont="1" applyFill="1" applyBorder="1" applyAlignment="1">
      <alignment horizontal="center" vertical="center" wrapText="1"/>
    </xf>
    <xf numFmtId="0" fontId="31" fillId="19" borderId="67" xfId="2" applyFont="1" applyFill="1" applyBorder="1" applyAlignment="1">
      <alignment horizontal="center" vertical="center" wrapText="1"/>
    </xf>
    <xf numFmtId="0" fontId="16" fillId="0" borderId="0" xfId="7" applyFont="1" applyAlignment="1">
      <alignment horizontal="center" vertical="center" wrapText="1"/>
    </xf>
    <xf numFmtId="0" fontId="6" fillId="2" borderId="4" xfId="7" applyFont="1" applyFill="1" applyBorder="1" applyAlignment="1">
      <alignment horizontal="center" vertical="center"/>
    </xf>
    <xf numFmtId="0" fontId="6" fillId="3" borderId="4" xfId="7" applyFont="1" applyFill="1" applyBorder="1" applyAlignment="1">
      <alignment horizontal="center" vertical="center" wrapText="1"/>
    </xf>
    <xf numFmtId="44" fontId="31" fillId="2" borderId="4" xfId="12" applyFont="1" applyFill="1" applyBorder="1" applyAlignment="1">
      <alignment horizontal="center" vertical="center"/>
    </xf>
    <xf numFmtId="44" fontId="9" fillId="6" borderId="4" xfId="12" applyFont="1" applyFill="1" applyBorder="1" applyAlignment="1">
      <alignment horizontal="center"/>
    </xf>
  </cellXfs>
  <cellStyles count="26">
    <cellStyle name="Normalny" xfId="0" builtinId="0"/>
    <cellStyle name="Normalny 10" xfId="3"/>
    <cellStyle name="Normalny 11" xfId="20"/>
    <cellStyle name="Normalny 12" xfId="21"/>
    <cellStyle name="Normalny 13" xfId="22"/>
    <cellStyle name="Normalny 13 2" xfId="25"/>
    <cellStyle name="Normalny 14" xfId="23"/>
    <cellStyle name="Normalny 15" xfId="24"/>
    <cellStyle name="Normalny 2" xfId="1"/>
    <cellStyle name="Normalny 2 2 2" xfId="7"/>
    <cellStyle name="Normalny 2 3" xfId="9"/>
    <cellStyle name="Normalny 2 4" xfId="16"/>
    <cellStyle name="Normalny 3" xfId="13"/>
    <cellStyle name="Normalny 3 2" xfId="14"/>
    <cellStyle name="Normalny 4" xfId="15"/>
    <cellStyle name="Normalny 5" xfId="17"/>
    <cellStyle name="Normalny 6" xfId="2"/>
    <cellStyle name="Normalny 6 2" xfId="11"/>
    <cellStyle name="Normalny 6 3" xfId="10"/>
    <cellStyle name="Normalny 7" xfId="18"/>
    <cellStyle name="Normalny 7 2" xfId="5"/>
    <cellStyle name="Normalny 8" xfId="19"/>
    <cellStyle name="Normalny 8 2" xfId="4"/>
    <cellStyle name="Normalny 9" xfId="6"/>
    <cellStyle name="Walutowy 3 2 2" xfId="8"/>
    <cellStyle name="Walutowy 3 3" xfId="1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51"/>
  <sheetViews>
    <sheetView topLeftCell="A46" zoomScale="93" zoomScaleNormal="93" workbookViewId="0">
      <selection activeCell="M124" sqref="M124"/>
    </sheetView>
  </sheetViews>
  <sheetFormatPr defaultColWidth="11.6640625" defaultRowHeight="12.75"/>
  <cols>
    <col min="1" max="1" width="5.6640625" style="114" customWidth="1"/>
    <col min="2" max="2" width="6.6640625" style="114" customWidth="1"/>
    <col min="3" max="3" width="9.33203125" style="115" customWidth="1"/>
    <col min="4" max="4" width="7.33203125" style="115" customWidth="1"/>
    <col min="5" max="5" width="72" style="115" customWidth="1"/>
    <col min="6" max="9" width="14.33203125" style="115" customWidth="1"/>
    <col min="10" max="10" width="16.5" style="115" customWidth="1"/>
    <col min="11" max="11" width="28.6640625" style="116" customWidth="1"/>
    <col min="12" max="12" width="20.33203125" style="303" hidden="1" customWidth="1"/>
    <col min="13" max="13" width="15.5" style="117" bestFit="1" customWidth="1"/>
    <col min="14" max="14" width="13" style="115" bestFit="1" customWidth="1"/>
    <col min="15" max="16384" width="11.6640625" style="115"/>
  </cols>
  <sheetData>
    <row r="1" spans="1:13" ht="12" customHeight="1"/>
    <row r="2" spans="1:13" ht="15.75" customHeight="1">
      <c r="A2" s="486" t="s">
        <v>230</v>
      </c>
      <c r="B2" s="486"/>
      <c r="C2" s="486"/>
      <c r="D2" s="486"/>
      <c r="E2" s="486"/>
      <c r="F2" s="486"/>
      <c r="G2" s="486"/>
      <c r="H2" s="486"/>
      <c r="I2" s="486"/>
      <c r="J2" s="486"/>
      <c r="K2" s="486"/>
    </row>
    <row r="3" spans="1:13" ht="15" customHeight="1" thickBot="1">
      <c r="A3" s="118"/>
      <c r="B3" s="118"/>
      <c r="C3" s="119"/>
      <c r="D3" s="119"/>
      <c r="E3" s="119"/>
      <c r="F3" s="119"/>
      <c r="G3" s="119"/>
      <c r="H3" s="119"/>
      <c r="I3" s="119"/>
      <c r="J3" s="119"/>
      <c r="K3" s="120"/>
    </row>
    <row r="4" spans="1:13" ht="19.5" customHeight="1" thickBot="1">
      <c r="A4" s="487" t="s">
        <v>7</v>
      </c>
      <c r="B4" s="489" t="s">
        <v>0</v>
      </c>
      <c r="C4" s="491" t="s">
        <v>231</v>
      </c>
      <c r="D4" s="493" t="s">
        <v>38</v>
      </c>
      <c r="E4" s="495" t="s">
        <v>39</v>
      </c>
      <c r="F4" s="495" t="s">
        <v>232</v>
      </c>
      <c r="G4" s="497" t="s">
        <v>233</v>
      </c>
      <c r="H4" s="498"/>
      <c r="I4" s="498"/>
      <c r="J4" s="498"/>
      <c r="K4" s="499" t="s">
        <v>234</v>
      </c>
      <c r="L4" s="504"/>
    </row>
    <row r="5" spans="1:13" ht="95.25" customHeight="1" thickBot="1">
      <c r="A5" s="488"/>
      <c r="B5" s="490"/>
      <c r="C5" s="492"/>
      <c r="D5" s="494"/>
      <c r="E5" s="496"/>
      <c r="F5" s="496"/>
      <c r="G5" s="252" t="s">
        <v>235</v>
      </c>
      <c r="H5" s="252" t="s">
        <v>236</v>
      </c>
      <c r="I5" s="252" t="s">
        <v>237</v>
      </c>
      <c r="J5" s="252" t="s">
        <v>238</v>
      </c>
      <c r="K5" s="500"/>
      <c r="L5" s="505"/>
    </row>
    <row r="6" spans="1:13" s="124" customFormat="1" ht="15" customHeight="1" thickBot="1">
      <c r="A6" s="273" t="s">
        <v>8</v>
      </c>
      <c r="B6" s="121" t="s">
        <v>9</v>
      </c>
      <c r="C6" s="121" t="s">
        <v>10</v>
      </c>
      <c r="D6" s="121" t="s">
        <v>11</v>
      </c>
      <c r="E6" s="122" t="s">
        <v>12</v>
      </c>
      <c r="F6" s="121" t="s">
        <v>60</v>
      </c>
      <c r="G6" s="121" t="s">
        <v>59</v>
      </c>
      <c r="H6" s="121" t="s">
        <v>239</v>
      </c>
      <c r="I6" s="121" t="s">
        <v>240</v>
      </c>
      <c r="J6" s="121" t="s">
        <v>241</v>
      </c>
      <c r="K6" s="274" t="s">
        <v>242</v>
      </c>
      <c r="L6" s="253"/>
      <c r="M6" s="123"/>
    </row>
    <row r="7" spans="1:13" s="127" customFormat="1" ht="27.95" customHeight="1" thickBot="1">
      <c r="A7" s="506" t="s">
        <v>243</v>
      </c>
      <c r="B7" s="507"/>
      <c r="C7" s="507"/>
      <c r="D7" s="507"/>
      <c r="E7" s="507"/>
      <c r="F7" s="125">
        <f>SUM(G7:J7)</f>
        <v>1897523</v>
      </c>
      <c r="G7" s="125">
        <f>SUM(G8:G13)</f>
        <v>496693</v>
      </c>
      <c r="H7" s="125">
        <f>SUM(H8:H13)</f>
        <v>400000</v>
      </c>
      <c r="I7" s="125">
        <f>SUM(I8:I13)</f>
        <v>0</v>
      </c>
      <c r="J7" s="125">
        <f>1000000+830</f>
        <v>1000830</v>
      </c>
      <c r="K7" s="275"/>
      <c r="L7" s="254"/>
      <c r="M7" s="126"/>
    </row>
    <row r="8" spans="1:13" s="137" customFormat="1" ht="32.25" customHeight="1" thickBot="1">
      <c r="A8" s="128" t="s">
        <v>8</v>
      </c>
      <c r="B8" s="129">
        <v>600</v>
      </c>
      <c r="C8" s="130">
        <v>60014</v>
      </c>
      <c r="D8" s="130">
        <v>6050</v>
      </c>
      <c r="E8" s="131" t="s">
        <v>244</v>
      </c>
      <c r="F8" s="132">
        <f>SUM(G8:H8)</f>
        <v>480000</v>
      </c>
      <c r="G8" s="133">
        <v>280000</v>
      </c>
      <c r="H8" s="133">
        <v>200000</v>
      </c>
      <c r="I8" s="134"/>
      <c r="J8" s="135"/>
      <c r="K8" s="276"/>
      <c r="L8" s="255" t="s">
        <v>245</v>
      </c>
      <c r="M8" s="136"/>
    </row>
    <row r="9" spans="1:13" s="137" customFormat="1" ht="45" customHeight="1" thickBot="1">
      <c r="A9" s="278" t="s">
        <v>9</v>
      </c>
      <c r="B9" s="139">
        <v>600</v>
      </c>
      <c r="C9" s="139">
        <v>60014</v>
      </c>
      <c r="D9" s="139">
        <v>6050</v>
      </c>
      <c r="E9" s="140" t="s">
        <v>246</v>
      </c>
      <c r="F9" s="141">
        <f>G9</f>
        <v>0</v>
      </c>
      <c r="G9" s="142">
        <f>35000-35000</f>
        <v>0</v>
      </c>
      <c r="H9" s="142"/>
      <c r="I9" s="143"/>
      <c r="J9" s="144"/>
      <c r="K9" s="280"/>
      <c r="L9" s="257"/>
      <c r="M9" s="136"/>
    </row>
    <row r="10" spans="1:13" s="137" customFormat="1" ht="45" customHeight="1" thickBot="1">
      <c r="A10" s="304" t="s">
        <v>10</v>
      </c>
      <c r="B10" s="139">
        <v>600</v>
      </c>
      <c r="C10" s="139">
        <v>60014</v>
      </c>
      <c r="D10" s="139">
        <v>6050</v>
      </c>
      <c r="E10" s="305" t="s">
        <v>458</v>
      </c>
      <c r="F10" s="141">
        <f>G10+830</f>
        <v>35830</v>
      </c>
      <c r="G10" s="142">
        <v>35000</v>
      </c>
      <c r="H10" s="142"/>
      <c r="I10" s="143"/>
      <c r="J10" s="144" t="s">
        <v>460</v>
      </c>
      <c r="K10" s="306"/>
      <c r="L10" s="261" t="s">
        <v>245</v>
      </c>
      <c r="M10" s="136"/>
    </row>
    <row r="11" spans="1:13" s="137" customFormat="1" ht="45" customHeight="1" thickBot="1">
      <c r="A11" s="128" t="s">
        <v>11</v>
      </c>
      <c r="B11" s="139">
        <v>600</v>
      </c>
      <c r="C11" s="139">
        <v>60014</v>
      </c>
      <c r="D11" s="139">
        <v>6050</v>
      </c>
      <c r="E11" s="140" t="s">
        <v>247</v>
      </c>
      <c r="F11" s="141">
        <f>SUM(G11:I11)</f>
        <v>259302</v>
      </c>
      <c r="G11" s="142">
        <v>59302</v>
      </c>
      <c r="H11" s="142">
        <f>200000</f>
        <v>200000</v>
      </c>
      <c r="I11" s="143"/>
      <c r="J11" s="144"/>
      <c r="K11" s="277"/>
      <c r="L11" s="257"/>
      <c r="M11" s="136"/>
    </row>
    <row r="12" spans="1:13" s="137" customFormat="1" ht="45" customHeight="1" thickBot="1">
      <c r="A12" s="145" t="s">
        <v>12</v>
      </c>
      <c r="B12" s="146">
        <v>600</v>
      </c>
      <c r="C12" s="146">
        <v>60014</v>
      </c>
      <c r="D12" s="146">
        <v>6050</v>
      </c>
      <c r="E12" s="147" t="s">
        <v>248</v>
      </c>
      <c r="F12" s="132">
        <f>1000000+G12</f>
        <v>1122391</v>
      </c>
      <c r="G12" s="133">
        <v>122391</v>
      </c>
      <c r="H12" s="133"/>
      <c r="I12" s="134"/>
      <c r="J12" s="148" t="s">
        <v>249</v>
      </c>
      <c r="K12" s="149"/>
      <c r="L12" s="258" t="s">
        <v>245</v>
      </c>
      <c r="M12" s="136"/>
    </row>
    <row r="13" spans="1:13" s="155" customFormat="1" ht="109.5" customHeight="1" thickBot="1">
      <c r="A13" s="361" t="s">
        <v>60</v>
      </c>
      <c r="B13" s="335">
        <v>600</v>
      </c>
      <c r="C13" s="335">
        <v>60014</v>
      </c>
      <c r="D13" s="335">
        <v>6610</v>
      </c>
      <c r="E13" s="339" t="s">
        <v>250</v>
      </c>
      <c r="F13" s="336">
        <f>SUM(G13:H13)</f>
        <v>0</v>
      </c>
      <c r="G13" s="336">
        <v>0</v>
      </c>
      <c r="H13" s="336">
        <f>1500000-1100000-400000</f>
        <v>0</v>
      </c>
      <c r="I13" s="364"/>
      <c r="J13" s="364"/>
      <c r="K13" s="375"/>
      <c r="L13" s="153" t="s">
        <v>245</v>
      </c>
      <c r="M13" s="154"/>
    </row>
    <row r="14" spans="1:13" s="137" customFormat="1" ht="27.75" customHeight="1" thickBot="1">
      <c r="A14" s="508" t="s">
        <v>251</v>
      </c>
      <c r="B14" s="509"/>
      <c r="C14" s="509"/>
      <c r="D14" s="509"/>
      <c r="E14" s="510"/>
      <c r="F14" s="156">
        <f>SUM(G14:J14)</f>
        <v>1064250</v>
      </c>
      <c r="G14" s="156">
        <f>SUM(G15:G21)</f>
        <v>85000</v>
      </c>
      <c r="H14" s="156">
        <f>SUM(H15:H21)</f>
        <v>929250</v>
      </c>
      <c r="I14" s="156">
        <f>SUM(I15:I21)</f>
        <v>0</v>
      </c>
      <c r="J14" s="156">
        <v>50000</v>
      </c>
      <c r="K14" s="275"/>
      <c r="L14" s="259"/>
      <c r="M14" s="136"/>
    </row>
    <row r="15" spans="1:13" s="137" customFormat="1" ht="46.5" customHeight="1" thickBot="1">
      <c r="A15" s="278" t="s">
        <v>59</v>
      </c>
      <c r="B15" s="139">
        <v>600</v>
      </c>
      <c r="C15" s="139">
        <v>60014</v>
      </c>
      <c r="D15" s="139">
        <v>6050</v>
      </c>
      <c r="E15" s="243" t="s">
        <v>252</v>
      </c>
      <c r="F15" s="151">
        <f>SUM(G15:H15)</f>
        <v>101015</v>
      </c>
      <c r="G15" s="142">
        <v>0</v>
      </c>
      <c r="H15" s="142">
        <f>200000-52250-46735</f>
        <v>101015</v>
      </c>
      <c r="I15" s="143"/>
      <c r="J15" s="144"/>
      <c r="K15" s="280"/>
      <c r="L15" s="260"/>
      <c r="M15" s="136"/>
    </row>
    <row r="16" spans="1:13" s="137" customFormat="1" ht="42.75" customHeight="1" thickBot="1">
      <c r="A16" s="278" t="s">
        <v>239</v>
      </c>
      <c r="B16" s="139">
        <v>600</v>
      </c>
      <c r="C16" s="139">
        <v>60014</v>
      </c>
      <c r="D16" s="139">
        <v>6050</v>
      </c>
      <c r="E16" s="140" t="s">
        <v>253</v>
      </c>
      <c r="F16" s="151">
        <f>SUM(G16:H16)</f>
        <v>33100</v>
      </c>
      <c r="G16" s="142">
        <f>35000-1900</f>
        <v>33100</v>
      </c>
      <c r="H16" s="142"/>
      <c r="I16" s="143"/>
      <c r="J16" s="144"/>
      <c r="K16" s="280"/>
      <c r="L16" s="259"/>
      <c r="M16" s="136"/>
    </row>
    <row r="17" spans="1:13" s="137" customFormat="1" ht="51.75" customHeight="1" thickBot="1">
      <c r="A17" s="278" t="s">
        <v>240</v>
      </c>
      <c r="B17" s="139">
        <v>600</v>
      </c>
      <c r="C17" s="139">
        <v>60014</v>
      </c>
      <c r="D17" s="139">
        <v>6050</v>
      </c>
      <c r="E17" s="140" t="s">
        <v>254</v>
      </c>
      <c r="F17" s="151">
        <f>SUM(G17:H17)</f>
        <v>296500</v>
      </c>
      <c r="G17" s="142">
        <v>0</v>
      </c>
      <c r="H17" s="142">
        <f>250000+46500</f>
        <v>296500</v>
      </c>
      <c r="I17" s="143"/>
      <c r="J17" s="144"/>
      <c r="K17" s="280"/>
      <c r="L17" s="259"/>
      <c r="M17" s="136"/>
    </row>
    <row r="18" spans="1:13" s="137" customFormat="1" ht="44.25" customHeight="1" thickBot="1">
      <c r="A18" s="278" t="s">
        <v>241</v>
      </c>
      <c r="B18" s="139">
        <v>600</v>
      </c>
      <c r="C18" s="139">
        <v>60014</v>
      </c>
      <c r="D18" s="139">
        <v>6050</v>
      </c>
      <c r="E18" s="140" t="s">
        <v>255</v>
      </c>
      <c r="F18" s="151">
        <f>SUM(G18:H18)</f>
        <v>250000</v>
      </c>
      <c r="G18" s="142">
        <v>0</v>
      </c>
      <c r="H18" s="142">
        <v>250000</v>
      </c>
      <c r="I18" s="143"/>
      <c r="J18" s="144"/>
      <c r="K18" s="280"/>
      <c r="L18" s="259"/>
      <c r="M18" s="136"/>
    </row>
    <row r="19" spans="1:13" s="137" customFormat="1" ht="44.25" customHeight="1" thickBot="1">
      <c r="A19" s="278" t="s">
        <v>242</v>
      </c>
      <c r="B19" s="139">
        <v>600</v>
      </c>
      <c r="C19" s="139">
        <v>60014</v>
      </c>
      <c r="D19" s="139">
        <v>6050</v>
      </c>
      <c r="E19" s="307" t="s">
        <v>256</v>
      </c>
      <c r="F19" s="151">
        <f>SUM(G19:I19)</f>
        <v>246735</v>
      </c>
      <c r="G19" s="142">
        <v>0</v>
      </c>
      <c r="H19" s="142">
        <f>200000+46735</f>
        <v>246735</v>
      </c>
      <c r="I19" s="143"/>
      <c r="J19" s="144"/>
      <c r="K19" s="280"/>
      <c r="L19" s="260"/>
      <c r="M19" s="136"/>
    </row>
    <row r="20" spans="1:13" s="137" customFormat="1" ht="44.25" customHeight="1" thickBot="1">
      <c r="A20" s="278" t="s">
        <v>258</v>
      </c>
      <c r="B20" s="139">
        <v>600</v>
      </c>
      <c r="C20" s="139">
        <v>60014</v>
      </c>
      <c r="D20" s="139">
        <v>6050</v>
      </c>
      <c r="E20" s="308" t="s">
        <v>257</v>
      </c>
      <c r="F20" s="151">
        <f>SUM(G20:I20)</f>
        <v>36900</v>
      </c>
      <c r="G20" s="142">
        <v>1900</v>
      </c>
      <c r="H20" s="142">
        <v>35000</v>
      </c>
      <c r="I20" s="143"/>
      <c r="J20" s="144"/>
      <c r="K20" s="280"/>
      <c r="L20" s="260"/>
      <c r="M20" s="136"/>
    </row>
    <row r="21" spans="1:13" s="137" customFormat="1" ht="44.25" customHeight="1" thickBot="1">
      <c r="A21" s="278" t="s">
        <v>262</v>
      </c>
      <c r="B21" s="139">
        <v>600</v>
      </c>
      <c r="C21" s="139">
        <v>60014</v>
      </c>
      <c r="D21" s="139">
        <v>6050</v>
      </c>
      <c r="E21" s="308" t="s">
        <v>259</v>
      </c>
      <c r="F21" s="151">
        <f>G21+50000</f>
        <v>100000</v>
      </c>
      <c r="G21" s="142">
        <v>50000</v>
      </c>
      <c r="H21" s="142"/>
      <c r="I21" s="143"/>
      <c r="J21" s="144" t="s">
        <v>260</v>
      </c>
      <c r="K21" s="280"/>
      <c r="L21" s="261" t="s">
        <v>245</v>
      </c>
      <c r="M21" s="136"/>
    </row>
    <row r="22" spans="1:13" s="158" customFormat="1" ht="27.95" customHeight="1" thickBot="1">
      <c r="A22" s="506" t="s">
        <v>261</v>
      </c>
      <c r="B22" s="507"/>
      <c r="C22" s="507"/>
      <c r="D22" s="507"/>
      <c r="E22" s="507"/>
      <c r="F22" s="125">
        <f>SUM(G22:J22)</f>
        <v>4195428</v>
      </c>
      <c r="G22" s="125">
        <f>SUM(G23:G36)</f>
        <v>422306</v>
      </c>
      <c r="H22" s="125">
        <f>SUM(H23:H36)</f>
        <v>1074047</v>
      </c>
      <c r="I22" s="125">
        <f>SUM(I23:I36)</f>
        <v>0</v>
      </c>
      <c r="J22" s="125">
        <f>1000000+489000+100000+952212+200000+910-100000+56953</f>
        <v>2699075</v>
      </c>
      <c r="K22" s="281"/>
      <c r="L22" s="262"/>
      <c r="M22" s="157"/>
    </row>
    <row r="23" spans="1:13" s="160" customFormat="1" ht="48" customHeight="1" thickBot="1">
      <c r="A23" s="278" t="s">
        <v>263</v>
      </c>
      <c r="B23" s="139">
        <v>600</v>
      </c>
      <c r="C23" s="139">
        <v>60014</v>
      </c>
      <c r="D23" s="139">
        <v>6050</v>
      </c>
      <c r="E23" s="309" t="s">
        <v>494</v>
      </c>
      <c r="F23" s="151">
        <f>SUM(G23:H23)</f>
        <v>100000</v>
      </c>
      <c r="G23" s="142">
        <v>0</v>
      </c>
      <c r="H23" s="142">
        <v>100000</v>
      </c>
      <c r="I23" s="152"/>
      <c r="J23" s="144"/>
      <c r="K23" s="282"/>
      <c r="L23" s="255" t="s">
        <v>245</v>
      </c>
      <c r="M23" s="159"/>
    </row>
    <row r="24" spans="1:13" s="160" customFormat="1" ht="46.5" customHeight="1" thickBot="1">
      <c r="A24" s="278" t="s">
        <v>265</v>
      </c>
      <c r="B24" s="139">
        <v>600</v>
      </c>
      <c r="C24" s="139">
        <v>60014</v>
      </c>
      <c r="D24" s="139">
        <v>6050</v>
      </c>
      <c r="E24" s="140" t="s">
        <v>264</v>
      </c>
      <c r="F24" s="151">
        <v>0</v>
      </c>
      <c r="G24" s="142">
        <v>0</v>
      </c>
      <c r="H24" s="142">
        <v>0</v>
      </c>
      <c r="I24" s="143"/>
      <c r="J24" s="144">
        <v>0</v>
      </c>
      <c r="K24" s="280"/>
      <c r="L24" s="260"/>
      <c r="M24" s="159"/>
    </row>
    <row r="25" spans="1:13" s="160" customFormat="1" ht="46.5" customHeight="1" thickBot="1">
      <c r="A25" s="278" t="s">
        <v>267</v>
      </c>
      <c r="B25" s="139">
        <v>600</v>
      </c>
      <c r="C25" s="139">
        <v>60014</v>
      </c>
      <c r="D25" s="139">
        <v>6050</v>
      </c>
      <c r="E25" s="140" t="s">
        <v>486</v>
      </c>
      <c r="F25" s="151">
        <f>SUM(G25:H25)+56953</f>
        <v>675000</v>
      </c>
      <c r="G25" s="142">
        <v>144000</v>
      </c>
      <c r="H25" s="142">
        <f>456000+18047</f>
        <v>474047</v>
      </c>
      <c r="I25" s="143"/>
      <c r="J25" s="144" t="s">
        <v>485</v>
      </c>
      <c r="K25" s="280"/>
      <c r="L25" s="260"/>
      <c r="M25" s="159"/>
    </row>
    <row r="26" spans="1:13" s="160" customFormat="1" ht="45.75" customHeight="1" thickBot="1">
      <c r="A26" s="278" t="s">
        <v>270</v>
      </c>
      <c r="B26" s="139">
        <v>600</v>
      </c>
      <c r="C26" s="139">
        <v>60014</v>
      </c>
      <c r="D26" s="139">
        <v>6050</v>
      </c>
      <c r="E26" s="140" t="s">
        <v>266</v>
      </c>
      <c r="F26" s="151">
        <f>SUM(G26:H26)</f>
        <v>0</v>
      </c>
      <c r="G26" s="142">
        <v>0</v>
      </c>
      <c r="H26" s="142">
        <v>0</v>
      </c>
      <c r="I26" s="152"/>
      <c r="J26" s="161"/>
      <c r="K26" s="282"/>
      <c r="L26" s="260" t="s">
        <v>245</v>
      </c>
      <c r="M26" s="159"/>
    </row>
    <row r="27" spans="1:13" s="137" customFormat="1" ht="45.75" customHeight="1" thickBot="1">
      <c r="A27" s="278" t="s">
        <v>272</v>
      </c>
      <c r="B27" s="139">
        <v>600</v>
      </c>
      <c r="C27" s="139">
        <v>60014</v>
      </c>
      <c r="D27" s="139">
        <v>6050</v>
      </c>
      <c r="E27" s="140" t="s">
        <v>268</v>
      </c>
      <c r="F27" s="151">
        <v>0</v>
      </c>
      <c r="G27" s="142">
        <v>0</v>
      </c>
      <c r="H27" s="142"/>
      <c r="I27" s="143"/>
      <c r="J27" s="144" t="s">
        <v>474</v>
      </c>
      <c r="K27" s="280" t="s">
        <v>269</v>
      </c>
      <c r="L27" s="260" t="s">
        <v>245</v>
      </c>
      <c r="M27" s="136"/>
    </row>
    <row r="28" spans="1:13" s="160" customFormat="1" ht="102.75" customHeight="1" thickBot="1">
      <c r="A28" s="278" t="s">
        <v>274</v>
      </c>
      <c r="B28" s="139">
        <v>600</v>
      </c>
      <c r="C28" s="139">
        <v>60014</v>
      </c>
      <c r="D28" s="139">
        <v>6050</v>
      </c>
      <c r="E28" s="140" t="s">
        <v>271</v>
      </c>
      <c r="F28" s="151">
        <f>SUM(G28:H28)</f>
        <v>500000</v>
      </c>
      <c r="G28" s="142">
        <v>0</v>
      </c>
      <c r="H28" s="142">
        <f>350000+150000</f>
        <v>500000</v>
      </c>
      <c r="I28" s="152"/>
      <c r="J28" s="144"/>
      <c r="K28" s="282"/>
      <c r="L28" s="260"/>
      <c r="M28" s="159"/>
    </row>
    <row r="29" spans="1:13" s="160" customFormat="1" ht="87.75" customHeight="1" thickBot="1">
      <c r="A29" s="278" t="s">
        <v>276</v>
      </c>
      <c r="B29" s="139">
        <v>600</v>
      </c>
      <c r="C29" s="139">
        <v>60014</v>
      </c>
      <c r="D29" s="139">
        <v>6050</v>
      </c>
      <c r="E29" s="140" t="s">
        <v>273</v>
      </c>
      <c r="F29" s="151">
        <f>G29</f>
        <v>0</v>
      </c>
      <c r="G29" s="142">
        <f>140000-50000-90000</f>
        <v>0</v>
      </c>
      <c r="H29" s="142"/>
      <c r="I29" s="152"/>
      <c r="J29" s="161"/>
      <c r="K29" s="310"/>
      <c r="L29" s="263"/>
      <c r="M29" s="159"/>
    </row>
    <row r="30" spans="1:13" s="160" customFormat="1" ht="94.5" customHeight="1" thickBot="1">
      <c r="A30" s="361" t="s">
        <v>278</v>
      </c>
      <c r="B30" s="335">
        <v>600</v>
      </c>
      <c r="C30" s="335">
        <v>60014</v>
      </c>
      <c r="D30" s="335">
        <v>6050</v>
      </c>
      <c r="E30" s="362" t="s">
        <v>495</v>
      </c>
      <c r="F30" s="336">
        <f>G30</f>
        <v>70000</v>
      </c>
      <c r="G30" s="363">
        <v>70000</v>
      </c>
      <c r="H30" s="363"/>
      <c r="I30" s="364"/>
      <c r="J30" s="365"/>
      <c r="K30" s="366"/>
      <c r="L30" s="263"/>
      <c r="M30" s="159"/>
    </row>
    <row r="31" spans="1:13" s="160" customFormat="1" ht="42" customHeight="1" thickBot="1">
      <c r="A31" s="278" t="s">
        <v>281</v>
      </c>
      <c r="B31" s="139">
        <v>600</v>
      </c>
      <c r="C31" s="139">
        <v>60014</v>
      </c>
      <c r="D31" s="139">
        <v>6050</v>
      </c>
      <c r="E31" s="311" t="s">
        <v>459</v>
      </c>
      <c r="F31" s="151">
        <f>G31+910</f>
        <v>20910</v>
      </c>
      <c r="G31" s="142">
        <v>20000</v>
      </c>
      <c r="H31" s="142"/>
      <c r="I31" s="152"/>
      <c r="J31" s="144" t="s">
        <v>461</v>
      </c>
      <c r="K31" s="310"/>
      <c r="L31" s="255" t="s">
        <v>245</v>
      </c>
      <c r="M31" s="159"/>
    </row>
    <row r="32" spans="1:13" s="160" customFormat="1" ht="42.75" customHeight="1" thickBot="1">
      <c r="A32" s="278" t="s">
        <v>284</v>
      </c>
      <c r="B32" s="139">
        <v>600</v>
      </c>
      <c r="C32" s="139">
        <v>60014</v>
      </c>
      <c r="D32" s="139">
        <v>6050</v>
      </c>
      <c r="E32" s="140" t="s">
        <v>275</v>
      </c>
      <c r="F32" s="312">
        <f>680293.85+696284.15</f>
        <v>1376578</v>
      </c>
      <c r="G32" s="142">
        <v>0</v>
      </c>
      <c r="H32" s="142"/>
      <c r="I32" s="152"/>
      <c r="J32" s="144" t="s">
        <v>465</v>
      </c>
      <c r="K32" s="282"/>
      <c r="L32" s="260"/>
      <c r="M32" s="159"/>
    </row>
    <row r="33" spans="1:17" s="160" customFormat="1" ht="42.75" customHeight="1" thickBot="1">
      <c r="A33" s="278" t="s">
        <v>287</v>
      </c>
      <c r="B33" s="139">
        <v>600</v>
      </c>
      <c r="C33" s="139">
        <v>60014</v>
      </c>
      <c r="D33" s="139">
        <v>6050</v>
      </c>
      <c r="E33" s="140" t="s">
        <v>277</v>
      </c>
      <c r="F33" s="151">
        <v>0</v>
      </c>
      <c r="G33" s="142">
        <v>0</v>
      </c>
      <c r="H33" s="142"/>
      <c r="I33" s="143"/>
      <c r="J33" s="144" t="s">
        <v>466</v>
      </c>
      <c r="K33" s="280"/>
      <c r="L33" s="260"/>
      <c r="M33" s="159"/>
    </row>
    <row r="34" spans="1:17" s="160" customFormat="1" ht="42.75" customHeight="1" thickBot="1">
      <c r="A34" s="278" t="s">
        <v>289</v>
      </c>
      <c r="B34" s="139">
        <v>600</v>
      </c>
      <c r="C34" s="139">
        <v>60014</v>
      </c>
      <c r="D34" s="139">
        <v>6050</v>
      </c>
      <c r="E34" s="140" t="s">
        <v>467</v>
      </c>
      <c r="F34" s="312">
        <f>G34+271918.15+792715.85</f>
        <v>1075634</v>
      </c>
      <c r="G34" s="142">
        <v>11000</v>
      </c>
      <c r="H34" s="142"/>
      <c r="I34" s="143"/>
      <c r="J34" s="144" t="s">
        <v>468</v>
      </c>
      <c r="K34" s="280"/>
      <c r="L34" s="260"/>
      <c r="M34" s="159"/>
    </row>
    <row r="35" spans="1:17" s="160" customFormat="1" ht="42.75" customHeight="1" thickBot="1">
      <c r="A35" s="278" t="s">
        <v>291</v>
      </c>
      <c r="B35" s="139">
        <v>600</v>
      </c>
      <c r="C35" s="139">
        <v>60014</v>
      </c>
      <c r="D35" s="139">
        <v>6050</v>
      </c>
      <c r="E35" s="140" t="s">
        <v>279</v>
      </c>
      <c r="F35" s="151">
        <v>200000</v>
      </c>
      <c r="G35" s="142"/>
      <c r="H35" s="142"/>
      <c r="I35" s="143"/>
      <c r="J35" s="144" t="s">
        <v>280</v>
      </c>
      <c r="K35" s="280"/>
      <c r="L35" s="261" t="s">
        <v>245</v>
      </c>
      <c r="M35" s="159"/>
    </row>
    <row r="36" spans="1:17" s="160" customFormat="1" ht="42.75" customHeight="1" thickBot="1">
      <c r="A36" s="278" t="s">
        <v>294</v>
      </c>
      <c r="B36" s="146">
        <v>600</v>
      </c>
      <c r="C36" s="146">
        <v>60014</v>
      </c>
      <c r="D36" s="146">
        <v>6050</v>
      </c>
      <c r="E36" s="313" t="s">
        <v>282</v>
      </c>
      <c r="F36" s="162">
        <f>SUM(G36:I36)</f>
        <v>177306</v>
      </c>
      <c r="G36" s="133">
        <v>177306</v>
      </c>
      <c r="H36" s="133"/>
      <c r="I36" s="134"/>
      <c r="J36" s="135"/>
      <c r="K36" s="276"/>
      <c r="L36" s="261" t="s">
        <v>245</v>
      </c>
      <c r="M36" s="159"/>
    </row>
    <row r="37" spans="1:17" s="165" customFormat="1" ht="27.95" customHeight="1" thickBot="1">
      <c r="A37" s="506" t="s">
        <v>283</v>
      </c>
      <c r="B37" s="507"/>
      <c r="C37" s="507"/>
      <c r="D37" s="507"/>
      <c r="E37" s="507"/>
      <c r="F37" s="125">
        <f>SUM(G37:J37)</f>
        <v>3372187</v>
      </c>
      <c r="G37" s="125">
        <f>SUM(G38:G49)</f>
        <v>1129767</v>
      </c>
      <c r="H37" s="125">
        <f t="shared" ref="H37:I37" si="0">SUM(H38:H49)</f>
        <v>222703</v>
      </c>
      <c r="I37" s="125">
        <f t="shared" si="0"/>
        <v>0</v>
      </c>
      <c r="J37" s="163">
        <f>339768+1528539+910+150000+500</f>
        <v>2019717</v>
      </c>
      <c r="K37" s="275"/>
      <c r="L37" s="264"/>
      <c r="M37" s="164"/>
    </row>
    <row r="38" spans="1:17" s="137" customFormat="1" ht="39.75" customHeight="1" thickBot="1">
      <c r="A38" s="278" t="s">
        <v>296</v>
      </c>
      <c r="B38" s="166">
        <v>600</v>
      </c>
      <c r="C38" s="167">
        <v>60014</v>
      </c>
      <c r="D38" s="167">
        <v>6050</v>
      </c>
      <c r="E38" s="168" t="s">
        <v>285</v>
      </c>
      <c r="F38" s="169">
        <f>G38+339768+1528539</f>
        <v>2208074</v>
      </c>
      <c r="G38" s="142">
        <v>339767</v>
      </c>
      <c r="H38" s="142"/>
      <c r="I38" s="143"/>
      <c r="J38" s="144" t="s">
        <v>286</v>
      </c>
      <c r="K38" s="280"/>
      <c r="L38" s="261" t="s">
        <v>245</v>
      </c>
      <c r="M38" s="136"/>
      <c r="N38" s="170"/>
      <c r="Q38" s="170"/>
    </row>
    <row r="39" spans="1:17" s="137" customFormat="1" ht="40.5" customHeight="1" thickBot="1">
      <c r="A39" s="278" t="s">
        <v>298</v>
      </c>
      <c r="B39" s="166">
        <v>600</v>
      </c>
      <c r="C39" s="167">
        <v>60014</v>
      </c>
      <c r="D39" s="167">
        <v>6050</v>
      </c>
      <c r="E39" s="140" t="s">
        <v>288</v>
      </c>
      <c r="F39" s="169">
        <f>SUM(G39:H39)</f>
        <v>155750</v>
      </c>
      <c r="G39" s="142">
        <v>150000</v>
      </c>
      <c r="H39" s="142">
        <v>5750</v>
      </c>
      <c r="I39" s="143"/>
      <c r="J39" s="144"/>
      <c r="K39" s="282"/>
      <c r="L39" s="259"/>
      <c r="M39" s="136"/>
    </row>
    <row r="40" spans="1:17" s="173" customFormat="1" ht="30.75" customHeight="1" thickBot="1">
      <c r="A40" s="278" t="s">
        <v>299</v>
      </c>
      <c r="B40" s="166">
        <v>600</v>
      </c>
      <c r="C40" s="171">
        <v>60014</v>
      </c>
      <c r="D40" s="171">
        <v>6050</v>
      </c>
      <c r="E40" s="140" t="s">
        <v>290</v>
      </c>
      <c r="F40" s="169">
        <f>G40</f>
        <v>250000</v>
      </c>
      <c r="G40" s="133">
        <v>250000</v>
      </c>
      <c r="H40" s="133"/>
      <c r="I40" s="134"/>
      <c r="J40" s="135"/>
      <c r="K40" s="283"/>
      <c r="L40" s="255" t="s">
        <v>245</v>
      </c>
      <c r="M40" s="172"/>
    </row>
    <row r="41" spans="1:17" s="173" customFormat="1" ht="33.75" customHeight="1" thickBot="1">
      <c r="A41" s="278" t="s">
        <v>301</v>
      </c>
      <c r="B41" s="166">
        <v>600</v>
      </c>
      <c r="C41" s="167">
        <v>60014</v>
      </c>
      <c r="D41" s="167">
        <v>6050</v>
      </c>
      <c r="E41" s="174" t="s">
        <v>292</v>
      </c>
      <c r="F41" s="169">
        <f>G41</f>
        <v>150000</v>
      </c>
      <c r="G41" s="142">
        <v>150000</v>
      </c>
      <c r="H41" s="142"/>
      <c r="I41" s="143"/>
      <c r="J41" s="144"/>
      <c r="K41" s="282"/>
      <c r="L41" s="255" t="s">
        <v>293</v>
      </c>
      <c r="M41" s="172"/>
    </row>
    <row r="42" spans="1:17" s="173" customFormat="1" ht="33" customHeight="1" thickBot="1">
      <c r="A42" s="278" t="s">
        <v>304</v>
      </c>
      <c r="B42" s="166">
        <v>600</v>
      </c>
      <c r="C42" s="167">
        <v>60014</v>
      </c>
      <c r="D42" s="167">
        <v>6050</v>
      </c>
      <c r="E42" s="175" t="s">
        <v>295</v>
      </c>
      <c r="F42" s="169">
        <f>G42</f>
        <v>100000</v>
      </c>
      <c r="G42" s="142">
        <v>100000</v>
      </c>
      <c r="H42" s="142"/>
      <c r="I42" s="143"/>
      <c r="J42" s="144"/>
      <c r="K42" s="282"/>
      <c r="L42" s="255" t="s">
        <v>245</v>
      </c>
      <c r="M42" s="172"/>
    </row>
    <row r="43" spans="1:17" s="137" customFormat="1" ht="30.75" customHeight="1" thickBot="1">
      <c r="A43" s="278" t="s">
        <v>307</v>
      </c>
      <c r="B43" s="166">
        <v>600</v>
      </c>
      <c r="C43" s="167">
        <v>60014</v>
      </c>
      <c r="D43" s="167">
        <v>6050</v>
      </c>
      <c r="E43" s="175" t="s">
        <v>297</v>
      </c>
      <c r="F43" s="169">
        <v>150000</v>
      </c>
      <c r="G43" s="142">
        <v>0</v>
      </c>
      <c r="H43" s="142"/>
      <c r="I43" s="143"/>
      <c r="J43" s="144" t="s">
        <v>478</v>
      </c>
      <c r="K43" s="280"/>
      <c r="L43" s="260"/>
      <c r="M43" s="136"/>
    </row>
    <row r="44" spans="1:17" s="245" customFormat="1" ht="85.5" customHeight="1" thickBot="1">
      <c r="A44" s="278" t="s">
        <v>309</v>
      </c>
      <c r="B44" s="166">
        <v>600</v>
      </c>
      <c r="C44" s="167">
        <v>60014</v>
      </c>
      <c r="D44" s="167">
        <v>6050</v>
      </c>
      <c r="E44" s="140" t="s">
        <v>445</v>
      </c>
      <c r="F44" s="169">
        <f>G44</f>
        <v>0</v>
      </c>
      <c r="G44" s="142">
        <f>140000-140000</f>
        <v>0</v>
      </c>
      <c r="H44" s="142"/>
      <c r="I44" s="143"/>
      <c r="J44" s="144"/>
      <c r="K44" s="282"/>
      <c r="L44" s="263"/>
      <c r="M44" s="244"/>
    </row>
    <row r="45" spans="1:17" s="137" customFormat="1" ht="78" customHeight="1" thickBot="1">
      <c r="A45" s="361" t="s">
        <v>311</v>
      </c>
      <c r="B45" s="367">
        <v>600</v>
      </c>
      <c r="C45" s="368">
        <v>60014</v>
      </c>
      <c r="D45" s="368">
        <v>6050</v>
      </c>
      <c r="E45" s="362" t="s">
        <v>501</v>
      </c>
      <c r="F45" s="369">
        <f>G45</f>
        <v>119500</v>
      </c>
      <c r="G45" s="363">
        <f>120000-500</f>
        <v>119500</v>
      </c>
      <c r="H45" s="363"/>
      <c r="I45" s="337"/>
      <c r="J45" s="338"/>
      <c r="K45" s="366"/>
      <c r="L45" s="259"/>
      <c r="M45" s="136"/>
    </row>
    <row r="46" spans="1:17" s="137" customFormat="1" ht="60" customHeight="1" thickBot="1">
      <c r="A46" s="278" t="s">
        <v>313</v>
      </c>
      <c r="B46" s="166">
        <v>600</v>
      </c>
      <c r="C46" s="167">
        <v>60014</v>
      </c>
      <c r="D46" s="167">
        <v>6050</v>
      </c>
      <c r="E46" s="140" t="s">
        <v>462</v>
      </c>
      <c r="F46" s="169">
        <f>G46+910</f>
        <v>20910</v>
      </c>
      <c r="G46" s="142">
        <v>20000</v>
      </c>
      <c r="H46" s="142"/>
      <c r="I46" s="143"/>
      <c r="J46" s="144" t="s">
        <v>461</v>
      </c>
      <c r="K46" s="310"/>
      <c r="L46" s="255" t="s">
        <v>245</v>
      </c>
      <c r="M46" s="136"/>
    </row>
    <row r="47" spans="1:17" s="137" customFormat="1" ht="37.5" customHeight="1" thickBot="1">
      <c r="A47" s="278" t="s">
        <v>315</v>
      </c>
      <c r="B47" s="166">
        <v>600</v>
      </c>
      <c r="C47" s="167">
        <v>60014</v>
      </c>
      <c r="D47" s="167">
        <v>6050</v>
      </c>
      <c r="E47" s="140" t="s">
        <v>300</v>
      </c>
      <c r="F47" s="169">
        <f>SUM(G47:I47)</f>
        <v>176732</v>
      </c>
      <c r="G47" s="142">
        <v>0</v>
      </c>
      <c r="H47" s="142">
        <f>200000-5221-18047</f>
        <v>176732</v>
      </c>
      <c r="I47" s="143"/>
      <c r="J47" s="144"/>
      <c r="K47" s="280"/>
      <c r="L47" s="260"/>
      <c r="M47" s="136"/>
    </row>
    <row r="48" spans="1:17" s="137" customFormat="1" ht="42" customHeight="1" thickBot="1">
      <c r="A48" s="278" t="s">
        <v>317</v>
      </c>
      <c r="B48" s="166">
        <v>600</v>
      </c>
      <c r="C48" s="167">
        <v>60014</v>
      </c>
      <c r="D48" s="167">
        <v>6050</v>
      </c>
      <c r="E48" s="140" t="s">
        <v>302</v>
      </c>
      <c r="F48" s="169">
        <f>SUM(G48:I48)</f>
        <v>40221</v>
      </c>
      <c r="G48" s="142">
        <v>0</v>
      </c>
      <c r="H48" s="142">
        <f>35000+5221</f>
        <v>40221</v>
      </c>
      <c r="I48" s="143"/>
      <c r="J48" s="144"/>
      <c r="K48" s="282"/>
      <c r="L48" s="259"/>
      <c r="M48" s="136"/>
    </row>
    <row r="49" spans="1:13" s="137" customFormat="1" ht="46.5" customHeight="1" thickBot="1">
      <c r="A49" s="361" t="s">
        <v>320</v>
      </c>
      <c r="B49" s="367">
        <v>600</v>
      </c>
      <c r="C49" s="368">
        <v>60014</v>
      </c>
      <c r="D49" s="368">
        <v>6050</v>
      </c>
      <c r="E49" s="362" t="s">
        <v>496</v>
      </c>
      <c r="F49" s="369">
        <f>G49+500</f>
        <v>1000</v>
      </c>
      <c r="G49" s="363">
        <v>500</v>
      </c>
      <c r="H49" s="363"/>
      <c r="I49" s="337"/>
      <c r="J49" s="338" t="s">
        <v>497</v>
      </c>
      <c r="K49" s="370"/>
      <c r="L49" s="259"/>
      <c r="M49" s="136"/>
    </row>
    <row r="50" spans="1:13" s="177" customFormat="1" ht="27.95" customHeight="1" thickBot="1">
      <c r="A50" s="506" t="s">
        <v>303</v>
      </c>
      <c r="B50" s="507"/>
      <c r="C50" s="507"/>
      <c r="D50" s="507"/>
      <c r="E50" s="507"/>
      <c r="F50" s="125">
        <f>SUM(G50:J50)</f>
        <v>1401986</v>
      </c>
      <c r="G50" s="125">
        <f>SUM(G51:G60)</f>
        <v>957598</v>
      </c>
      <c r="H50" s="125">
        <f>SUM(H51:H60)</f>
        <v>183478</v>
      </c>
      <c r="I50" s="125">
        <f>SUM(I51:I60)</f>
        <v>0</v>
      </c>
      <c r="J50" s="163">
        <f>140000+100000+910+20000</f>
        <v>260910</v>
      </c>
      <c r="K50" s="284"/>
      <c r="L50" s="259"/>
      <c r="M50" s="176"/>
    </row>
    <row r="51" spans="1:13" s="160" customFormat="1" ht="37.5" customHeight="1" thickBot="1">
      <c r="A51" s="278" t="s">
        <v>322</v>
      </c>
      <c r="B51" s="138">
        <v>600</v>
      </c>
      <c r="C51" s="138">
        <v>60014</v>
      </c>
      <c r="D51" s="138">
        <v>6050</v>
      </c>
      <c r="E51" s="150" t="s">
        <v>305</v>
      </c>
      <c r="F51" s="151">
        <f>G51+140000+100000</f>
        <v>300000</v>
      </c>
      <c r="G51" s="142">
        <v>60000</v>
      </c>
      <c r="H51" s="142"/>
      <c r="I51" s="143"/>
      <c r="J51" s="144" t="s">
        <v>306</v>
      </c>
      <c r="K51" s="282"/>
      <c r="L51" s="255" t="s">
        <v>245</v>
      </c>
      <c r="M51" s="159"/>
    </row>
    <row r="52" spans="1:13" s="155" customFormat="1" ht="30" customHeight="1" thickBot="1">
      <c r="A52" s="278" t="s">
        <v>325</v>
      </c>
      <c r="B52" s="138">
        <v>600</v>
      </c>
      <c r="C52" s="138">
        <v>60014</v>
      </c>
      <c r="D52" s="138">
        <v>6050</v>
      </c>
      <c r="E52" s="150" t="s">
        <v>308</v>
      </c>
      <c r="F52" s="151">
        <f t="shared" ref="F52:F57" si="1">G52</f>
        <v>300000</v>
      </c>
      <c r="G52" s="142">
        <v>300000</v>
      </c>
      <c r="H52" s="142"/>
      <c r="I52" s="143"/>
      <c r="J52" s="144"/>
      <c r="K52" s="282"/>
      <c r="L52" s="255" t="s">
        <v>245</v>
      </c>
      <c r="M52" s="154"/>
    </row>
    <row r="53" spans="1:13" s="160" customFormat="1" ht="30" customHeight="1" thickBot="1">
      <c r="A53" s="278" t="s">
        <v>327</v>
      </c>
      <c r="B53" s="138">
        <v>600</v>
      </c>
      <c r="C53" s="138">
        <v>60014</v>
      </c>
      <c r="D53" s="138">
        <v>6050</v>
      </c>
      <c r="E53" s="150" t="s">
        <v>310</v>
      </c>
      <c r="F53" s="151">
        <f t="shared" si="1"/>
        <v>300000</v>
      </c>
      <c r="G53" s="142">
        <v>300000</v>
      </c>
      <c r="H53" s="142"/>
      <c r="I53" s="143"/>
      <c r="J53" s="144"/>
      <c r="K53" s="282"/>
      <c r="L53" s="255" t="s">
        <v>245</v>
      </c>
      <c r="M53" s="159"/>
    </row>
    <row r="54" spans="1:13" s="160" customFormat="1" ht="36.75" customHeight="1" thickBot="1">
      <c r="A54" s="278" t="s">
        <v>330</v>
      </c>
      <c r="B54" s="138">
        <v>600</v>
      </c>
      <c r="C54" s="138">
        <v>60014</v>
      </c>
      <c r="D54" s="138">
        <v>6050</v>
      </c>
      <c r="E54" s="314" t="s">
        <v>312</v>
      </c>
      <c r="F54" s="151">
        <f t="shared" si="1"/>
        <v>65000</v>
      </c>
      <c r="G54" s="142">
        <f>50000+15000</f>
        <v>65000</v>
      </c>
      <c r="H54" s="142"/>
      <c r="I54" s="143"/>
      <c r="J54" s="144"/>
      <c r="K54" s="282"/>
      <c r="L54" s="259"/>
      <c r="M54" s="159"/>
    </row>
    <row r="55" spans="1:13" s="160" customFormat="1" ht="36.75" customHeight="1" thickBot="1">
      <c r="A55" s="278" t="s">
        <v>332</v>
      </c>
      <c r="B55" s="138">
        <v>600</v>
      </c>
      <c r="C55" s="138">
        <v>60014</v>
      </c>
      <c r="D55" s="138">
        <v>6050</v>
      </c>
      <c r="E55" s="314" t="s">
        <v>314</v>
      </c>
      <c r="F55" s="151">
        <f t="shared" si="1"/>
        <v>65000</v>
      </c>
      <c r="G55" s="142">
        <f>50000+15000</f>
        <v>65000</v>
      </c>
      <c r="H55" s="142"/>
      <c r="I55" s="143"/>
      <c r="J55" s="144"/>
      <c r="K55" s="282"/>
      <c r="L55" s="260"/>
      <c r="M55" s="159"/>
    </row>
    <row r="56" spans="1:13" s="160" customFormat="1" ht="65.25" customHeight="1" thickBot="1">
      <c r="A56" s="278" t="s">
        <v>334</v>
      </c>
      <c r="B56" s="138">
        <v>600</v>
      </c>
      <c r="C56" s="138">
        <v>60014</v>
      </c>
      <c r="D56" s="138">
        <v>6050</v>
      </c>
      <c r="E56" s="178" t="s">
        <v>316</v>
      </c>
      <c r="F56" s="151">
        <f t="shared" si="1"/>
        <v>0</v>
      </c>
      <c r="G56" s="142">
        <f>70000-15000-55000</f>
        <v>0</v>
      </c>
      <c r="H56" s="142"/>
      <c r="I56" s="143"/>
      <c r="J56" s="144"/>
      <c r="K56" s="282"/>
      <c r="L56" s="259"/>
      <c r="M56" s="159"/>
    </row>
    <row r="57" spans="1:13" s="201" customFormat="1" ht="51.75" customHeight="1" thickBot="1">
      <c r="A57" s="278" t="s">
        <v>337</v>
      </c>
      <c r="B57" s="138">
        <v>600</v>
      </c>
      <c r="C57" s="138">
        <v>60014</v>
      </c>
      <c r="D57" s="138">
        <v>6050</v>
      </c>
      <c r="E57" s="178" t="s">
        <v>441</v>
      </c>
      <c r="F57" s="151">
        <f t="shared" si="1"/>
        <v>35000</v>
      </c>
      <c r="G57" s="142">
        <v>35000</v>
      </c>
      <c r="H57" s="142"/>
      <c r="I57" s="143"/>
      <c r="J57" s="144"/>
      <c r="K57" s="310"/>
      <c r="L57" s="263"/>
      <c r="M57" s="200"/>
    </row>
    <row r="58" spans="1:13" s="201" customFormat="1" ht="54.75" customHeight="1" thickBot="1">
      <c r="A58" s="278" t="s">
        <v>340</v>
      </c>
      <c r="B58" s="138">
        <v>600</v>
      </c>
      <c r="C58" s="138">
        <v>60014</v>
      </c>
      <c r="D58" s="138">
        <v>6050</v>
      </c>
      <c r="E58" s="178" t="s">
        <v>463</v>
      </c>
      <c r="F58" s="151">
        <f>G58+910</f>
        <v>20910</v>
      </c>
      <c r="G58" s="142">
        <v>20000</v>
      </c>
      <c r="H58" s="142"/>
      <c r="I58" s="143"/>
      <c r="J58" s="144" t="s">
        <v>461</v>
      </c>
      <c r="K58" s="310"/>
      <c r="L58" s="255" t="s">
        <v>245</v>
      </c>
      <c r="M58" s="200"/>
    </row>
    <row r="59" spans="1:13" s="160" customFormat="1" ht="36.75" customHeight="1" thickBot="1">
      <c r="A59" s="278" t="s">
        <v>343</v>
      </c>
      <c r="B59" s="138">
        <v>600</v>
      </c>
      <c r="C59" s="138">
        <v>60014</v>
      </c>
      <c r="D59" s="138">
        <v>6050</v>
      </c>
      <c r="E59" s="178" t="s">
        <v>318</v>
      </c>
      <c r="F59" s="151">
        <f>SUM(G59:I59)</f>
        <v>183478</v>
      </c>
      <c r="G59" s="142">
        <v>0</v>
      </c>
      <c r="H59" s="142">
        <f>200000-16522</f>
        <v>183478</v>
      </c>
      <c r="I59" s="143"/>
      <c r="J59" s="144"/>
      <c r="K59" s="280"/>
      <c r="L59" s="260"/>
      <c r="M59" s="159"/>
    </row>
    <row r="60" spans="1:13" s="160" customFormat="1" ht="36.75" customHeight="1" thickBot="1">
      <c r="A60" s="278" t="s">
        <v>345</v>
      </c>
      <c r="B60" s="138">
        <v>600</v>
      </c>
      <c r="C60" s="138">
        <v>60014</v>
      </c>
      <c r="D60" s="138">
        <v>6050</v>
      </c>
      <c r="E60" s="178" t="s">
        <v>479</v>
      </c>
      <c r="F60" s="151">
        <f>G60+20000</f>
        <v>132598</v>
      </c>
      <c r="G60" s="142">
        <f>12598+100000</f>
        <v>112598</v>
      </c>
      <c r="H60" s="142"/>
      <c r="I60" s="143"/>
      <c r="J60" s="144" t="s">
        <v>476</v>
      </c>
      <c r="K60" s="280"/>
      <c r="L60" s="260"/>
      <c r="M60" s="159"/>
    </row>
    <row r="61" spans="1:13" s="155" customFormat="1" ht="27.95" customHeight="1" thickBot="1">
      <c r="A61" s="506" t="s">
        <v>319</v>
      </c>
      <c r="B61" s="507"/>
      <c r="C61" s="507"/>
      <c r="D61" s="507"/>
      <c r="E61" s="507"/>
      <c r="F61" s="163">
        <f>SUM(G61:J61)</f>
        <v>736287</v>
      </c>
      <c r="G61" s="163">
        <f>SUM(G62:G65)</f>
        <v>150000</v>
      </c>
      <c r="H61" s="156">
        <f>SUM(H62:H65)</f>
        <v>200000</v>
      </c>
      <c r="I61" s="179">
        <f>SUM(I62:I65)</f>
        <v>0</v>
      </c>
      <c r="J61" s="163">
        <f>560000+50000-73713-150000</f>
        <v>386287</v>
      </c>
      <c r="K61" s="284"/>
      <c r="L61" s="259"/>
      <c r="M61" s="154"/>
    </row>
    <row r="62" spans="1:13" s="137" customFormat="1" ht="34.5" customHeight="1" thickBot="1">
      <c r="A62" s="278" t="s">
        <v>348</v>
      </c>
      <c r="B62" s="138">
        <v>600</v>
      </c>
      <c r="C62" s="138">
        <v>60014</v>
      </c>
      <c r="D62" s="138">
        <v>6050</v>
      </c>
      <c r="E62" s="150" t="s">
        <v>321</v>
      </c>
      <c r="F62" s="151">
        <f>250000+50000</f>
        <v>300000</v>
      </c>
      <c r="G62" s="142">
        <v>150000</v>
      </c>
      <c r="H62" s="142"/>
      <c r="I62" s="143"/>
      <c r="J62" s="144" t="s">
        <v>477</v>
      </c>
      <c r="K62" s="280"/>
      <c r="L62" s="260" t="s">
        <v>245</v>
      </c>
      <c r="M62" s="136"/>
    </row>
    <row r="63" spans="1:13" s="160" customFormat="1" ht="38.25" customHeight="1" thickBot="1">
      <c r="A63" s="278" t="s">
        <v>349</v>
      </c>
      <c r="B63" s="138">
        <v>600</v>
      </c>
      <c r="C63" s="138">
        <v>60014</v>
      </c>
      <c r="D63" s="138">
        <v>6050</v>
      </c>
      <c r="E63" s="309" t="s">
        <v>323</v>
      </c>
      <c r="F63" s="151">
        <v>50000</v>
      </c>
      <c r="G63" s="142">
        <v>0</v>
      </c>
      <c r="H63" s="142"/>
      <c r="I63" s="143"/>
      <c r="J63" s="144" t="s">
        <v>324</v>
      </c>
      <c r="K63" s="282"/>
      <c r="L63" s="260"/>
      <c r="M63" s="159"/>
    </row>
    <row r="64" spans="1:13" s="160" customFormat="1" ht="34.5" customHeight="1" thickBot="1">
      <c r="A64" s="278" t="s">
        <v>351</v>
      </c>
      <c r="B64" s="138">
        <v>600</v>
      </c>
      <c r="C64" s="138">
        <v>60014</v>
      </c>
      <c r="D64" s="138">
        <v>6050</v>
      </c>
      <c r="E64" s="150" t="s">
        <v>326</v>
      </c>
      <c r="F64" s="151">
        <v>186287</v>
      </c>
      <c r="G64" s="142">
        <v>0</v>
      </c>
      <c r="H64" s="142"/>
      <c r="I64" s="143"/>
      <c r="J64" s="144" t="s">
        <v>472</v>
      </c>
      <c r="K64" s="280"/>
      <c r="L64" s="260" t="s">
        <v>245</v>
      </c>
      <c r="M64" s="159"/>
    </row>
    <row r="65" spans="1:13" s="181" customFormat="1" ht="34.5" customHeight="1" thickBot="1">
      <c r="A65" s="278" t="s">
        <v>353</v>
      </c>
      <c r="B65" s="138">
        <v>600</v>
      </c>
      <c r="C65" s="138">
        <v>60014</v>
      </c>
      <c r="D65" s="138">
        <v>6050</v>
      </c>
      <c r="E65" s="350" t="s">
        <v>328</v>
      </c>
      <c r="F65" s="151">
        <f>SUM(G65:I65)</f>
        <v>200000</v>
      </c>
      <c r="G65" s="142">
        <v>0</v>
      </c>
      <c r="H65" s="142">
        <v>200000</v>
      </c>
      <c r="I65" s="143"/>
      <c r="J65" s="144"/>
      <c r="K65" s="282"/>
      <c r="L65" s="265" t="s">
        <v>245</v>
      </c>
      <c r="M65" s="180"/>
    </row>
    <row r="66" spans="1:13" s="155" customFormat="1" ht="27.95" customHeight="1" thickBot="1">
      <c r="A66" s="506" t="s">
        <v>329</v>
      </c>
      <c r="B66" s="507"/>
      <c r="C66" s="507"/>
      <c r="D66" s="507"/>
      <c r="E66" s="507"/>
      <c r="F66" s="125">
        <f>SUM(G66:J66)</f>
        <v>962787</v>
      </c>
      <c r="G66" s="125">
        <f>SUM(G67:G72)</f>
        <v>362787</v>
      </c>
      <c r="H66" s="125">
        <f>SUM(H67:H72)</f>
        <v>200000</v>
      </c>
      <c r="I66" s="125">
        <f>SUM(I67:I72)</f>
        <v>0</v>
      </c>
      <c r="J66" s="163">
        <f>400000+910-910</f>
        <v>400000</v>
      </c>
      <c r="K66" s="285"/>
      <c r="L66" s="266"/>
      <c r="M66" s="154"/>
    </row>
    <row r="67" spans="1:13" s="137" customFormat="1" ht="39" customHeight="1" thickBot="1">
      <c r="A67" s="278" t="s">
        <v>355</v>
      </c>
      <c r="B67" s="138">
        <v>600</v>
      </c>
      <c r="C67" s="138">
        <v>60014</v>
      </c>
      <c r="D67" s="138">
        <v>6050</v>
      </c>
      <c r="E67" s="178" t="s">
        <v>331</v>
      </c>
      <c r="F67" s="151">
        <f>G67</f>
        <v>92787</v>
      </c>
      <c r="G67" s="142">
        <f>200000-15000-59302-20313-12598</f>
        <v>92787</v>
      </c>
      <c r="H67" s="142"/>
      <c r="I67" s="143"/>
      <c r="J67" s="144"/>
      <c r="K67" s="280"/>
      <c r="L67" s="260"/>
      <c r="M67" s="136"/>
    </row>
    <row r="68" spans="1:13" s="160" customFormat="1" ht="77.25" customHeight="1" thickBot="1">
      <c r="A68" s="278" t="s">
        <v>357</v>
      </c>
      <c r="B68" s="138">
        <v>600</v>
      </c>
      <c r="C68" s="138">
        <v>60014</v>
      </c>
      <c r="D68" s="138">
        <v>6050</v>
      </c>
      <c r="E68" s="178" t="s">
        <v>333</v>
      </c>
      <c r="F68" s="151">
        <f>G68</f>
        <v>0</v>
      </c>
      <c r="G68" s="142">
        <f>70000-70000</f>
        <v>0</v>
      </c>
      <c r="H68" s="142"/>
      <c r="I68" s="143"/>
      <c r="J68" s="144"/>
      <c r="K68" s="310"/>
      <c r="L68" s="259"/>
      <c r="M68" s="159"/>
    </row>
    <row r="69" spans="1:13" s="160" customFormat="1" ht="61.5" customHeight="1" thickBot="1">
      <c r="A69" s="278" t="s">
        <v>360</v>
      </c>
      <c r="B69" s="138">
        <v>600</v>
      </c>
      <c r="C69" s="138">
        <v>60014</v>
      </c>
      <c r="D69" s="138">
        <v>6050</v>
      </c>
      <c r="E69" s="150" t="s">
        <v>442</v>
      </c>
      <c r="F69" s="151">
        <f>G69</f>
        <v>50000</v>
      </c>
      <c r="G69" s="142">
        <v>50000</v>
      </c>
      <c r="H69" s="142"/>
      <c r="I69" s="143"/>
      <c r="J69" s="144"/>
      <c r="K69" s="310"/>
      <c r="L69" s="259"/>
      <c r="M69" s="159"/>
    </row>
    <row r="70" spans="1:13" s="160" customFormat="1" ht="48" customHeight="1" thickBot="1">
      <c r="A70" s="361" t="s">
        <v>363</v>
      </c>
      <c r="B70" s="377">
        <v>600</v>
      </c>
      <c r="C70" s="377">
        <v>60014</v>
      </c>
      <c r="D70" s="377">
        <v>6050</v>
      </c>
      <c r="E70" s="378" t="s">
        <v>464</v>
      </c>
      <c r="F70" s="336">
        <f>G70</f>
        <v>20000</v>
      </c>
      <c r="G70" s="363">
        <v>20000</v>
      </c>
      <c r="H70" s="363"/>
      <c r="I70" s="337"/>
      <c r="J70" s="338" t="s">
        <v>502</v>
      </c>
      <c r="K70" s="370"/>
      <c r="L70" s="265" t="s">
        <v>245</v>
      </c>
      <c r="M70" s="159"/>
    </row>
    <row r="71" spans="1:13" s="160" customFormat="1" ht="36.75" customHeight="1" thickBot="1">
      <c r="A71" s="278" t="s">
        <v>365</v>
      </c>
      <c r="B71" s="138">
        <v>600</v>
      </c>
      <c r="C71" s="138">
        <v>60014</v>
      </c>
      <c r="D71" s="138">
        <v>6050</v>
      </c>
      <c r="E71" s="150" t="s">
        <v>335</v>
      </c>
      <c r="F71" s="151">
        <f>G71+200000</f>
        <v>400000</v>
      </c>
      <c r="G71" s="142">
        <v>200000</v>
      </c>
      <c r="H71" s="142"/>
      <c r="I71" s="143"/>
      <c r="J71" s="144" t="s">
        <v>336</v>
      </c>
      <c r="K71" s="282"/>
      <c r="L71" s="255" t="s">
        <v>245</v>
      </c>
      <c r="M71" s="159"/>
    </row>
    <row r="72" spans="1:13" s="160" customFormat="1" ht="36.75" customHeight="1" thickBot="1">
      <c r="A72" s="278" t="s">
        <v>368</v>
      </c>
      <c r="B72" s="138">
        <v>600</v>
      </c>
      <c r="C72" s="138">
        <v>60014</v>
      </c>
      <c r="D72" s="138">
        <v>6050</v>
      </c>
      <c r="E72" s="350" t="s">
        <v>338</v>
      </c>
      <c r="F72" s="151">
        <f>SUM(G72:I72)+200000</f>
        <v>400000</v>
      </c>
      <c r="G72" s="142">
        <v>0</v>
      </c>
      <c r="H72" s="142">
        <v>200000</v>
      </c>
      <c r="I72" s="143"/>
      <c r="J72" s="144" t="s">
        <v>336</v>
      </c>
      <c r="K72" s="282"/>
      <c r="L72" s="255" t="s">
        <v>245</v>
      </c>
      <c r="M72" s="159"/>
    </row>
    <row r="73" spans="1:13" s="160" customFormat="1" ht="27.95" customHeight="1" thickBot="1">
      <c r="A73" s="506" t="s">
        <v>339</v>
      </c>
      <c r="B73" s="507"/>
      <c r="C73" s="507"/>
      <c r="D73" s="507"/>
      <c r="E73" s="507"/>
      <c r="F73" s="125">
        <f>SUM(G73:J73)</f>
        <v>1631780</v>
      </c>
      <c r="G73" s="125">
        <f>SUM(G74:G81)</f>
        <v>1142895</v>
      </c>
      <c r="H73" s="125">
        <f>SUM(H74:H81)</f>
        <v>312122</v>
      </c>
      <c r="I73" s="125">
        <f>SUM(I74:I81)</f>
        <v>0</v>
      </c>
      <c r="J73" s="163">
        <f>103050+73713</f>
        <v>176763</v>
      </c>
      <c r="K73" s="281"/>
      <c r="L73" s="264"/>
      <c r="M73" s="159"/>
    </row>
    <row r="74" spans="1:13" s="160" customFormat="1" ht="51" customHeight="1" thickBot="1">
      <c r="A74" s="278" t="s">
        <v>371</v>
      </c>
      <c r="B74" s="139">
        <v>600</v>
      </c>
      <c r="C74" s="139">
        <v>60014</v>
      </c>
      <c r="D74" s="139">
        <v>6050</v>
      </c>
      <c r="E74" s="150" t="s">
        <v>341</v>
      </c>
      <c r="F74" s="151">
        <f>G74+103050</f>
        <v>508400</v>
      </c>
      <c r="G74" s="142">
        <f>255350+150000</f>
        <v>405350</v>
      </c>
      <c r="H74" s="182"/>
      <c r="I74" s="152"/>
      <c r="J74" s="144" t="s">
        <v>342</v>
      </c>
      <c r="K74" s="282"/>
      <c r="L74" s="255" t="s">
        <v>245</v>
      </c>
      <c r="M74" s="159"/>
    </row>
    <row r="75" spans="1:13" s="160" customFormat="1" ht="40.5" customHeight="1" thickBot="1">
      <c r="A75" s="278" t="s">
        <v>374</v>
      </c>
      <c r="B75" s="139">
        <v>600</v>
      </c>
      <c r="C75" s="139">
        <v>60014</v>
      </c>
      <c r="D75" s="139">
        <v>6050</v>
      </c>
      <c r="E75" s="183" t="s">
        <v>344</v>
      </c>
      <c r="F75" s="151">
        <f>SUM(G75:I75)</f>
        <v>255200</v>
      </c>
      <c r="G75" s="142">
        <f>100000+55200</f>
        <v>155200</v>
      </c>
      <c r="H75" s="142">
        <v>100000</v>
      </c>
      <c r="I75" s="152"/>
      <c r="J75" s="144"/>
      <c r="K75" s="282"/>
      <c r="L75" s="261" t="s">
        <v>245</v>
      </c>
      <c r="M75" s="159"/>
    </row>
    <row r="76" spans="1:13" s="160" customFormat="1" ht="36.75" customHeight="1" thickBot="1">
      <c r="A76" s="278" t="s">
        <v>377</v>
      </c>
      <c r="B76" s="139">
        <v>600</v>
      </c>
      <c r="C76" s="139">
        <v>60014</v>
      </c>
      <c r="D76" s="139">
        <v>6050</v>
      </c>
      <c r="E76" s="183" t="s">
        <v>346</v>
      </c>
      <c r="F76" s="151">
        <f>SUM(G76:I76)</f>
        <v>150000</v>
      </c>
      <c r="G76" s="142">
        <v>100000</v>
      </c>
      <c r="H76" s="142">
        <v>50000</v>
      </c>
      <c r="I76" s="152"/>
      <c r="J76" s="144"/>
      <c r="K76" s="280" t="s">
        <v>347</v>
      </c>
      <c r="L76" s="261" t="s">
        <v>245</v>
      </c>
      <c r="M76" s="159"/>
    </row>
    <row r="77" spans="1:13" s="160" customFormat="1" ht="94.5" customHeight="1" thickBot="1">
      <c r="A77" s="278" t="s">
        <v>379</v>
      </c>
      <c r="B77" s="139">
        <v>600</v>
      </c>
      <c r="C77" s="139">
        <v>60014</v>
      </c>
      <c r="D77" s="139">
        <v>6050</v>
      </c>
      <c r="E77" s="184" t="s">
        <v>469</v>
      </c>
      <c r="F77" s="151">
        <f>G77</f>
        <v>49800</v>
      </c>
      <c r="G77" s="142">
        <f>105000-55200</f>
        <v>49800</v>
      </c>
      <c r="H77" s="182"/>
      <c r="I77" s="152"/>
      <c r="J77" s="144"/>
      <c r="K77" s="282"/>
      <c r="L77" s="260"/>
      <c r="M77" s="159"/>
    </row>
    <row r="78" spans="1:13" s="160" customFormat="1" ht="47.25" customHeight="1" thickBot="1">
      <c r="A78" s="278" t="s">
        <v>380</v>
      </c>
      <c r="B78" s="139">
        <v>600</v>
      </c>
      <c r="C78" s="139">
        <v>60014</v>
      </c>
      <c r="D78" s="139">
        <v>6050</v>
      </c>
      <c r="E78" s="184" t="s">
        <v>350</v>
      </c>
      <c r="F78" s="151">
        <f>G78+H78+73713</f>
        <v>190548</v>
      </c>
      <c r="G78" s="142">
        <f>1400+20313</f>
        <v>21713</v>
      </c>
      <c r="H78" s="142">
        <f>78600+16522</f>
        <v>95122</v>
      </c>
      <c r="I78" s="143"/>
      <c r="J78" s="144" t="s">
        <v>473</v>
      </c>
      <c r="K78" s="351"/>
      <c r="L78" s="260"/>
      <c r="M78" s="159"/>
    </row>
    <row r="79" spans="1:13" s="160" customFormat="1" ht="39.75" customHeight="1" thickBot="1">
      <c r="A79" s="278" t="s">
        <v>382</v>
      </c>
      <c r="B79" s="139">
        <v>600</v>
      </c>
      <c r="C79" s="139">
        <v>60014</v>
      </c>
      <c r="D79" s="139">
        <v>6050</v>
      </c>
      <c r="E79" s="185" t="s">
        <v>352</v>
      </c>
      <c r="F79" s="151">
        <f>SUM(G79:I79)</f>
        <v>300122</v>
      </c>
      <c r="G79" s="142">
        <f>394122-150000-11000</f>
        <v>233122</v>
      </c>
      <c r="H79" s="142">
        <v>67000</v>
      </c>
      <c r="I79" s="152"/>
      <c r="J79" s="144"/>
      <c r="K79" s="282"/>
      <c r="L79" s="255" t="s">
        <v>245</v>
      </c>
      <c r="M79" s="159"/>
    </row>
    <row r="80" spans="1:13" s="160" customFormat="1" ht="52.5" customHeight="1" thickBot="1">
      <c r="A80" s="278" t="s">
        <v>385</v>
      </c>
      <c r="B80" s="146">
        <v>600</v>
      </c>
      <c r="C80" s="146">
        <v>60014</v>
      </c>
      <c r="D80" s="146">
        <v>6050</v>
      </c>
      <c r="E80" s="186" t="s">
        <v>354</v>
      </c>
      <c r="F80" s="162">
        <f>SUM(G80:I80)</f>
        <v>84550</v>
      </c>
      <c r="G80" s="133">
        <v>84550</v>
      </c>
      <c r="H80" s="133"/>
      <c r="I80" s="187"/>
      <c r="J80" s="135"/>
      <c r="K80" s="283"/>
      <c r="L80" s="261" t="s">
        <v>245</v>
      </c>
      <c r="M80" s="159"/>
    </row>
    <row r="81" spans="1:15" s="160" customFormat="1" ht="54" customHeight="1" thickBot="1">
      <c r="A81" s="278" t="s">
        <v>388</v>
      </c>
      <c r="B81" s="146">
        <v>600</v>
      </c>
      <c r="C81" s="146">
        <v>60014</v>
      </c>
      <c r="D81" s="146">
        <v>6050</v>
      </c>
      <c r="E81" s="186" t="s">
        <v>356</v>
      </c>
      <c r="F81" s="162">
        <f>SUM(G81:I81)</f>
        <v>93160</v>
      </c>
      <c r="G81" s="133">
        <v>93160</v>
      </c>
      <c r="H81" s="133"/>
      <c r="I81" s="187"/>
      <c r="J81" s="135"/>
      <c r="K81" s="283"/>
      <c r="L81" s="261" t="s">
        <v>245</v>
      </c>
      <c r="M81" s="159"/>
    </row>
    <row r="82" spans="1:15" s="173" customFormat="1" ht="27.95" customHeight="1" thickBot="1">
      <c r="A82" s="511"/>
      <c r="B82" s="512"/>
      <c r="C82" s="512"/>
      <c r="D82" s="512"/>
      <c r="E82" s="513"/>
      <c r="F82" s="125">
        <f>SUM(G82:J82)</f>
        <v>711600</v>
      </c>
      <c r="G82" s="125">
        <f>SUM(G83:G83)</f>
        <v>250000</v>
      </c>
      <c r="H82" s="125">
        <f>SUM(H83:H83)</f>
        <v>300000</v>
      </c>
      <c r="I82" s="125">
        <f>SUM(I83:I83)</f>
        <v>0</v>
      </c>
      <c r="J82" s="125">
        <f>136600+25000</f>
        <v>161600</v>
      </c>
      <c r="K82" s="281"/>
      <c r="L82" s="263"/>
      <c r="M82" s="172"/>
    </row>
    <row r="83" spans="1:15" s="160" customFormat="1" ht="30" customHeight="1" thickBot="1">
      <c r="A83" s="278" t="s">
        <v>391</v>
      </c>
      <c r="B83" s="139">
        <v>600</v>
      </c>
      <c r="C83" s="139">
        <v>60014</v>
      </c>
      <c r="D83" s="139">
        <v>6060</v>
      </c>
      <c r="E83" s="150" t="s">
        <v>358</v>
      </c>
      <c r="F83" s="151">
        <f>SUM(G83:H83)+136600+25000</f>
        <v>711600</v>
      </c>
      <c r="G83" s="151">
        <f>250000</f>
        <v>250000</v>
      </c>
      <c r="H83" s="151">
        <v>300000</v>
      </c>
      <c r="I83" s="143"/>
      <c r="J83" s="144" t="s">
        <v>475</v>
      </c>
      <c r="K83" s="280"/>
      <c r="L83" s="352"/>
      <c r="M83" s="159"/>
    </row>
    <row r="84" spans="1:15" s="158" customFormat="1" ht="35.1" customHeight="1" thickBot="1">
      <c r="A84" s="514" t="s">
        <v>359</v>
      </c>
      <c r="B84" s="515"/>
      <c r="C84" s="515"/>
      <c r="D84" s="515"/>
      <c r="E84" s="515"/>
      <c r="F84" s="188">
        <f>SUM(F7,F14,F22,F37,F50,F61,F66,F73,F82)</f>
        <v>15973828</v>
      </c>
      <c r="G84" s="188">
        <f>SUM(G7,G14,G22,G37,G50,G61,G66,G73,G82)</f>
        <v>4997046</v>
      </c>
      <c r="H84" s="188">
        <f>SUM(H7,H14,H22,H37,H50,H61,H66,H73,H82)</f>
        <v>3821600</v>
      </c>
      <c r="I84" s="188">
        <f>SUM(I7,I14,I22,I37,I50,I61,I66,I73,I82)</f>
        <v>0</v>
      </c>
      <c r="J84" s="188">
        <f>SUM(J7,J14,J22,J37,J50,J61,J66,J73,J82)</f>
        <v>7155182</v>
      </c>
      <c r="K84" s="286"/>
      <c r="L84" s="267"/>
      <c r="M84" s="157"/>
      <c r="N84" s="189"/>
      <c r="O84" s="189"/>
    </row>
    <row r="85" spans="1:15" s="158" customFormat="1" ht="50.25" customHeight="1" thickBot="1">
      <c r="A85" s="190" t="s">
        <v>394</v>
      </c>
      <c r="B85" s="191">
        <v>630</v>
      </c>
      <c r="C85" s="191">
        <v>63003</v>
      </c>
      <c r="D85" s="192">
        <v>6300</v>
      </c>
      <c r="E85" s="315" t="s">
        <v>361</v>
      </c>
      <c r="F85" s="193">
        <f>G85</f>
        <v>10000</v>
      </c>
      <c r="G85" s="194">
        <v>10000</v>
      </c>
      <c r="H85" s="194"/>
      <c r="I85" s="194"/>
      <c r="J85" s="194"/>
      <c r="K85" s="287"/>
      <c r="L85" s="268"/>
      <c r="M85" s="157"/>
      <c r="N85" s="189"/>
      <c r="O85" s="189"/>
    </row>
    <row r="86" spans="1:15" s="158" customFormat="1" ht="35.1" customHeight="1" thickBot="1">
      <c r="A86" s="501" t="s">
        <v>362</v>
      </c>
      <c r="B86" s="502"/>
      <c r="C86" s="502"/>
      <c r="D86" s="502"/>
      <c r="E86" s="503"/>
      <c r="F86" s="195">
        <f>F85</f>
        <v>10000</v>
      </c>
      <c r="G86" s="196">
        <f>G85</f>
        <v>10000</v>
      </c>
      <c r="H86" s="196"/>
      <c r="I86" s="196"/>
      <c r="J86" s="196"/>
      <c r="K86" s="288"/>
      <c r="L86" s="269"/>
      <c r="M86" s="157"/>
      <c r="N86" s="189"/>
      <c r="O86" s="189"/>
    </row>
    <row r="87" spans="1:15" s="160" customFormat="1" ht="28.5" customHeight="1" thickBot="1">
      <c r="A87" s="289" t="s">
        <v>397</v>
      </c>
      <c r="B87" s="197">
        <v>710</v>
      </c>
      <c r="C87" s="197">
        <v>71012</v>
      </c>
      <c r="D87" s="197">
        <v>6060</v>
      </c>
      <c r="E87" s="198" t="s">
        <v>364</v>
      </c>
      <c r="F87" s="199">
        <f>G87</f>
        <v>50000</v>
      </c>
      <c r="G87" s="199">
        <f>45000+5000</f>
        <v>50000</v>
      </c>
      <c r="H87" s="199"/>
      <c r="I87" s="198"/>
      <c r="J87" s="198"/>
      <c r="K87" s="290"/>
      <c r="L87" s="316"/>
      <c r="M87" s="159"/>
    </row>
    <row r="88" spans="1:15" s="160" customFormat="1" ht="30" customHeight="1" thickBot="1">
      <c r="A88" s="291" t="s">
        <v>400</v>
      </c>
      <c r="B88" s="139">
        <v>710</v>
      </c>
      <c r="C88" s="139">
        <v>71012</v>
      </c>
      <c r="D88" s="139">
        <v>6060</v>
      </c>
      <c r="E88" s="143" t="s">
        <v>366</v>
      </c>
      <c r="F88" s="151">
        <f>G88</f>
        <v>61000</v>
      </c>
      <c r="G88" s="151">
        <f>110000-22000-22000-5000</f>
        <v>61000</v>
      </c>
      <c r="H88" s="151"/>
      <c r="I88" s="143"/>
      <c r="J88" s="143"/>
      <c r="K88" s="280"/>
      <c r="L88" s="260"/>
      <c r="M88" s="159"/>
    </row>
    <row r="89" spans="1:15" s="160" customFormat="1" ht="35.1" customHeight="1" thickBot="1">
      <c r="A89" s="516" t="s">
        <v>367</v>
      </c>
      <c r="B89" s="517"/>
      <c r="C89" s="517"/>
      <c r="D89" s="517"/>
      <c r="E89" s="517"/>
      <c r="F89" s="202">
        <f>SUM(F87:F88)</f>
        <v>111000</v>
      </c>
      <c r="G89" s="202">
        <f>SUM(G87:G88)</f>
        <v>111000</v>
      </c>
      <c r="H89" s="202">
        <f>H87</f>
        <v>0</v>
      </c>
      <c r="I89" s="202"/>
      <c r="J89" s="202"/>
      <c r="K89" s="292"/>
      <c r="L89" s="259"/>
      <c r="M89" s="159"/>
    </row>
    <row r="90" spans="1:15" s="160" customFormat="1" ht="45" customHeight="1" thickBot="1">
      <c r="A90" s="291" t="s">
        <v>403</v>
      </c>
      <c r="B90" s="139">
        <v>710</v>
      </c>
      <c r="C90" s="139">
        <v>71095</v>
      </c>
      <c r="D90" s="139">
        <v>6639</v>
      </c>
      <c r="E90" s="150" t="s">
        <v>369</v>
      </c>
      <c r="F90" s="151">
        <f>G90</f>
        <v>8476</v>
      </c>
      <c r="G90" s="151">
        <f>97666-8000-81190</f>
        <v>8476</v>
      </c>
      <c r="H90" s="151"/>
      <c r="I90" s="151"/>
      <c r="J90" s="151"/>
      <c r="K90" s="280"/>
      <c r="L90" s="260" t="s">
        <v>245</v>
      </c>
      <c r="M90" s="159"/>
    </row>
    <row r="91" spans="1:15" s="160" customFormat="1" ht="35.1" customHeight="1" thickBot="1">
      <c r="A91" s="518" t="s">
        <v>370</v>
      </c>
      <c r="B91" s="519"/>
      <c r="C91" s="519"/>
      <c r="D91" s="519"/>
      <c r="E91" s="520"/>
      <c r="F91" s="188">
        <f>SUM(F90)</f>
        <v>8476</v>
      </c>
      <c r="G91" s="203">
        <f>SUM(G90)</f>
        <v>8476</v>
      </c>
      <c r="H91" s="188"/>
      <c r="I91" s="188"/>
      <c r="J91" s="188"/>
      <c r="K91" s="286"/>
      <c r="L91" s="256"/>
      <c r="M91" s="159"/>
    </row>
    <row r="92" spans="1:15" s="160" customFormat="1" ht="53.25" customHeight="1" thickBot="1">
      <c r="A92" s="291" t="s">
        <v>405</v>
      </c>
      <c r="B92" s="139">
        <v>750</v>
      </c>
      <c r="C92" s="139">
        <v>75011</v>
      </c>
      <c r="D92" s="204">
        <v>6060</v>
      </c>
      <c r="E92" s="305" t="s">
        <v>372</v>
      </c>
      <c r="F92" s="141">
        <f>SUM(G92:I92)</f>
        <v>17000</v>
      </c>
      <c r="G92" s="151">
        <v>2000</v>
      </c>
      <c r="H92" s="151">
        <v>15000</v>
      </c>
      <c r="I92" s="151"/>
      <c r="J92" s="151"/>
      <c r="K92" s="293"/>
      <c r="L92" s="317"/>
      <c r="M92" s="159"/>
    </row>
    <row r="93" spans="1:15" s="160" customFormat="1" ht="35.1" customHeight="1" thickBot="1">
      <c r="A93" s="518" t="s">
        <v>373</v>
      </c>
      <c r="B93" s="519"/>
      <c r="C93" s="519"/>
      <c r="D93" s="519"/>
      <c r="E93" s="521"/>
      <c r="F93" s="188">
        <f>F92</f>
        <v>17000</v>
      </c>
      <c r="G93" s="188">
        <f>G92</f>
        <v>2000</v>
      </c>
      <c r="H93" s="188">
        <f>H92</f>
        <v>15000</v>
      </c>
      <c r="I93" s="188"/>
      <c r="J93" s="188"/>
      <c r="K93" s="286"/>
      <c r="L93" s="256"/>
      <c r="M93" s="159"/>
    </row>
    <row r="94" spans="1:15" s="160" customFormat="1" ht="39" customHeight="1" thickBot="1">
      <c r="A94" s="340" t="s">
        <v>407</v>
      </c>
      <c r="B94" s="335">
        <v>750</v>
      </c>
      <c r="C94" s="335">
        <v>75019</v>
      </c>
      <c r="D94" s="335">
        <v>6050</v>
      </c>
      <c r="E94" s="339" t="s">
        <v>375</v>
      </c>
      <c r="F94" s="336">
        <f>SUM(G94:I94)</f>
        <v>0</v>
      </c>
      <c r="G94" s="336">
        <v>0</v>
      </c>
      <c r="H94" s="336">
        <v>0</v>
      </c>
      <c r="I94" s="336"/>
      <c r="J94" s="336"/>
      <c r="K94" s="379"/>
      <c r="L94" s="256"/>
      <c r="M94" s="159"/>
    </row>
    <row r="95" spans="1:15" s="160" customFormat="1" ht="35.1" customHeight="1" thickBot="1">
      <c r="A95" s="522" t="s">
        <v>376</v>
      </c>
      <c r="B95" s="523"/>
      <c r="C95" s="524"/>
      <c r="D95" s="524"/>
      <c r="E95" s="521"/>
      <c r="F95" s="205">
        <f>SUM(F94)</f>
        <v>0</v>
      </c>
      <c r="G95" s="205">
        <f>SUM(G94)</f>
        <v>0</v>
      </c>
      <c r="H95" s="205">
        <f>SUM(H94)</f>
        <v>0</v>
      </c>
      <c r="I95" s="205"/>
      <c r="J95" s="206"/>
      <c r="K95" s="207"/>
      <c r="L95" s="318"/>
      <c r="M95" s="159"/>
    </row>
    <row r="96" spans="1:15" s="137" customFormat="1" ht="51" customHeight="1" thickBot="1">
      <c r="A96" s="340" t="s">
        <v>409</v>
      </c>
      <c r="B96" s="335">
        <v>750</v>
      </c>
      <c r="C96" s="335">
        <v>75020</v>
      </c>
      <c r="D96" s="335">
        <v>6050</v>
      </c>
      <c r="E96" s="339" t="s">
        <v>378</v>
      </c>
      <c r="F96" s="336">
        <f t="shared" ref="F96:F101" si="2">SUM(G96:H96)</f>
        <v>13300</v>
      </c>
      <c r="G96" s="336">
        <v>0</v>
      </c>
      <c r="H96" s="336">
        <f>1000000+300000-386700-900000</f>
        <v>13300</v>
      </c>
      <c r="I96" s="337"/>
      <c r="J96" s="337"/>
      <c r="K96" s="375"/>
      <c r="L96" s="316" t="s">
        <v>245</v>
      </c>
      <c r="M96" s="136"/>
    </row>
    <row r="97" spans="1:13" s="137" customFormat="1" ht="51" customHeight="1" thickBot="1">
      <c r="A97" s="291" t="s">
        <v>412</v>
      </c>
      <c r="B97" s="139">
        <v>750</v>
      </c>
      <c r="C97" s="139">
        <v>75020</v>
      </c>
      <c r="D97" s="139">
        <v>6050</v>
      </c>
      <c r="E97" s="150" t="s">
        <v>483</v>
      </c>
      <c r="F97" s="151">
        <f t="shared" si="2"/>
        <v>70000</v>
      </c>
      <c r="G97" s="151"/>
      <c r="H97" s="151">
        <v>70000</v>
      </c>
      <c r="I97" s="143"/>
      <c r="J97" s="143"/>
      <c r="K97" s="279"/>
      <c r="L97" s="316"/>
      <c r="M97" s="136"/>
    </row>
    <row r="98" spans="1:13" s="137" customFormat="1" ht="51" customHeight="1" thickBot="1">
      <c r="A98" s="291" t="s">
        <v>413</v>
      </c>
      <c r="B98" s="139">
        <v>750</v>
      </c>
      <c r="C98" s="139">
        <v>75020</v>
      </c>
      <c r="D98" s="139">
        <v>6060</v>
      </c>
      <c r="E98" s="150" t="s">
        <v>484</v>
      </c>
      <c r="F98" s="151">
        <f t="shared" si="2"/>
        <v>28000</v>
      </c>
      <c r="G98" s="151"/>
      <c r="H98" s="151">
        <v>28000</v>
      </c>
      <c r="I98" s="143"/>
      <c r="J98" s="143"/>
      <c r="K98" s="279"/>
      <c r="L98" s="316"/>
      <c r="M98" s="136"/>
    </row>
    <row r="99" spans="1:13" s="137" customFormat="1" ht="46.9" customHeight="1" thickBot="1">
      <c r="A99" s="291" t="s">
        <v>417</v>
      </c>
      <c r="B99" s="139">
        <v>750</v>
      </c>
      <c r="C99" s="139">
        <v>75020</v>
      </c>
      <c r="D99" s="139">
        <v>6050</v>
      </c>
      <c r="E99" s="150" t="s">
        <v>457</v>
      </c>
      <c r="F99" s="151">
        <f t="shared" si="2"/>
        <v>0</v>
      </c>
      <c r="G99" s="151">
        <v>0</v>
      </c>
      <c r="H99" s="151">
        <f>820700-120000-700700</f>
        <v>0</v>
      </c>
      <c r="I99" s="143"/>
      <c r="J99" s="143"/>
      <c r="K99" s="280"/>
      <c r="L99" s="211" t="s">
        <v>245</v>
      </c>
      <c r="M99" s="136"/>
    </row>
    <row r="100" spans="1:13" s="137" customFormat="1" ht="46.9" customHeight="1" thickBot="1">
      <c r="A100" s="291" t="s">
        <v>420</v>
      </c>
      <c r="B100" s="139">
        <v>750</v>
      </c>
      <c r="C100" s="139">
        <v>75020</v>
      </c>
      <c r="D100" s="139">
        <v>6050</v>
      </c>
      <c r="E100" s="150" t="s">
        <v>381</v>
      </c>
      <c r="F100" s="151">
        <f t="shared" si="2"/>
        <v>22054</v>
      </c>
      <c r="G100" s="151">
        <f>22000+54</f>
        <v>22054</v>
      </c>
      <c r="H100" s="151"/>
      <c r="I100" s="143"/>
      <c r="J100" s="143"/>
      <c r="K100" s="280"/>
      <c r="L100" s="270"/>
      <c r="M100" s="136"/>
    </row>
    <row r="101" spans="1:13" s="137" customFormat="1" ht="46.9" customHeight="1" thickBot="1">
      <c r="A101" s="291" t="s">
        <v>422</v>
      </c>
      <c r="B101" s="139">
        <v>750</v>
      </c>
      <c r="C101" s="139">
        <v>75020</v>
      </c>
      <c r="D101" s="139">
        <v>6050</v>
      </c>
      <c r="E101" s="150" t="s">
        <v>383</v>
      </c>
      <c r="F101" s="151">
        <f t="shared" si="2"/>
        <v>14500</v>
      </c>
      <c r="G101" s="151">
        <v>14500</v>
      </c>
      <c r="H101" s="151"/>
      <c r="I101" s="143"/>
      <c r="J101" s="143"/>
      <c r="K101" s="280"/>
      <c r="L101" s="271"/>
      <c r="M101" s="136"/>
    </row>
    <row r="102" spans="1:13" s="201" customFormat="1" ht="35.25" customHeight="1" thickBot="1">
      <c r="A102" s="516" t="s">
        <v>384</v>
      </c>
      <c r="B102" s="517"/>
      <c r="C102" s="517"/>
      <c r="D102" s="517"/>
      <c r="E102" s="517"/>
      <c r="F102" s="202">
        <f t="shared" ref="F102:K102" si="3">SUM(F96:F101)</f>
        <v>147854</v>
      </c>
      <c r="G102" s="202">
        <f t="shared" si="3"/>
        <v>36554</v>
      </c>
      <c r="H102" s="202">
        <f t="shared" si="3"/>
        <v>111300</v>
      </c>
      <c r="I102" s="202">
        <f t="shared" si="3"/>
        <v>0</v>
      </c>
      <c r="J102" s="202">
        <f t="shared" si="3"/>
        <v>0</v>
      </c>
      <c r="K102" s="294">
        <f t="shared" si="3"/>
        <v>0</v>
      </c>
      <c r="L102" s="319"/>
      <c r="M102" s="200"/>
    </row>
    <row r="103" spans="1:13" s="160" customFormat="1" ht="51" customHeight="1" thickBot="1">
      <c r="A103" s="291" t="s">
        <v>425</v>
      </c>
      <c r="B103" s="139">
        <v>750</v>
      </c>
      <c r="C103" s="139">
        <v>75095</v>
      </c>
      <c r="D103" s="139">
        <v>6639</v>
      </c>
      <c r="E103" s="150" t="s">
        <v>386</v>
      </c>
      <c r="F103" s="151">
        <f>G103</f>
        <v>0</v>
      </c>
      <c r="G103" s="151">
        <f>8000-8000</f>
        <v>0</v>
      </c>
      <c r="H103" s="151"/>
      <c r="I103" s="151"/>
      <c r="J103" s="151"/>
      <c r="K103" s="280"/>
      <c r="L103" s="255" t="s">
        <v>245</v>
      </c>
      <c r="M103" s="159"/>
    </row>
    <row r="104" spans="1:13" s="160" customFormat="1" ht="35.1" customHeight="1" thickBot="1">
      <c r="A104" s="518" t="s">
        <v>387</v>
      </c>
      <c r="B104" s="519"/>
      <c r="C104" s="519"/>
      <c r="D104" s="519"/>
      <c r="E104" s="520"/>
      <c r="F104" s="188">
        <f>SUM(F103)</f>
        <v>0</v>
      </c>
      <c r="G104" s="188">
        <f>SUM(G103)</f>
        <v>0</v>
      </c>
      <c r="H104" s="188"/>
      <c r="I104" s="188"/>
      <c r="J104" s="188"/>
      <c r="K104" s="286"/>
      <c r="L104" s="256"/>
      <c r="M104" s="159"/>
    </row>
    <row r="105" spans="1:13" s="160" customFormat="1" ht="45" customHeight="1" thickBot="1">
      <c r="A105" s="291" t="s">
        <v>427</v>
      </c>
      <c r="B105" s="139">
        <v>754</v>
      </c>
      <c r="C105" s="139">
        <v>75404</v>
      </c>
      <c r="D105" s="139">
        <v>6170</v>
      </c>
      <c r="E105" s="143" t="s">
        <v>389</v>
      </c>
      <c r="F105" s="151">
        <f>G105</f>
        <v>131610</v>
      </c>
      <c r="G105" s="151">
        <v>131610</v>
      </c>
      <c r="H105" s="151"/>
      <c r="I105" s="143"/>
      <c r="J105" s="143"/>
      <c r="K105" s="280"/>
      <c r="L105" s="270"/>
      <c r="M105" s="159"/>
    </row>
    <row r="106" spans="1:13" s="201" customFormat="1" ht="35.25" customHeight="1" thickBot="1">
      <c r="A106" s="525" t="s">
        <v>390</v>
      </c>
      <c r="B106" s="526"/>
      <c r="C106" s="526"/>
      <c r="D106" s="526"/>
      <c r="E106" s="527"/>
      <c r="F106" s="202">
        <f>F105</f>
        <v>131610</v>
      </c>
      <c r="G106" s="202">
        <f>G105</f>
        <v>131610</v>
      </c>
      <c r="H106" s="202"/>
      <c r="I106" s="208"/>
      <c r="J106" s="208"/>
      <c r="K106" s="292"/>
      <c r="L106" s="319"/>
      <c r="M106" s="200"/>
    </row>
    <row r="107" spans="1:13" s="160" customFormat="1" ht="38.25" customHeight="1" thickBot="1">
      <c r="A107" s="291" t="s">
        <v>430</v>
      </c>
      <c r="B107" s="139">
        <v>754</v>
      </c>
      <c r="C107" s="139">
        <v>75410</v>
      </c>
      <c r="D107" s="139">
        <v>6170</v>
      </c>
      <c r="E107" s="150" t="s">
        <v>392</v>
      </c>
      <c r="F107" s="151">
        <f>G107</f>
        <v>0</v>
      </c>
      <c r="G107" s="151">
        <f>30000-30000</f>
        <v>0</v>
      </c>
      <c r="H107" s="151"/>
      <c r="I107" s="143"/>
      <c r="J107" s="144"/>
      <c r="K107" s="280"/>
      <c r="L107" s="320"/>
      <c r="M107" s="159"/>
    </row>
    <row r="108" spans="1:13" s="201" customFormat="1" ht="35.1" customHeight="1" thickBot="1">
      <c r="A108" s="525" t="s">
        <v>393</v>
      </c>
      <c r="B108" s="526"/>
      <c r="C108" s="526"/>
      <c r="D108" s="526"/>
      <c r="E108" s="527"/>
      <c r="F108" s="202">
        <f>SUM(F107:F107)</f>
        <v>0</v>
      </c>
      <c r="G108" s="202">
        <f>SUM(G107:G107)</f>
        <v>0</v>
      </c>
      <c r="H108" s="202"/>
      <c r="I108" s="208"/>
      <c r="J108" s="202"/>
      <c r="K108" s="292"/>
      <c r="L108" s="319"/>
      <c r="M108" s="200"/>
    </row>
    <row r="109" spans="1:13" s="210" customFormat="1" ht="34.5" customHeight="1" thickBot="1">
      <c r="A109" s="291" t="s">
        <v>433</v>
      </c>
      <c r="B109" s="139">
        <v>758</v>
      </c>
      <c r="C109" s="139">
        <v>75818</v>
      </c>
      <c r="D109" s="139">
        <v>6800</v>
      </c>
      <c r="E109" s="150" t="s">
        <v>395</v>
      </c>
      <c r="F109" s="151">
        <f>G109</f>
        <v>1058336</v>
      </c>
      <c r="G109" s="151">
        <f>500000+820000+1493770-110000-131610-1000000-489000-20000-54-4770</f>
        <v>1058336</v>
      </c>
      <c r="H109" s="151"/>
      <c r="I109" s="143"/>
      <c r="J109" s="143"/>
      <c r="K109" s="280"/>
      <c r="L109" s="320"/>
      <c r="M109" s="209"/>
    </row>
    <row r="110" spans="1:13" s="160" customFormat="1" ht="35.1" customHeight="1" thickBot="1">
      <c r="A110" s="514" t="s">
        <v>396</v>
      </c>
      <c r="B110" s="515"/>
      <c r="C110" s="515"/>
      <c r="D110" s="515"/>
      <c r="E110" s="515"/>
      <c r="F110" s="188">
        <f>SUM(F109)</f>
        <v>1058336</v>
      </c>
      <c r="G110" s="188">
        <f>SUM(G109)</f>
        <v>1058336</v>
      </c>
      <c r="H110" s="188">
        <f>SUM(H109)</f>
        <v>0</v>
      </c>
      <c r="I110" s="218"/>
      <c r="J110" s="218"/>
      <c r="K110" s="286"/>
      <c r="L110" s="320"/>
      <c r="M110" s="159"/>
    </row>
    <row r="111" spans="1:13" s="160" customFormat="1" ht="35.1" customHeight="1" thickBot="1">
      <c r="A111" s="219" t="s">
        <v>446</v>
      </c>
      <c r="B111" s="219">
        <v>801</v>
      </c>
      <c r="C111" s="219">
        <v>80115</v>
      </c>
      <c r="D111" s="219">
        <v>6050</v>
      </c>
      <c r="E111" s="326" t="s">
        <v>492</v>
      </c>
      <c r="F111" s="220">
        <f>SUM(G111:I111)</f>
        <v>128700</v>
      </c>
      <c r="G111" s="220"/>
      <c r="H111" s="220">
        <v>128700</v>
      </c>
      <c r="I111" s="221"/>
      <c r="J111" s="221"/>
      <c r="K111" s="222"/>
      <c r="L111" s="270"/>
      <c r="M111" s="159"/>
    </row>
    <row r="112" spans="1:13" s="160" customFormat="1" ht="35.1" customHeight="1" thickBot="1">
      <c r="A112" s="219" t="s">
        <v>447</v>
      </c>
      <c r="B112" s="219">
        <v>801</v>
      </c>
      <c r="C112" s="219">
        <v>80115</v>
      </c>
      <c r="D112" s="219">
        <v>6050</v>
      </c>
      <c r="E112" s="326" t="s">
        <v>488</v>
      </c>
      <c r="F112" s="220">
        <f>SUM(G112:I112)</f>
        <v>160000</v>
      </c>
      <c r="G112" s="220"/>
      <c r="H112" s="220">
        <v>160000</v>
      </c>
      <c r="I112" s="221"/>
      <c r="J112" s="221"/>
      <c r="K112" s="222"/>
      <c r="L112" s="270"/>
      <c r="M112" s="159"/>
    </row>
    <row r="113" spans="1:14" s="160" customFormat="1" ht="35.1" customHeight="1" thickBot="1">
      <c r="A113" s="528" t="s">
        <v>489</v>
      </c>
      <c r="B113" s="529"/>
      <c r="C113" s="529"/>
      <c r="D113" s="529"/>
      <c r="E113" s="530"/>
      <c r="F113" s="205">
        <f>SUM(F111:F112)</f>
        <v>288700</v>
      </c>
      <c r="G113" s="205">
        <f>SUM(G111:G112)</f>
        <v>0</v>
      </c>
      <c r="H113" s="205">
        <f>SUM(H111:H112)</f>
        <v>288700</v>
      </c>
      <c r="I113" s="345"/>
      <c r="J113" s="348"/>
      <c r="K113" s="349"/>
      <c r="L113" s="320"/>
      <c r="M113" s="159"/>
    </row>
    <row r="114" spans="1:14" s="137" customFormat="1" ht="37.5" customHeight="1" thickBot="1">
      <c r="A114" s="278" t="s">
        <v>448</v>
      </c>
      <c r="B114" s="139">
        <v>801</v>
      </c>
      <c r="C114" s="139">
        <v>80120</v>
      </c>
      <c r="D114" s="139">
        <v>6580</v>
      </c>
      <c r="E114" s="143" t="s">
        <v>398</v>
      </c>
      <c r="F114" s="151">
        <f>SUM(G114:H114)+620000</f>
        <v>1620000</v>
      </c>
      <c r="G114" s="151"/>
      <c r="H114" s="151">
        <v>1000000</v>
      </c>
      <c r="I114" s="143"/>
      <c r="J114" s="346" t="s">
        <v>399</v>
      </c>
      <c r="K114" s="347"/>
      <c r="L114" s="211" t="s">
        <v>245</v>
      </c>
      <c r="M114" s="136"/>
    </row>
    <row r="115" spans="1:14" s="137" customFormat="1" ht="37.5" customHeight="1" thickBot="1">
      <c r="A115" s="278" t="s">
        <v>449</v>
      </c>
      <c r="B115" s="139">
        <v>801</v>
      </c>
      <c r="C115" s="139">
        <v>80120</v>
      </c>
      <c r="D115" s="139">
        <v>6580</v>
      </c>
      <c r="E115" s="143" t="s">
        <v>524</v>
      </c>
      <c r="F115" s="151">
        <f>SUM(G115:I115)+90000</f>
        <v>356700</v>
      </c>
      <c r="G115" s="151">
        <v>79000</v>
      </c>
      <c r="H115" s="151">
        <v>187700</v>
      </c>
      <c r="I115" s="143"/>
      <c r="J115" s="144" t="s">
        <v>401</v>
      </c>
      <c r="K115" s="290"/>
      <c r="L115" s="272" t="s">
        <v>245</v>
      </c>
      <c r="M115" s="136"/>
    </row>
    <row r="116" spans="1:14" s="213" customFormat="1" ht="35.1" customHeight="1" thickBot="1">
      <c r="A116" s="516" t="s">
        <v>402</v>
      </c>
      <c r="B116" s="517"/>
      <c r="C116" s="517"/>
      <c r="D116" s="517"/>
      <c r="E116" s="517"/>
      <c r="F116" s="202">
        <f>SUM(F114:F115)</f>
        <v>1976700</v>
      </c>
      <c r="G116" s="202">
        <f>SUM(G114:G115)</f>
        <v>79000</v>
      </c>
      <c r="H116" s="202">
        <f>SUM(H114:H115)</f>
        <v>1187700</v>
      </c>
      <c r="I116" s="208"/>
      <c r="J116" s="202">
        <f>620000+90000</f>
        <v>710000</v>
      </c>
      <c r="K116" s="292"/>
      <c r="L116" s="320"/>
      <c r="M116" s="212"/>
    </row>
    <row r="117" spans="1:14" s="137" customFormat="1" ht="45" customHeight="1" thickBot="1">
      <c r="A117" s="376" t="s">
        <v>450</v>
      </c>
      <c r="B117" s="335">
        <v>851</v>
      </c>
      <c r="C117" s="335">
        <v>85111</v>
      </c>
      <c r="D117" s="335">
        <v>6010</v>
      </c>
      <c r="E117" s="337" t="s">
        <v>404</v>
      </c>
      <c r="F117" s="336">
        <f>SUM(G117:H117)</f>
        <v>27297600</v>
      </c>
      <c r="G117" s="336">
        <f>2566600-120000-700700+5938000</f>
        <v>7683900</v>
      </c>
      <c r="H117" s="336">
        <f>2500000+14993000+120000+700700+1300000</f>
        <v>19613700</v>
      </c>
      <c r="I117" s="364"/>
      <c r="J117" s="364"/>
      <c r="K117" s="370"/>
      <c r="L117" s="321"/>
      <c r="M117" s="136"/>
    </row>
    <row r="118" spans="1:14" s="137" customFormat="1" ht="54.75" customHeight="1" thickBot="1">
      <c r="A118" s="278" t="s">
        <v>451</v>
      </c>
      <c r="B118" s="139">
        <v>851</v>
      </c>
      <c r="C118" s="139">
        <v>85111</v>
      </c>
      <c r="D118" s="139">
        <v>6230</v>
      </c>
      <c r="E118" s="143" t="s">
        <v>500</v>
      </c>
      <c r="F118" s="151">
        <v>5700000</v>
      </c>
      <c r="G118" s="151"/>
      <c r="H118" s="151"/>
      <c r="I118" s="143"/>
      <c r="J118" s="144" t="s">
        <v>406</v>
      </c>
      <c r="K118" s="280"/>
      <c r="L118" s="321"/>
      <c r="M118" s="136"/>
    </row>
    <row r="119" spans="1:14" s="137" customFormat="1" ht="48" customHeight="1" thickBot="1">
      <c r="A119" s="295" t="s">
        <v>452</v>
      </c>
      <c r="B119" s="139">
        <v>851</v>
      </c>
      <c r="C119" s="139">
        <v>85111</v>
      </c>
      <c r="D119" s="139">
        <v>6050</v>
      </c>
      <c r="E119" s="143" t="s">
        <v>408</v>
      </c>
      <c r="F119" s="151">
        <f>SUM(G119:H119)</f>
        <v>0</v>
      </c>
      <c r="G119" s="151">
        <f>7500-7500</f>
        <v>0</v>
      </c>
      <c r="H119" s="151"/>
      <c r="I119" s="143"/>
      <c r="J119" s="144"/>
      <c r="K119" s="280"/>
      <c r="L119" s="321"/>
      <c r="M119" s="136"/>
    </row>
    <row r="120" spans="1:14" s="137" customFormat="1" ht="48" customHeight="1" thickBot="1">
      <c r="A120" s="278" t="s">
        <v>453</v>
      </c>
      <c r="B120" s="139">
        <v>851</v>
      </c>
      <c r="C120" s="139">
        <v>85111</v>
      </c>
      <c r="D120" s="139">
        <v>6060</v>
      </c>
      <c r="E120" s="143" t="s">
        <v>410</v>
      </c>
      <c r="F120" s="151">
        <f>SUM(G120:H120)</f>
        <v>7500</v>
      </c>
      <c r="G120" s="151">
        <v>7500</v>
      </c>
      <c r="H120" s="151"/>
      <c r="I120" s="143"/>
      <c r="J120" s="144"/>
      <c r="K120" s="280"/>
      <c r="L120" s="321"/>
      <c r="M120" s="136"/>
    </row>
    <row r="121" spans="1:14" s="213" customFormat="1" ht="35.1" customHeight="1" thickBot="1">
      <c r="A121" s="516" t="s">
        <v>411</v>
      </c>
      <c r="B121" s="517"/>
      <c r="C121" s="517"/>
      <c r="D121" s="517"/>
      <c r="E121" s="517"/>
      <c r="F121" s="202">
        <f>SUM(F117:F120)</f>
        <v>33005100</v>
      </c>
      <c r="G121" s="202">
        <f>SUM(G117:G120)</f>
        <v>7691400</v>
      </c>
      <c r="H121" s="202">
        <f>SUM(H117:H120)</f>
        <v>19613700</v>
      </c>
      <c r="I121" s="202">
        <f>SUM(I117:I120)</f>
        <v>0</v>
      </c>
      <c r="J121" s="202">
        <v>5700000</v>
      </c>
      <c r="K121" s="294"/>
      <c r="L121" s="320"/>
      <c r="M121" s="212"/>
      <c r="N121" s="214"/>
    </row>
    <row r="122" spans="1:14" s="213" customFormat="1" ht="51" customHeight="1" thickBot="1">
      <c r="A122" s="291" t="s">
        <v>454</v>
      </c>
      <c r="B122" s="139">
        <v>852</v>
      </c>
      <c r="C122" s="139">
        <v>85202</v>
      </c>
      <c r="D122" s="139">
        <v>6050</v>
      </c>
      <c r="E122" s="150" t="s">
        <v>499</v>
      </c>
      <c r="F122" s="151">
        <f>G122</f>
        <v>72000</v>
      </c>
      <c r="G122" s="151">
        <f>47000+25000</f>
        <v>72000</v>
      </c>
      <c r="H122" s="151"/>
      <c r="I122" s="143"/>
      <c r="J122" s="143"/>
      <c r="K122" s="280"/>
      <c r="L122" s="320"/>
      <c r="M122" s="212"/>
    </row>
    <row r="123" spans="1:14" s="217" customFormat="1" ht="42" customHeight="1" thickBot="1">
      <c r="A123" s="296" t="s">
        <v>455</v>
      </c>
      <c r="B123" s="146">
        <v>852</v>
      </c>
      <c r="C123" s="146">
        <v>85202</v>
      </c>
      <c r="D123" s="146">
        <v>6050</v>
      </c>
      <c r="E123" s="215" t="s">
        <v>414</v>
      </c>
      <c r="F123" s="162">
        <f>G123</f>
        <v>50000</v>
      </c>
      <c r="G123" s="162">
        <v>50000</v>
      </c>
      <c r="H123" s="162"/>
      <c r="I123" s="134"/>
      <c r="J123" s="134"/>
      <c r="K123" s="276"/>
      <c r="L123" s="272" t="s">
        <v>245</v>
      </c>
      <c r="M123" s="216"/>
    </row>
    <row r="124" spans="1:14" s="213" customFormat="1" ht="42" customHeight="1" thickBot="1">
      <c r="A124" s="525" t="s">
        <v>415</v>
      </c>
      <c r="B124" s="526"/>
      <c r="C124" s="526"/>
      <c r="D124" s="526"/>
      <c r="E124" s="527"/>
      <c r="F124" s="202">
        <f>SUM(F122:F123)</f>
        <v>122000</v>
      </c>
      <c r="G124" s="202">
        <f>SUM(G122:G123)</f>
        <v>122000</v>
      </c>
      <c r="H124" s="202">
        <f>SUM(H122:H123)</f>
        <v>0</v>
      </c>
      <c r="I124" s="202">
        <f>SUM(I122:I123)</f>
        <v>0</v>
      </c>
      <c r="J124" s="202"/>
      <c r="K124" s="292"/>
      <c r="L124" s="320"/>
      <c r="M124" s="212" t="s">
        <v>416</v>
      </c>
    </row>
    <row r="125" spans="1:14" s="137" customFormat="1" ht="38.25" customHeight="1" thickBot="1">
      <c r="A125" s="291" t="s">
        <v>456</v>
      </c>
      <c r="B125" s="139">
        <v>852</v>
      </c>
      <c r="C125" s="139">
        <v>85203</v>
      </c>
      <c r="D125" s="139">
        <v>6060</v>
      </c>
      <c r="E125" s="150" t="s">
        <v>418</v>
      </c>
      <c r="F125" s="151">
        <f>SUM(G125:H125)+6900</f>
        <v>56900</v>
      </c>
      <c r="G125" s="151">
        <v>0</v>
      </c>
      <c r="H125" s="151">
        <v>50000</v>
      </c>
      <c r="I125" s="143"/>
      <c r="J125" s="144" t="s">
        <v>493</v>
      </c>
      <c r="K125" s="280"/>
      <c r="L125" s="270"/>
      <c r="M125" s="136"/>
    </row>
    <row r="126" spans="1:14" s="165" customFormat="1" ht="35.1" customHeight="1" thickBot="1">
      <c r="A126" s="518" t="s">
        <v>419</v>
      </c>
      <c r="B126" s="519"/>
      <c r="C126" s="519"/>
      <c r="D126" s="519"/>
      <c r="E126" s="520"/>
      <c r="F126" s="188">
        <f>SUM(F125:F125)</f>
        <v>56900</v>
      </c>
      <c r="G126" s="188">
        <f>SUM(G125:G125)</f>
        <v>0</v>
      </c>
      <c r="H126" s="188">
        <f>SUM(H125:H125)</f>
        <v>50000</v>
      </c>
      <c r="I126" s="218"/>
      <c r="J126" s="353">
        <v>6900</v>
      </c>
      <c r="K126" s="286"/>
      <c r="L126" s="322"/>
      <c r="M126" s="164"/>
    </row>
    <row r="127" spans="1:14" s="165" customFormat="1" ht="54" customHeight="1" thickBot="1">
      <c r="A127" s="219" t="s">
        <v>470</v>
      </c>
      <c r="B127" s="219">
        <v>853</v>
      </c>
      <c r="C127" s="219">
        <v>85311</v>
      </c>
      <c r="D127" s="219">
        <v>6230</v>
      </c>
      <c r="E127" s="323" t="s">
        <v>471</v>
      </c>
      <c r="F127" s="220">
        <f>G127</f>
        <v>2220</v>
      </c>
      <c r="G127" s="220">
        <v>2220</v>
      </c>
      <c r="H127" s="220"/>
      <c r="I127" s="221"/>
      <c r="J127" s="221"/>
      <c r="K127" s="222"/>
      <c r="L127" s="318"/>
      <c r="M127" s="164"/>
    </row>
    <row r="128" spans="1:14" s="165" customFormat="1" ht="91.15" customHeight="1" thickBot="1">
      <c r="A128" s="371" t="s">
        <v>480</v>
      </c>
      <c r="B128" s="371">
        <v>853</v>
      </c>
      <c r="C128" s="371">
        <v>85311</v>
      </c>
      <c r="D128" s="371">
        <v>6230</v>
      </c>
      <c r="E128" s="372" t="s">
        <v>443</v>
      </c>
      <c r="F128" s="373">
        <f>G128</f>
        <v>53505</v>
      </c>
      <c r="G128" s="373">
        <f>37911+15594</f>
        <v>53505</v>
      </c>
      <c r="H128" s="373"/>
      <c r="I128" s="374"/>
      <c r="J128" s="374"/>
      <c r="K128" s="371"/>
      <c r="L128" s="318"/>
      <c r="M128" s="164"/>
    </row>
    <row r="129" spans="1:14" s="165" customFormat="1" ht="35.1" customHeight="1" thickBot="1">
      <c r="A129" s="535" t="s">
        <v>421</v>
      </c>
      <c r="B129" s="535"/>
      <c r="C129" s="535"/>
      <c r="D129" s="535"/>
      <c r="E129" s="535"/>
      <c r="F129" s="223">
        <f>SUM(F127:F128)</f>
        <v>55725</v>
      </c>
      <c r="G129" s="223">
        <f>SUM(G127:G128)</f>
        <v>55725</v>
      </c>
      <c r="H129" s="223">
        <f>SUM(H127:H128)</f>
        <v>0</v>
      </c>
      <c r="I129" s="223">
        <f>SUM(I127:I128)</f>
        <v>0</v>
      </c>
      <c r="J129" s="223">
        <f>J127</f>
        <v>0</v>
      </c>
      <c r="K129" s="207"/>
      <c r="L129" s="318"/>
      <c r="M129" s="164"/>
    </row>
    <row r="130" spans="1:14" s="137" customFormat="1" ht="39" customHeight="1" thickBot="1">
      <c r="A130" s="354" t="s">
        <v>481</v>
      </c>
      <c r="B130" s="355">
        <v>853</v>
      </c>
      <c r="C130" s="355">
        <v>85333</v>
      </c>
      <c r="D130" s="355">
        <v>6060</v>
      </c>
      <c r="E130" s="356" t="s">
        <v>423</v>
      </c>
      <c r="F130" s="357">
        <f>SUM(G130:H130)</f>
        <v>0</v>
      </c>
      <c r="G130" s="357">
        <f>19867-19867</f>
        <v>0</v>
      </c>
      <c r="H130" s="357">
        <v>0</v>
      </c>
      <c r="I130" s="358"/>
      <c r="J130" s="358"/>
      <c r="K130" s="359"/>
      <c r="L130" s="360"/>
      <c r="M130" s="136"/>
    </row>
    <row r="131" spans="1:14" s="165" customFormat="1" ht="35.1" customHeight="1" thickBot="1">
      <c r="A131" s="525" t="s">
        <v>424</v>
      </c>
      <c r="B131" s="519"/>
      <c r="C131" s="519"/>
      <c r="D131" s="519"/>
      <c r="E131" s="520"/>
      <c r="F131" s="205">
        <f>F130</f>
        <v>0</v>
      </c>
      <c r="G131" s="205">
        <f>G130</f>
        <v>0</v>
      </c>
      <c r="H131" s="224">
        <f>H130</f>
        <v>0</v>
      </c>
      <c r="I131" s="224">
        <f>I130</f>
        <v>0</v>
      </c>
      <c r="J131" s="224">
        <f>J130</f>
        <v>0</v>
      </c>
      <c r="K131" s="207"/>
      <c r="L131" s="259"/>
      <c r="M131" s="164"/>
    </row>
    <row r="132" spans="1:14" s="137" customFormat="1" ht="45.75" customHeight="1" thickBot="1">
      <c r="A132" s="291" t="s">
        <v>482</v>
      </c>
      <c r="B132" s="139">
        <v>854</v>
      </c>
      <c r="C132" s="139">
        <v>85403</v>
      </c>
      <c r="D132" s="139">
        <v>6050</v>
      </c>
      <c r="E132" s="150" t="s">
        <v>426</v>
      </c>
      <c r="F132" s="151">
        <f>SUM(G132:I132)</f>
        <v>720000</v>
      </c>
      <c r="G132" s="225">
        <v>20000</v>
      </c>
      <c r="H132" s="225">
        <v>700000</v>
      </c>
      <c r="I132" s="226"/>
      <c r="J132" s="227"/>
      <c r="K132" s="297"/>
      <c r="L132" s="260"/>
      <c r="M132" s="136"/>
    </row>
    <row r="133" spans="1:14" s="137" customFormat="1" ht="38.25" customHeight="1" thickBot="1">
      <c r="A133" s="291" t="s">
        <v>487</v>
      </c>
      <c r="B133" s="139">
        <v>854</v>
      </c>
      <c r="C133" s="139">
        <v>85403</v>
      </c>
      <c r="D133" s="139">
        <v>6060</v>
      </c>
      <c r="E133" s="150" t="s">
        <v>428</v>
      </c>
      <c r="F133" s="151">
        <f>G133</f>
        <v>20000</v>
      </c>
      <c r="G133" s="151">
        <v>20000</v>
      </c>
      <c r="H133" s="151"/>
      <c r="I133" s="143"/>
      <c r="J133" s="143"/>
      <c r="K133" s="280"/>
      <c r="L133" s="259"/>
      <c r="M133" s="136"/>
    </row>
    <row r="134" spans="1:14" s="165" customFormat="1" ht="35.1" customHeight="1" thickBot="1">
      <c r="A134" s="518" t="s">
        <v>429</v>
      </c>
      <c r="B134" s="519"/>
      <c r="C134" s="519"/>
      <c r="D134" s="519"/>
      <c r="E134" s="520"/>
      <c r="F134" s="188">
        <f>SUM(F132:F133)</f>
        <v>740000</v>
      </c>
      <c r="G134" s="188">
        <f>SUM(G132:G133)</f>
        <v>40000</v>
      </c>
      <c r="H134" s="188">
        <f>SUM(H132:H133)</f>
        <v>700000</v>
      </c>
      <c r="I134" s="188">
        <f>SUM(I132:I133)</f>
        <v>0</v>
      </c>
      <c r="J134" s="188">
        <f>SUM(J132:J133)</f>
        <v>0</v>
      </c>
      <c r="K134" s="286"/>
      <c r="L134" s="256"/>
      <c r="M134" s="164"/>
    </row>
    <row r="135" spans="1:14" s="137" customFormat="1" ht="38.25" customHeight="1" thickBot="1">
      <c r="A135" s="298" t="s">
        <v>490</v>
      </c>
      <c r="B135" s="146">
        <v>854</v>
      </c>
      <c r="C135" s="146">
        <v>85406</v>
      </c>
      <c r="D135" s="146">
        <v>6050</v>
      </c>
      <c r="E135" s="325" t="s">
        <v>431</v>
      </c>
      <c r="F135" s="162">
        <f>SUM(G135:I135)</f>
        <v>22000</v>
      </c>
      <c r="G135" s="162">
        <v>22000</v>
      </c>
      <c r="H135" s="162"/>
      <c r="I135" s="134"/>
      <c r="J135" s="162"/>
      <c r="K135" s="299"/>
      <c r="L135" s="260"/>
      <c r="M135" s="136"/>
    </row>
    <row r="136" spans="1:14" s="165" customFormat="1" ht="35.1" customHeight="1" thickBot="1">
      <c r="A136" s="536" t="s">
        <v>432</v>
      </c>
      <c r="B136" s="537"/>
      <c r="C136" s="537"/>
      <c r="D136" s="537"/>
      <c r="E136" s="538"/>
      <c r="F136" s="196">
        <f>F135</f>
        <v>22000</v>
      </c>
      <c r="G136" s="196">
        <f>G135</f>
        <v>22000</v>
      </c>
      <c r="H136" s="196">
        <f>H135</f>
        <v>0</v>
      </c>
      <c r="I136" s="196">
        <f>I135</f>
        <v>0</v>
      </c>
      <c r="J136" s="196">
        <f>J135</f>
        <v>0</v>
      </c>
      <c r="K136" s="288"/>
      <c r="L136" s="324"/>
      <c r="M136" s="164"/>
    </row>
    <row r="137" spans="1:14" s="137" customFormat="1" ht="35.1" customHeight="1" thickBot="1">
      <c r="A137" s="219" t="s">
        <v>491</v>
      </c>
      <c r="B137" s="219">
        <v>855</v>
      </c>
      <c r="C137" s="219">
        <v>85510</v>
      </c>
      <c r="D137" s="219">
        <v>6050</v>
      </c>
      <c r="E137" s="326" t="s">
        <v>434</v>
      </c>
      <c r="F137" s="220">
        <f>G137</f>
        <v>57000</v>
      </c>
      <c r="G137" s="220">
        <f>50000+7000</f>
        <v>57000</v>
      </c>
      <c r="H137" s="220"/>
      <c r="I137" s="221"/>
      <c r="J137" s="221"/>
      <c r="K137" s="222"/>
      <c r="L137" s="259"/>
      <c r="M137" s="136"/>
    </row>
    <row r="138" spans="1:14" s="245" customFormat="1" ht="39" customHeight="1" thickBot="1">
      <c r="A138" s="219" t="s">
        <v>498</v>
      </c>
      <c r="B138" s="219">
        <v>855</v>
      </c>
      <c r="C138" s="219">
        <v>85510</v>
      </c>
      <c r="D138" s="219">
        <v>6050</v>
      </c>
      <c r="E138" s="305" t="s">
        <v>444</v>
      </c>
      <c r="F138" s="220">
        <f>G138</f>
        <v>19463</v>
      </c>
      <c r="G138" s="220">
        <v>19463</v>
      </c>
      <c r="H138" s="220"/>
      <c r="I138" s="221"/>
      <c r="J138" s="221"/>
      <c r="K138" s="219"/>
      <c r="L138" s="263"/>
      <c r="M138" s="244"/>
    </row>
    <row r="139" spans="1:14" s="165" customFormat="1" ht="35.1" customHeight="1" thickBot="1">
      <c r="A139" s="531" t="s">
        <v>435</v>
      </c>
      <c r="B139" s="524"/>
      <c r="C139" s="524"/>
      <c r="D139" s="524"/>
      <c r="E139" s="521"/>
      <c r="F139" s="205">
        <f>SUM(F137:F138)</f>
        <v>76463</v>
      </c>
      <c r="G139" s="205">
        <f>SUM(G137:G138)</f>
        <v>76463</v>
      </c>
      <c r="H139" s="205">
        <f>SUM(H137:H138)</f>
        <v>0</v>
      </c>
      <c r="I139" s="205">
        <f>SUM(I137:I138)</f>
        <v>0</v>
      </c>
      <c r="J139" s="205">
        <f>SUM(J137:J138)</f>
        <v>0</v>
      </c>
      <c r="K139" s="300"/>
      <c r="L139" s="259"/>
      <c r="M139" s="164"/>
    </row>
    <row r="140" spans="1:14" s="230" customFormat="1" ht="36" customHeight="1" thickBot="1">
      <c r="A140" s="532" t="s">
        <v>436</v>
      </c>
      <c r="B140" s="533"/>
      <c r="C140" s="533"/>
      <c r="D140" s="533"/>
      <c r="E140" s="534"/>
      <c r="F140" s="301">
        <f>F84+F86+F89+F91+F95+F102+F106+F104+F108+F110+F113+F116+F121+F93+F124+F126+F129+F131+F134+F136+F139</f>
        <v>53801692</v>
      </c>
      <c r="G140" s="301">
        <f>G84+G86+G89+G91+G95+G102+G106+G104+G108+G110+G113+G116+G121+G93+G124+G126+G129+G131+G134+G136+G139</f>
        <v>14441610</v>
      </c>
      <c r="H140" s="301">
        <f>H84+H86+H89+H91+H95+H102+H106+H104+H108+H110+H113+H116+H121+H93+H124+H126+H129+H131+H134+H136+H139</f>
        <v>25788000</v>
      </c>
      <c r="I140" s="301">
        <f>I84+I86+I89+I91+I95+I102+I106+I104+I108+I110+I116+I121+I93+I124+I126+I129+I131+I134+I136+I139</f>
        <v>0</v>
      </c>
      <c r="J140" s="301">
        <f>J84+J86+J89+J91+J95+J102+J106+J104+J108+J110+J116+J121+J93+J124+J126+J129+J131+J134+J136+J139</f>
        <v>13572082</v>
      </c>
      <c r="K140" s="302"/>
      <c r="L140" s="327"/>
      <c r="M140" s="228"/>
      <c r="N140" s="229"/>
    </row>
    <row r="141" spans="1:14" s="165" customFormat="1" ht="27" customHeight="1">
      <c r="A141" s="231" t="s">
        <v>437</v>
      </c>
      <c r="B141" s="232"/>
      <c r="C141" s="232"/>
      <c r="D141" s="232"/>
      <c r="E141" s="233"/>
      <c r="F141" s="234"/>
      <c r="G141" s="234"/>
      <c r="H141" s="234"/>
      <c r="I141" s="235"/>
      <c r="J141" s="235"/>
      <c r="K141" s="236"/>
      <c r="L141" s="303"/>
      <c r="M141" s="164"/>
    </row>
    <row r="142" spans="1:14" s="155" customFormat="1" ht="20.25" customHeight="1">
      <c r="A142" s="231" t="s">
        <v>438</v>
      </c>
      <c r="B142" s="232"/>
      <c r="C142" s="232"/>
      <c r="D142" s="232"/>
      <c r="E142" s="233"/>
      <c r="F142" s="235"/>
      <c r="G142" s="235"/>
      <c r="H142" s="235"/>
      <c r="I142" s="235"/>
      <c r="J142" s="234"/>
      <c r="K142" s="236"/>
      <c r="L142" s="303"/>
      <c r="M142" s="154"/>
    </row>
    <row r="143" spans="1:14" s="165" customFormat="1" ht="21" customHeight="1">
      <c r="A143" s="231" t="s">
        <v>439</v>
      </c>
      <c r="B143" s="232"/>
      <c r="C143" s="232"/>
      <c r="D143" s="232"/>
      <c r="E143" s="233"/>
      <c r="F143" s="234"/>
      <c r="G143" s="235"/>
      <c r="H143" s="235"/>
      <c r="I143" s="235"/>
      <c r="J143" s="235"/>
      <c r="K143" s="236"/>
      <c r="L143" s="303"/>
      <c r="M143" s="164"/>
    </row>
    <row r="144" spans="1:14" s="165" customFormat="1" ht="21" customHeight="1">
      <c r="A144" s="231" t="s">
        <v>440</v>
      </c>
      <c r="B144" s="237"/>
      <c r="C144" s="233"/>
      <c r="D144" s="233"/>
      <c r="E144" s="233"/>
      <c r="F144" s="119"/>
      <c r="G144" s="119"/>
      <c r="H144" s="119"/>
      <c r="I144" s="238"/>
      <c r="J144" s="238"/>
      <c r="K144" s="120"/>
      <c r="L144" s="303"/>
      <c r="M144" s="164"/>
    </row>
    <row r="145" spans="1:13" s="160" customFormat="1" ht="28.5" customHeight="1">
      <c r="A145" s="237"/>
      <c r="B145" s="118"/>
      <c r="C145" s="119"/>
      <c r="D145" s="119"/>
      <c r="E145" s="119"/>
      <c r="F145" s="238"/>
      <c r="G145" s="119"/>
      <c r="H145" s="119"/>
      <c r="I145" s="119"/>
      <c r="J145" s="119"/>
      <c r="K145" s="239"/>
      <c r="L145" s="303"/>
      <c r="M145" s="159"/>
    </row>
    <row r="146" spans="1:13" s="165" customFormat="1" ht="30" customHeight="1">
      <c r="A146" s="114"/>
      <c r="B146" s="114"/>
      <c r="C146" s="115"/>
      <c r="D146" s="115"/>
      <c r="E146" s="115"/>
      <c r="F146" s="115"/>
      <c r="G146" s="115"/>
      <c r="H146" s="240"/>
      <c r="I146" s="115"/>
      <c r="J146" s="240"/>
      <c r="K146" s="116"/>
      <c r="L146" s="303"/>
      <c r="M146" s="164"/>
    </row>
    <row r="147" spans="1:13" s="127" customFormat="1" ht="27" customHeight="1">
      <c r="A147" s="114"/>
      <c r="B147" s="114"/>
      <c r="C147" s="115"/>
      <c r="D147" s="115"/>
      <c r="E147" s="115"/>
      <c r="F147" s="115"/>
      <c r="G147" s="115"/>
      <c r="H147" s="115"/>
      <c r="I147" s="115"/>
      <c r="J147" s="115"/>
      <c r="K147" s="116"/>
      <c r="L147" s="303"/>
      <c r="M147" s="126"/>
    </row>
    <row r="149" spans="1:13" s="242" customFormat="1" ht="12.75" customHeight="1">
      <c r="A149" s="114"/>
      <c r="B149" s="114"/>
      <c r="C149" s="115"/>
      <c r="D149" s="115"/>
      <c r="E149" s="115"/>
      <c r="F149" s="115"/>
      <c r="G149" s="115"/>
      <c r="H149" s="115"/>
      <c r="I149" s="115"/>
      <c r="J149" s="115"/>
      <c r="K149" s="116"/>
      <c r="L149" s="303"/>
      <c r="M149" s="241"/>
    </row>
    <row r="150" spans="1:13" s="242" customFormat="1" ht="12.75" customHeight="1">
      <c r="A150" s="114"/>
      <c r="B150" s="114"/>
      <c r="C150" s="115"/>
      <c r="D150" s="115"/>
      <c r="E150" s="115"/>
      <c r="F150" s="115"/>
      <c r="G150" s="115"/>
      <c r="H150" s="115"/>
      <c r="I150" s="115"/>
      <c r="J150" s="115"/>
      <c r="K150" s="116"/>
      <c r="L150" s="303"/>
      <c r="M150" s="241"/>
    </row>
    <row r="151" spans="1:13" s="242" customFormat="1" ht="12.75" customHeight="1">
      <c r="A151" s="114"/>
      <c r="B151" s="114"/>
      <c r="C151" s="115"/>
      <c r="D151" s="115"/>
      <c r="E151" s="115"/>
      <c r="F151" s="115"/>
      <c r="G151" s="115"/>
      <c r="H151" s="115"/>
      <c r="I151" s="115"/>
      <c r="J151" s="115"/>
      <c r="K151" s="116"/>
      <c r="L151" s="303"/>
      <c r="M151" s="241"/>
    </row>
  </sheetData>
  <sheetProtection algorithmName="SHA-512" hashValue="qs1+izHQLB1xuF0RZzO9Lk5L1SyS8dVeeCYala3daRgQoKPWj8NycHzD7OWPbw+YGXPccDZv0NUdz1M4cvrRBw==" saltValue="hQQjU9Jc2GlfIk4NkEjeBA==" spinCount="100000" sheet="1" objects="1" scenarios="1"/>
  <mergeCells count="41">
    <mergeCell ref="A139:E139"/>
    <mergeCell ref="A140:E140"/>
    <mergeCell ref="A124:E124"/>
    <mergeCell ref="A126:E126"/>
    <mergeCell ref="A129:E129"/>
    <mergeCell ref="A131:E131"/>
    <mergeCell ref="A134:E134"/>
    <mergeCell ref="A136:E136"/>
    <mergeCell ref="A121:E121"/>
    <mergeCell ref="A89:E89"/>
    <mergeCell ref="A91:E91"/>
    <mergeCell ref="A93:E93"/>
    <mergeCell ref="A95:E95"/>
    <mergeCell ref="A102:E102"/>
    <mergeCell ref="A104:E104"/>
    <mergeCell ref="A106:E106"/>
    <mergeCell ref="A108:E108"/>
    <mergeCell ref="A110:E110"/>
    <mergeCell ref="A113:E113"/>
    <mergeCell ref="A116:E116"/>
    <mergeCell ref="A86:E86"/>
    <mergeCell ref="L4:L5"/>
    <mergeCell ref="A7:E7"/>
    <mergeCell ref="A14:E14"/>
    <mergeCell ref="A22:E22"/>
    <mergeCell ref="A37:E37"/>
    <mergeCell ref="A50:E50"/>
    <mergeCell ref="A61:E61"/>
    <mergeCell ref="A66:E66"/>
    <mergeCell ref="A73:E73"/>
    <mergeCell ref="A82:E82"/>
    <mergeCell ref="A84:E84"/>
    <mergeCell ref="A2:K2"/>
    <mergeCell ref="A4:A5"/>
    <mergeCell ref="B4:B5"/>
    <mergeCell ref="C4:C5"/>
    <mergeCell ref="D4:D5"/>
    <mergeCell ref="E4:E5"/>
    <mergeCell ref="F4:F5"/>
    <mergeCell ref="G4:J4"/>
    <mergeCell ref="K4:K5"/>
  </mergeCells>
  <pageMargins left="0.11811023622047245" right="0.11811023622047245" top="1.1417322834645669" bottom="0.70866141732283472" header="0.51181102362204722" footer="0.51181102362204722"/>
  <pageSetup paperSize="9" scale="80" fitToHeight="0" orientation="landscape" horizontalDpi="4294967295" r:id="rId1"/>
  <headerFooter differentOddEven="1" differentFirst="1" alignWithMargins="0">
    <oddFooter>&amp;C&amp;P</oddFooter>
    <evenFooter>&amp;C&amp;P</evenFooter>
    <firstHeader>&amp;RTabela Nr 2a
do uchwały Nr ................
Rady  Powiatu  Otwockiego
z dnia ...........................</firstHeader>
    <firstFooter>&amp;C&amp;P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29"/>
  <sheetViews>
    <sheetView showGridLines="0" topLeftCell="A13" workbookViewId="0">
      <selection activeCell="B18" sqref="B18"/>
    </sheetView>
  </sheetViews>
  <sheetFormatPr defaultColWidth="9.33203125" defaultRowHeight="12.75"/>
  <cols>
    <col min="1" max="1" width="5.83203125" style="2" customWidth="1"/>
    <col min="2" max="2" width="62.83203125" style="2" customWidth="1"/>
    <col min="3" max="3" width="15.33203125" style="2" customWidth="1"/>
    <col min="4" max="4" width="18" style="2" customWidth="1"/>
    <col min="5" max="5" width="9.33203125" style="2"/>
    <col min="6" max="7" width="10.6640625" style="2" bestFit="1" customWidth="1"/>
    <col min="8" max="16384" width="9.33203125" style="2"/>
  </cols>
  <sheetData>
    <row r="3" spans="1:7" s="1" customFormat="1" ht="15" customHeight="1">
      <c r="A3" s="539" t="s">
        <v>194</v>
      </c>
      <c r="B3" s="539"/>
      <c r="C3" s="539"/>
      <c r="D3" s="539"/>
    </row>
    <row r="4" spans="1:7">
      <c r="D4" s="3"/>
    </row>
    <row r="5" spans="1:7" ht="54" customHeight="1">
      <c r="A5" s="4" t="s">
        <v>7</v>
      </c>
      <c r="B5" s="4" t="s">
        <v>13</v>
      </c>
      <c r="C5" s="5" t="s">
        <v>14</v>
      </c>
      <c r="D5" s="5" t="s">
        <v>15</v>
      </c>
    </row>
    <row r="6" spans="1:7" s="30" customFormat="1" ht="16.5" customHeight="1">
      <c r="A6" s="32">
        <v>1</v>
      </c>
      <c r="B6" s="32">
        <v>2</v>
      </c>
      <c r="C6" s="32">
        <v>3</v>
      </c>
      <c r="D6" s="33">
        <v>4</v>
      </c>
    </row>
    <row r="7" spans="1:7" s="9" customFormat="1" ht="24.75" customHeight="1">
      <c r="A7" s="6" t="s">
        <v>8</v>
      </c>
      <c r="B7" s="7" t="s">
        <v>16</v>
      </c>
      <c r="C7" s="6"/>
      <c r="D7" s="8">
        <f>SUM(D8:D9)</f>
        <v>171727743</v>
      </c>
    </row>
    <row r="8" spans="1:7" s="13" customFormat="1" ht="24.75" customHeight="1">
      <c r="A8" s="10"/>
      <c r="B8" s="11" t="s">
        <v>17</v>
      </c>
      <c r="C8" s="10"/>
      <c r="D8" s="12">
        <v>159630685</v>
      </c>
    </row>
    <row r="9" spans="1:7" s="13" customFormat="1" ht="24.75" customHeight="1">
      <c r="A9" s="10"/>
      <c r="B9" s="11" t="s">
        <v>18</v>
      </c>
      <c r="C9" s="10"/>
      <c r="D9" s="14">
        <v>12097058</v>
      </c>
    </row>
    <row r="10" spans="1:7" s="9" customFormat="1" ht="24.75" customHeight="1">
      <c r="A10" s="6" t="s">
        <v>9</v>
      </c>
      <c r="B10" s="7" t="s">
        <v>19</v>
      </c>
      <c r="C10" s="6"/>
      <c r="D10" s="15">
        <f>SUM(D11,D12)</f>
        <v>210185313</v>
      </c>
    </row>
    <row r="11" spans="1:7" s="13" customFormat="1" ht="24.75" customHeight="1">
      <c r="A11" s="10"/>
      <c r="B11" s="11" t="s">
        <v>32</v>
      </c>
      <c r="C11" s="10"/>
      <c r="D11" s="16">
        <v>156383621</v>
      </c>
    </row>
    <row r="12" spans="1:7" s="13" customFormat="1" ht="24.75" customHeight="1">
      <c r="A12" s="10"/>
      <c r="B12" s="11" t="s">
        <v>20</v>
      </c>
      <c r="C12" s="10"/>
      <c r="D12" s="17">
        <v>53801692</v>
      </c>
    </row>
    <row r="13" spans="1:7" s="9" customFormat="1" ht="24.75" customHeight="1">
      <c r="A13" s="6" t="s">
        <v>10</v>
      </c>
      <c r="B13" s="7" t="s">
        <v>21</v>
      </c>
      <c r="C13" s="18"/>
      <c r="D13" s="8">
        <f>D7-D10</f>
        <v>-38457570</v>
      </c>
    </row>
    <row r="14" spans="1:7" ht="24.75" customHeight="1">
      <c r="A14" s="540" t="s">
        <v>22</v>
      </c>
      <c r="B14" s="541"/>
      <c r="C14" s="19"/>
      <c r="D14" s="20">
        <f>SUM(D15:D21)</f>
        <v>42999570</v>
      </c>
    </row>
    <row r="15" spans="1:7" ht="81.75" customHeight="1">
      <c r="A15" s="53" t="s">
        <v>8</v>
      </c>
      <c r="B15" s="55" t="s">
        <v>63</v>
      </c>
      <c r="C15" s="21" t="s">
        <v>62</v>
      </c>
      <c r="D15" s="52">
        <f>3722308+1000000+620000+131830+81953</f>
        <v>5556091</v>
      </c>
      <c r="F15" s="113"/>
    </row>
    <row r="16" spans="1:7" ht="72" customHeight="1">
      <c r="A16" s="53" t="s">
        <v>9</v>
      </c>
      <c r="B16" s="54" t="s">
        <v>64</v>
      </c>
      <c r="C16" s="21" t="s">
        <v>61</v>
      </c>
      <c r="D16" s="52">
        <v>1696393</v>
      </c>
      <c r="F16" s="113"/>
      <c r="G16" s="113"/>
    </row>
    <row r="17" spans="1:4" ht="31.5" customHeight="1">
      <c r="A17" s="53" t="s">
        <v>10</v>
      </c>
      <c r="B17" s="56" t="s">
        <v>68</v>
      </c>
      <c r="C17" s="57" t="s">
        <v>69</v>
      </c>
      <c r="D17" s="52">
        <v>15000000</v>
      </c>
    </row>
    <row r="18" spans="1:4" ht="31.5" customHeight="1">
      <c r="A18" s="53" t="s">
        <v>11</v>
      </c>
      <c r="B18" s="24" t="s">
        <v>29</v>
      </c>
      <c r="C18" s="21" t="s">
        <v>24</v>
      </c>
      <c r="D18" s="23">
        <f>485045+2645600+24489+2598952</f>
        <v>5754086</v>
      </c>
    </row>
    <row r="19" spans="1:4" ht="32.25" customHeight="1">
      <c r="A19" s="53" t="s">
        <v>12</v>
      </c>
      <c r="B19" s="34" t="s">
        <v>34</v>
      </c>
      <c r="C19" s="21" t="s">
        <v>35</v>
      </c>
      <c r="D19" s="23">
        <v>0</v>
      </c>
    </row>
    <row r="20" spans="1:4" ht="24.75" customHeight="1">
      <c r="A20" s="53" t="s">
        <v>60</v>
      </c>
      <c r="B20" s="22" t="s">
        <v>27</v>
      </c>
      <c r="C20" s="21" t="s">
        <v>23</v>
      </c>
      <c r="D20" s="23">
        <v>14993000</v>
      </c>
    </row>
    <row r="21" spans="1:4" ht="27" customHeight="1">
      <c r="A21" s="53" t="s">
        <v>59</v>
      </c>
      <c r="B21" s="24" t="s">
        <v>28</v>
      </c>
      <c r="C21" s="21" t="s">
        <v>23</v>
      </c>
      <c r="D21" s="25">
        <v>0</v>
      </c>
    </row>
    <row r="22" spans="1:4" ht="24.75" customHeight="1">
      <c r="A22" s="540" t="s">
        <v>25</v>
      </c>
      <c r="B22" s="541"/>
      <c r="C22" s="26"/>
      <c r="D22" s="20">
        <f>SUM(D23:D25)</f>
        <v>4542000</v>
      </c>
    </row>
    <row r="23" spans="1:4" s="35" customFormat="1" ht="24.75" customHeight="1">
      <c r="A23" s="21" t="s">
        <v>8</v>
      </c>
      <c r="B23" s="24" t="s">
        <v>37</v>
      </c>
      <c r="C23" s="21" t="s">
        <v>36</v>
      </c>
      <c r="D23" s="23">
        <v>0</v>
      </c>
    </row>
    <row r="24" spans="1:4" ht="24.75" customHeight="1">
      <c r="A24" s="21" t="s">
        <v>9</v>
      </c>
      <c r="B24" s="24" t="s">
        <v>30</v>
      </c>
      <c r="C24" s="21" t="s">
        <v>26</v>
      </c>
      <c r="D24" s="23">
        <v>4542000</v>
      </c>
    </row>
    <row r="25" spans="1:4" ht="24.75" customHeight="1">
      <c r="A25" s="21" t="s">
        <v>10</v>
      </c>
      <c r="B25" s="24" t="s">
        <v>31</v>
      </c>
      <c r="C25" s="21" t="s">
        <v>26</v>
      </c>
      <c r="D25" s="23">
        <v>0</v>
      </c>
    </row>
    <row r="26" spans="1:4" ht="21.75" customHeight="1">
      <c r="A26" s="27"/>
      <c r="B26" s="28"/>
      <c r="C26" s="27"/>
      <c r="D26" s="29"/>
    </row>
    <row r="27" spans="1:4" ht="24.75" customHeight="1"/>
    <row r="28" spans="1:4" ht="24.75" customHeight="1"/>
    <row r="29" spans="1:4" ht="24.75" customHeight="1"/>
  </sheetData>
  <sheetProtection algorithmName="SHA-512" hashValue="+wYIDqq5/xT9P4S3Uc0csjpNMMnRzeq8DzXqxjJuwlRNA0nj/hex2yl3wI3LWc2S01x9AQV0D7JiUZR5IKt7FQ==" saltValue="/8MubR94leE8Wf+KeBmg/g==" spinCount="100000" sheet="1" objects="1" scenarios="1" formatColumns="0" formatRows="0"/>
  <mergeCells count="3">
    <mergeCell ref="A3:D3"/>
    <mergeCell ref="A14:B14"/>
    <mergeCell ref="A22:B22"/>
  </mergeCells>
  <printOptions horizontalCentered="1"/>
  <pageMargins left="0.27559055118110237" right="0.43307086614173229" top="1.6535433070866143" bottom="0.59055118110236227" header="0.86614173228346458" footer="0.51181102362204722"/>
  <pageSetup paperSize="9" orientation="portrait" horizontalDpi="4294967295" verticalDpi="300" r:id="rId1"/>
  <headerFooter alignWithMargins="0">
    <oddHeader>&amp;R&amp;10Tabela Nr 3 
do uchwały Nr ...............
Rady Powiatu  Otwockiego
z dnia ...................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G181"/>
  <sheetViews>
    <sheetView showGridLines="0" view="pageBreakPreview" topLeftCell="A168" zoomScale="96" zoomScaleNormal="91" zoomScaleSheetLayoutView="96" workbookViewId="0">
      <selection activeCell="L173" sqref="L173"/>
    </sheetView>
  </sheetViews>
  <sheetFormatPr defaultRowHeight="12.75"/>
  <cols>
    <col min="1" max="1" width="9.33203125" style="391"/>
    <col min="2" max="2" width="6.83203125" style="391" customWidth="1"/>
    <col min="3" max="3" width="9.83203125" style="391" customWidth="1"/>
    <col min="4" max="4" width="9.6640625" style="391" customWidth="1"/>
    <col min="5" max="5" width="66.33203125" style="391" customWidth="1"/>
    <col min="6" max="6" width="18.33203125" style="391" customWidth="1"/>
    <col min="7" max="7" width="18" style="391" customWidth="1"/>
    <col min="8" max="8" width="16.5" style="391" bestFit="1" customWidth="1"/>
    <col min="9" max="18" width="9.33203125" style="391"/>
    <col min="19" max="19" width="15.33203125" style="391" bestFit="1" customWidth="1"/>
    <col min="20" max="243" width="9.33203125" style="391"/>
    <col min="244" max="244" width="3" style="391" customWidth="1"/>
    <col min="245" max="245" width="5.33203125" style="391" customWidth="1"/>
    <col min="246" max="246" width="5.6640625" style="391" customWidth="1"/>
    <col min="247" max="247" width="22" style="391" customWidth="1"/>
    <col min="248" max="249" width="10.5" style="391" customWidth="1"/>
    <col min="250" max="250" width="8.33203125" style="391" customWidth="1"/>
    <col min="251" max="251" width="10.5" style="391" customWidth="1"/>
    <col min="252" max="252" width="9" style="391" customWidth="1"/>
    <col min="253" max="256" width="8.33203125" style="391" customWidth="1"/>
    <col min="257" max="257" width="9" style="391" customWidth="1"/>
    <col min="258" max="258" width="8.33203125" style="391" customWidth="1"/>
    <col min="259" max="259" width="5.5" style="391" customWidth="1"/>
    <col min="260" max="260" width="2.83203125" style="391" customWidth="1"/>
    <col min="261" max="261" width="2" style="391" customWidth="1"/>
    <col min="262" max="262" width="6.5" style="391" customWidth="1"/>
    <col min="263" max="263" width="8.5" style="391" customWidth="1"/>
    <col min="264" max="499" width="9.33203125" style="391"/>
    <col min="500" max="500" width="3" style="391" customWidth="1"/>
    <col min="501" max="501" width="5.33203125" style="391" customWidth="1"/>
    <col min="502" max="502" width="5.6640625" style="391" customWidth="1"/>
    <col min="503" max="503" width="22" style="391" customWidth="1"/>
    <col min="504" max="505" width="10.5" style="391" customWidth="1"/>
    <col min="506" max="506" width="8.33203125" style="391" customWidth="1"/>
    <col min="507" max="507" width="10.5" style="391" customWidth="1"/>
    <col min="508" max="508" width="9" style="391" customWidth="1"/>
    <col min="509" max="512" width="8.33203125" style="391" customWidth="1"/>
    <col min="513" max="513" width="9" style="391" customWidth="1"/>
    <col min="514" max="514" width="8.33203125" style="391" customWidth="1"/>
    <col min="515" max="515" width="5.5" style="391" customWidth="1"/>
    <col min="516" max="516" width="2.83203125" style="391" customWidth="1"/>
    <col min="517" max="517" width="2" style="391" customWidth="1"/>
    <col min="518" max="518" width="6.5" style="391" customWidth="1"/>
    <col min="519" max="519" width="8.5" style="391" customWidth="1"/>
    <col min="520" max="755" width="9.33203125" style="391"/>
    <col min="756" max="756" width="3" style="391" customWidth="1"/>
    <col min="757" max="757" width="5.33203125" style="391" customWidth="1"/>
    <col min="758" max="758" width="5.6640625" style="391" customWidth="1"/>
    <col min="759" max="759" width="22" style="391" customWidth="1"/>
    <col min="760" max="761" width="10.5" style="391" customWidth="1"/>
    <col min="762" max="762" width="8.33203125" style="391" customWidth="1"/>
    <col min="763" max="763" width="10.5" style="391" customWidth="1"/>
    <col min="764" max="764" width="9" style="391" customWidth="1"/>
    <col min="765" max="768" width="8.33203125" style="391" customWidth="1"/>
    <col min="769" max="769" width="9" style="391" customWidth="1"/>
    <col min="770" max="770" width="8.33203125" style="391" customWidth="1"/>
    <col min="771" max="771" width="5.5" style="391" customWidth="1"/>
    <col min="772" max="772" width="2.83203125" style="391" customWidth="1"/>
    <col min="773" max="773" width="2" style="391" customWidth="1"/>
    <col min="774" max="774" width="6.5" style="391" customWidth="1"/>
    <col min="775" max="775" width="8.5" style="391" customWidth="1"/>
    <col min="776" max="1011" width="9.33203125" style="391"/>
    <col min="1012" max="1012" width="3" style="391" customWidth="1"/>
    <col min="1013" max="1013" width="5.33203125" style="391" customWidth="1"/>
    <col min="1014" max="1014" width="5.6640625" style="391" customWidth="1"/>
    <col min="1015" max="1015" width="22" style="391" customWidth="1"/>
    <col min="1016" max="1017" width="10.5" style="391" customWidth="1"/>
    <col min="1018" max="1018" width="8.33203125" style="391" customWidth="1"/>
    <col min="1019" max="1019" width="10.5" style="391" customWidth="1"/>
    <col min="1020" max="1020" width="9" style="391" customWidth="1"/>
    <col min="1021" max="1024" width="8.33203125" style="391" customWidth="1"/>
    <col min="1025" max="1025" width="9" style="391" customWidth="1"/>
    <col min="1026" max="1026" width="8.33203125" style="391" customWidth="1"/>
    <col min="1027" max="1027" width="5.5" style="391" customWidth="1"/>
    <col min="1028" max="1028" width="2.83203125" style="391" customWidth="1"/>
    <col min="1029" max="1029" width="2" style="391" customWidth="1"/>
    <col min="1030" max="1030" width="6.5" style="391" customWidth="1"/>
    <col min="1031" max="1031" width="8.5" style="391" customWidth="1"/>
    <col min="1032" max="1267" width="9.33203125" style="391"/>
    <col min="1268" max="1268" width="3" style="391" customWidth="1"/>
    <col min="1269" max="1269" width="5.33203125" style="391" customWidth="1"/>
    <col min="1270" max="1270" width="5.6640625" style="391" customWidth="1"/>
    <col min="1271" max="1271" width="22" style="391" customWidth="1"/>
    <col min="1272" max="1273" width="10.5" style="391" customWidth="1"/>
    <col min="1274" max="1274" width="8.33203125" style="391" customWidth="1"/>
    <col min="1275" max="1275" width="10.5" style="391" customWidth="1"/>
    <col min="1276" max="1276" width="9" style="391" customWidth="1"/>
    <col min="1277" max="1280" width="8.33203125" style="391" customWidth="1"/>
    <col min="1281" max="1281" width="9" style="391" customWidth="1"/>
    <col min="1282" max="1282" width="8.33203125" style="391" customWidth="1"/>
    <col min="1283" max="1283" width="5.5" style="391" customWidth="1"/>
    <col min="1284" max="1284" width="2.83203125" style="391" customWidth="1"/>
    <col min="1285" max="1285" width="2" style="391" customWidth="1"/>
    <col min="1286" max="1286" width="6.5" style="391" customWidth="1"/>
    <col min="1287" max="1287" width="8.5" style="391" customWidth="1"/>
    <col min="1288" max="1523" width="9.33203125" style="391"/>
    <col min="1524" max="1524" width="3" style="391" customWidth="1"/>
    <col min="1525" max="1525" width="5.33203125" style="391" customWidth="1"/>
    <col min="1526" max="1526" width="5.6640625" style="391" customWidth="1"/>
    <col min="1527" max="1527" width="22" style="391" customWidth="1"/>
    <col min="1528" max="1529" width="10.5" style="391" customWidth="1"/>
    <col min="1530" max="1530" width="8.33203125" style="391" customWidth="1"/>
    <col min="1531" max="1531" width="10.5" style="391" customWidth="1"/>
    <col min="1532" max="1532" width="9" style="391" customWidth="1"/>
    <col min="1533" max="1536" width="8.33203125" style="391" customWidth="1"/>
    <col min="1537" max="1537" width="9" style="391" customWidth="1"/>
    <col min="1538" max="1538" width="8.33203125" style="391" customWidth="1"/>
    <col min="1539" max="1539" width="5.5" style="391" customWidth="1"/>
    <col min="1540" max="1540" width="2.83203125" style="391" customWidth="1"/>
    <col min="1541" max="1541" width="2" style="391" customWidth="1"/>
    <col min="1542" max="1542" width="6.5" style="391" customWidth="1"/>
    <col min="1543" max="1543" width="8.5" style="391" customWidth="1"/>
    <col min="1544" max="1779" width="9.33203125" style="391"/>
    <col min="1780" max="1780" width="3" style="391" customWidth="1"/>
    <col min="1781" max="1781" width="5.33203125" style="391" customWidth="1"/>
    <col min="1782" max="1782" width="5.6640625" style="391" customWidth="1"/>
    <col min="1783" max="1783" width="22" style="391" customWidth="1"/>
    <col min="1784" max="1785" width="10.5" style="391" customWidth="1"/>
    <col min="1786" max="1786" width="8.33203125" style="391" customWidth="1"/>
    <col min="1787" max="1787" width="10.5" style="391" customWidth="1"/>
    <col min="1788" max="1788" width="9" style="391" customWidth="1"/>
    <col min="1789" max="1792" width="8.33203125" style="391" customWidth="1"/>
    <col min="1793" max="1793" width="9" style="391" customWidth="1"/>
    <col min="1794" max="1794" width="8.33203125" style="391" customWidth="1"/>
    <col min="1795" max="1795" width="5.5" style="391" customWidth="1"/>
    <col min="1796" max="1796" width="2.83203125" style="391" customWidth="1"/>
    <col min="1797" max="1797" width="2" style="391" customWidth="1"/>
    <col min="1798" max="1798" width="6.5" style="391" customWidth="1"/>
    <col min="1799" max="1799" width="8.5" style="391" customWidth="1"/>
    <col min="1800" max="2035" width="9.33203125" style="391"/>
    <col min="2036" max="2036" width="3" style="391" customWidth="1"/>
    <col min="2037" max="2037" width="5.33203125" style="391" customWidth="1"/>
    <col min="2038" max="2038" width="5.6640625" style="391" customWidth="1"/>
    <col min="2039" max="2039" width="22" style="391" customWidth="1"/>
    <col min="2040" max="2041" width="10.5" style="391" customWidth="1"/>
    <col min="2042" max="2042" width="8.33203125" style="391" customWidth="1"/>
    <col min="2043" max="2043" width="10.5" style="391" customWidth="1"/>
    <col min="2044" max="2044" width="9" style="391" customWidth="1"/>
    <col min="2045" max="2048" width="8.33203125" style="391" customWidth="1"/>
    <col min="2049" max="2049" width="9" style="391" customWidth="1"/>
    <col min="2050" max="2050" width="8.33203125" style="391" customWidth="1"/>
    <col min="2051" max="2051" width="5.5" style="391" customWidth="1"/>
    <col min="2052" max="2052" width="2.83203125" style="391" customWidth="1"/>
    <col min="2053" max="2053" width="2" style="391" customWidth="1"/>
    <col min="2054" max="2054" width="6.5" style="391" customWidth="1"/>
    <col min="2055" max="2055" width="8.5" style="391" customWidth="1"/>
    <col min="2056" max="2291" width="9.33203125" style="391"/>
    <col min="2292" max="2292" width="3" style="391" customWidth="1"/>
    <col min="2293" max="2293" width="5.33203125" style="391" customWidth="1"/>
    <col min="2294" max="2294" width="5.6640625" style="391" customWidth="1"/>
    <col min="2295" max="2295" width="22" style="391" customWidth="1"/>
    <col min="2296" max="2297" width="10.5" style="391" customWidth="1"/>
    <col min="2298" max="2298" width="8.33203125" style="391" customWidth="1"/>
    <col min="2299" max="2299" width="10.5" style="391" customWidth="1"/>
    <col min="2300" max="2300" width="9" style="391" customWidth="1"/>
    <col min="2301" max="2304" width="8.33203125" style="391" customWidth="1"/>
    <col min="2305" max="2305" width="9" style="391" customWidth="1"/>
    <col min="2306" max="2306" width="8.33203125" style="391" customWidth="1"/>
    <col min="2307" max="2307" width="5.5" style="391" customWidth="1"/>
    <col min="2308" max="2308" width="2.83203125" style="391" customWidth="1"/>
    <col min="2309" max="2309" width="2" style="391" customWidth="1"/>
    <col min="2310" max="2310" width="6.5" style="391" customWidth="1"/>
    <col min="2311" max="2311" width="8.5" style="391" customWidth="1"/>
    <col min="2312" max="2547" width="9.33203125" style="391"/>
    <col min="2548" max="2548" width="3" style="391" customWidth="1"/>
    <col min="2549" max="2549" width="5.33203125" style="391" customWidth="1"/>
    <col min="2550" max="2550" width="5.6640625" style="391" customWidth="1"/>
    <col min="2551" max="2551" width="22" style="391" customWidth="1"/>
    <col min="2552" max="2553" width="10.5" style="391" customWidth="1"/>
    <col min="2554" max="2554" width="8.33203125" style="391" customWidth="1"/>
    <col min="2555" max="2555" width="10.5" style="391" customWidth="1"/>
    <col min="2556" max="2556" width="9" style="391" customWidth="1"/>
    <col min="2557" max="2560" width="8.33203125" style="391" customWidth="1"/>
    <col min="2561" max="2561" width="9" style="391" customWidth="1"/>
    <col min="2562" max="2562" width="8.33203125" style="391" customWidth="1"/>
    <col min="2563" max="2563" width="5.5" style="391" customWidth="1"/>
    <col min="2564" max="2564" width="2.83203125" style="391" customWidth="1"/>
    <col min="2565" max="2565" width="2" style="391" customWidth="1"/>
    <col min="2566" max="2566" width="6.5" style="391" customWidth="1"/>
    <col min="2567" max="2567" width="8.5" style="391" customWidth="1"/>
    <col min="2568" max="2803" width="9.33203125" style="391"/>
    <col min="2804" max="2804" width="3" style="391" customWidth="1"/>
    <col min="2805" max="2805" width="5.33203125" style="391" customWidth="1"/>
    <col min="2806" max="2806" width="5.6640625" style="391" customWidth="1"/>
    <col min="2807" max="2807" width="22" style="391" customWidth="1"/>
    <col min="2808" max="2809" width="10.5" style="391" customWidth="1"/>
    <col min="2810" max="2810" width="8.33203125" style="391" customWidth="1"/>
    <col min="2811" max="2811" width="10.5" style="391" customWidth="1"/>
    <col min="2812" max="2812" width="9" style="391" customWidth="1"/>
    <col min="2813" max="2816" width="8.33203125" style="391" customWidth="1"/>
    <col min="2817" max="2817" width="9" style="391" customWidth="1"/>
    <col min="2818" max="2818" width="8.33203125" style="391" customWidth="1"/>
    <col min="2819" max="2819" width="5.5" style="391" customWidth="1"/>
    <col min="2820" max="2820" width="2.83203125" style="391" customWidth="1"/>
    <col min="2821" max="2821" width="2" style="391" customWidth="1"/>
    <col min="2822" max="2822" width="6.5" style="391" customWidth="1"/>
    <col min="2823" max="2823" width="8.5" style="391" customWidth="1"/>
    <col min="2824" max="3059" width="9.33203125" style="391"/>
    <col min="3060" max="3060" width="3" style="391" customWidth="1"/>
    <col min="3061" max="3061" width="5.33203125" style="391" customWidth="1"/>
    <col min="3062" max="3062" width="5.6640625" style="391" customWidth="1"/>
    <col min="3063" max="3063" width="22" style="391" customWidth="1"/>
    <col min="3064" max="3065" width="10.5" style="391" customWidth="1"/>
    <col min="3066" max="3066" width="8.33203125" style="391" customWidth="1"/>
    <col min="3067" max="3067" width="10.5" style="391" customWidth="1"/>
    <col min="3068" max="3068" width="9" style="391" customWidth="1"/>
    <col min="3069" max="3072" width="8.33203125" style="391" customWidth="1"/>
    <col min="3073" max="3073" width="9" style="391" customWidth="1"/>
    <col min="3074" max="3074" width="8.33203125" style="391" customWidth="1"/>
    <col min="3075" max="3075" width="5.5" style="391" customWidth="1"/>
    <col min="3076" max="3076" width="2.83203125" style="391" customWidth="1"/>
    <col min="3077" max="3077" width="2" style="391" customWidth="1"/>
    <col min="3078" max="3078" width="6.5" style="391" customWidth="1"/>
    <col min="3079" max="3079" width="8.5" style="391" customWidth="1"/>
    <col min="3080" max="3315" width="9.33203125" style="391"/>
    <col min="3316" max="3316" width="3" style="391" customWidth="1"/>
    <col min="3317" max="3317" width="5.33203125" style="391" customWidth="1"/>
    <col min="3318" max="3318" width="5.6640625" style="391" customWidth="1"/>
    <col min="3319" max="3319" width="22" style="391" customWidth="1"/>
    <col min="3320" max="3321" width="10.5" style="391" customWidth="1"/>
    <col min="3322" max="3322" width="8.33203125" style="391" customWidth="1"/>
    <col min="3323" max="3323" width="10.5" style="391" customWidth="1"/>
    <col min="3324" max="3324" width="9" style="391" customWidth="1"/>
    <col min="3325" max="3328" width="8.33203125" style="391" customWidth="1"/>
    <col min="3329" max="3329" width="9" style="391" customWidth="1"/>
    <col min="3330" max="3330" width="8.33203125" style="391" customWidth="1"/>
    <col min="3331" max="3331" width="5.5" style="391" customWidth="1"/>
    <col min="3332" max="3332" width="2.83203125" style="391" customWidth="1"/>
    <col min="3333" max="3333" width="2" style="391" customWidth="1"/>
    <col min="3334" max="3334" width="6.5" style="391" customWidth="1"/>
    <col min="3335" max="3335" width="8.5" style="391" customWidth="1"/>
    <col min="3336" max="3571" width="9.33203125" style="391"/>
    <col min="3572" max="3572" width="3" style="391" customWidth="1"/>
    <col min="3573" max="3573" width="5.33203125" style="391" customWidth="1"/>
    <col min="3574" max="3574" width="5.6640625" style="391" customWidth="1"/>
    <col min="3575" max="3575" width="22" style="391" customWidth="1"/>
    <col min="3576" max="3577" width="10.5" style="391" customWidth="1"/>
    <col min="3578" max="3578" width="8.33203125" style="391" customWidth="1"/>
    <col min="3579" max="3579" width="10.5" style="391" customWidth="1"/>
    <col min="3580" max="3580" width="9" style="391" customWidth="1"/>
    <col min="3581" max="3584" width="8.33203125" style="391" customWidth="1"/>
    <col min="3585" max="3585" width="9" style="391" customWidth="1"/>
    <col min="3586" max="3586" width="8.33203125" style="391" customWidth="1"/>
    <col min="3587" max="3587" width="5.5" style="391" customWidth="1"/>
    <col min="3588" max="3588" width="2.83203125" style="391" customWidth="1"/>
    <col min="3589" max="3589" width="2" style="391" customWidth="1"/>
    <col min="3590" max="3590" width="6.5" style="391" customWidth="1"/>
    <col min="3591" max="3591" width="8.5" style="391" customWidth="1"/>
    <col min="3592" max="3827" width="9.33203125" style="391"/>
    <col min="3828" max="3828" width="3" style="391" customWidth="1"/>
    <col min="3829" max="3829" width="5.33203125" style="391" customWidth="1"/>
    <col min="3830" max="3830" width="5.6640625" style="391" customWidth="1"/>
    <col min="3831" max="3831" width="22" style="391" customWidth="1"/>
    <col min="3832" max="3833" width="10.5" style="391" customWidth="1"/>
    <col min="3834" max="3834" width="8.33203125" style="391" customWidth="1"/>
    <col min="3835" max="3835" width="10.5" style="391" customWidth="1"/>
    <col min="3836" max="3836" width="9" style="391" customWidth="1"/>
    <col min="3837" max="3840" width="8.33203125" style="391" customWidth="1"/>
    <col min="3841" max="3841" width="9" style="391" customWidth="1"/>
    <col min="3842" max="3842" width="8.33203125" style="391" customWidth="1"/>
    <col min="3843" max="3843" width="5.5" style="391" customWidth="1"/>
    <col min="3844" max="3844" width="2.83203125" style="391" customWidth="1"/>
    <col min="3845" max="3845" width="2" style="391" customWidth="1"/>
    <col min="3846" max="3846" width="6.5" style="391" customWidth="1"/>
    <col min="3847" max="3847" width="8.5" style="391" customWidth="1"/>
    <col min="3848" max="4083" width="9.33203125" style="391"/>
    <col min="4084" max="4084" width="3" style="391" customWidth="1"/>
    <col min="4085" max="4085" width="5.33203125" style="391" customWidth="1"/>
    <col min="4086" max="4086" width="5.6640625" style="391" customWidth="1"/>
    <col min="4087" max="4087" width="22" style="391" customWidth="1"/>
    <col min="4088" max="4089" width="10.5" style="391" customWidth="1"/>
    <col min="4090" max="4090" width="8.33203125" style="391" customWidth="1"/>
    <col min="4091" max="4091" width="10.5" style="391" customWidth="1"/>
    <col min="4092" max="4092" width="9" style="391" customWidth="1"/>
    <col min="4093" max="4096" width="8.33203125" style="391" customWidth="1"/>
    <col min="4097" max="4097" width="9" style="391" customWidth="1"/>
    <col min="4098" max="4098" width="8.33203125" style="391" customWidth="1"/>
    <col min="4099" max="4099" width="5.5" style="391" customWidth="1"/>
    <col min="4100" max="4100" width="2.83203125" style="391" customWidth="1"/>
    <col min="4101" max="4101" width="2" style="391" customWidth="1"/>
    <col min="4102" max="4102" width="6.5" style="391" customWidth="1"/>
    <col min="4103" max="4103" width="8.5" style="391" customWidth="1"/>
    <col min="4104" max="4339" width="9.33203125" style="391"/>
    <col min="4340" max="4340" width="3" style="391" customWidth="1"/>
    <col min="4341" max="4341" width="5.33203125" style="391" customWidth="1"/>
    <col min="4342" max="4342" width="5.6640625" style="391" customWidth="1"/>
    <col min="4343" max="4343" width="22" style="391" customWidth="1"/>
    <col min="4344" max="4345" width="10.5" style="391" customWidth="1"/>
    <col min="4346" max="4346" width="8.33203125" style="391" customWidth="1"/>
    <col min="4347" max="4347" width="10.5" style="391" customWidth="1"/>
    <col min="4348" max="4348" width="9" style="391" customWidth="1"/>
    <col min="4349" max="4352" width="8.33203125" style="391" customWidth="1"/>
    <col min="4353" max="4353" width="9" style="391" customWidth="1"/>
    <col min="4354" max="4354" width="8.33203125" style="391" customWidth="1"/>
    <col min="4355" max="4355" width="5.5" style="391" customWidth="1"/>
    <col min="4356" max="4356" width="2.83203125" style="391" customWidth="1"/>
    <col min="4357" max="4357" width="2" style="391" customWidth="1"/>
    <col min="4358" max="4358" width="6.5" style="391" customWidth="1"/>
    <col min="4359" max="4359" width="8.5" style="391" customWidth="1"/>
    <col min="4360" max="4595" width="9.33203125" style="391"/>
    <col min="4596" max="4596" width="3" style="391" customWidth="1"/>
    <col min="4597" max="4597" width="5.33203125" style="391" customWidth="1"/>
    <col min="4598" max="4598" width="5.6640625" style="391" customWidth="1"/>
    <col min="4599" max="4599" width="22" style="391" customWidth="1"/>
    <col min="4600" max="4601" width="10.5" style="391" customWidth="1"/>
    <col min="4602" max="4602" width="8.33203125" style="391" customWidth="1"/>
    <col min="4603" max="4603" width="10.5" style="391" customWidth="1"/>
    <col min="4604" max="4604" width="9" style="391" customWidth="1"/>
    <col min="4605" max="4608" width="8.33203125" style="391" customWidth="1"/>
    <col min="4609" max="4609" width="9" style="391" customWidth="1"/>
    <col min="4610" max="4610" width="8.33203125" style="391" customWidth="1"/>
    <col min="4611" max="4611" width="5.5" style="391" customWidth="1"/>
    <col min="4612" max="4612" width="2.83203125" style="391" customWidth="1"/>
    <col min="4613" max="4613" width="2" style="391" customWidth="1"/>
    <col min="4614" max="4614" width="6.5" style="391" customWidth="1"/>
    <col min="4615" max="4615" width="8.5" style="391" customWidth="1"/>
    <col min="4616" max="4851" width="9.33203125" style="391"/>
    <col min="4852" max="4852" width="3" style="391" customWidth="1"/>
    <col min="4853" max="4853" width="5.33203125" style="391" customWidth="1"/>
    <col min="4854" max="4854" width="5.6640625" style="391" customWidth="1"/>
    <col min="4855" max="4855" width="22" style="391" customWidth="1"/>
    <col min="4856" max="4857" width="10.5" style="391" customWidth="1"/>
    <col min="4858" max="4858" width="8.33203125" style="391" customWidth="1"/>
    <col min="4859" max="4859" width="10.5" style="391" customWidth="1"/>
    <col min="4860" max="4860" width="9" style="391" customWidth="1"/>
    <col min="4861" max="4864" width="8.33203125" style="391" customWidth="1"/>
    <col min="4865" max="4865" width="9" style="391" customWidth="1"/>
    <col min="4866" max="4866" width="8.33203125" style="391" customWidth="1"/>
    <col min="4867" max="4867" width="5.5" style="391" customWidth="1"/>
    <col min="4868" max="4868" width="2.83203125" style="391" customWidth="1"/>
    <col min="4869" max="4869" width="2" style="391" customWidth="1"/>
    <col min="4870" max="4870" width="6.5" style="391" customWidth="1"/>
    <col min="4871" max="4871" width="8.5" style="391" customWidth="1"/>
    <col min="4872" max="5107" width="9.33203125" style="391"/>
    <col min="5108" max="5108" width="3" style="391" customWidth="1"/>
    <col min="5109" max="5109" width="5.33203125" style="391" customWidth="1"/>
    <col min="5110" max="5110" width="5.6640625" style="391" customWidth="1"/>
    <col min="5111" max="5111" width="22" style="391" customWidth="1"/>
    <col min="5112" max="5113" width="10.5" style="391" customWidth="1"/>
    <col min="5114" max="5114" width="8.33203125" style="391" customWidth="1"/>
    <col min="5115" max="5115" width="10.5" style="391" customWidth="1"/>
    <col min="5116" max="5116" width="9" style="391" customWidth="1"/>
    <col min="5117" max="5120" width="8.33203125" style="391" customWidth="1"/>
    <col min="5121" max="5121" width="9" style="391" customWidth="1"/>
    <col min="5122" max="5122" width="8.33203125" style="391" customWidth="1"/>
    <col min="5123" max="5123" width="5.5" style="391" customWidth="1"/>
    <col min="5124" max="5124" width="2.83203125" style="391" customWidth="1"/>
    <col min="5125" max="5125" width="2" style="391" customWidth="1"/>
    <col min="5126" max="5126" width="6.5" style="391" customWidth="1"/>
    <col min="5127" max="5127" width="8.5" style="391" customWidth="1"/>
    <col min="5128" max="5363" width="9.33203125" style="391"/>
    <col min="5364" max="5364" width="3" style="391" customWidth="1"/>
    <col min="5365" max="5365" width="5.33203125" style="391" customWidth="1"/>
    <col min="5366" max="5366" width="5.6640625" style="391" customWidth="1"/>
    <col min="5367" max="5367" width="22" style="391" customWidth="1"/>
    <col min="5368" max="5369" width="10.5" style="391" customWidth="1"/>
    <col min="5370" max="5370" width="8.33203125" style="391" customWidth="1"/>
    <col min="5371" max="5371" width="10.5" style="391" customWidth="1"/>
    <col min="5372" max="5372" width="9" style="391" customWidth="1"/>
    <col min="5373" max="5376" width="8.33203125" style="391" customWidth="1"/>
    <col min="5377" max="5377" width="9" style="391" customWidth="1"/>
    <col min="5378" max="5378" width="8.33203125" style="391" customWidth="1"/>
    <col min="5379" max="5379" width="5.5" style="391" customWidth="1"/>
    <col min="5380" max="5380" width="2.83203125" style="391" customWidth="1"/>
    <col min="5381" max="5381" width="2" style="391" customWidth="1"/>
    <col min="5382" max="5382" width="6.5" style="391" customWidth="1"/>
    <col min="5383" max="5383" width="8.5" style="391" customWidth="1"/>
    <col min="5384" max="5619" width="9.33203125" style="391"/>
    <col min="5620" max="5620" width="3" style="391" customWidth="1"/>
    <col min="5621" max="5621" width="5.33203125" style="391" customWidth="1"/>
    <col min="5622" max="5622" width="5.6640625" style="391" customWidth="1"/>
    <col min="5623" max="5623" width="22" style="391" customWidth="1"/>
    <col min="5624" max="5625" width="10.5" style="391" customWidth="1"/>
    <col min="5626" max="5626" width="8.33203125" style="391" customWidth="1"/>
    <col min="5627" max="5627" width="10.5" style="391" customWidth="1"/>
    <col min="5628" max="5628" width="9" style="391" customWidth="1"/>
    <col min="5629" max="5632" width="8.33203125" style="391" customWidth="1"/>
    <col min="5633" max="5633" width="9" style="391" customWidth="1"/>
    <col min="5634" max="5634" width="8.33203125" style="391" customWidth="1"/>
    <col min="5635" max="5635" width="5.5" style="391" customWidth="1"/>
    <col min="5636" max="5636" width="2.83203125" style="391" customWidth="1"/>
    <col min="5637" max="5637" width="2" style="391" customWidth="1"/>
    <col min="5638" max="5638" width="6.5" style="391" customWidth="1"/>
    <col min="5639" max="5639" width="8.5" style="391" customWidth="1"/>
    <col min="5640" max="5875" width="9.33203125" style="391"/>
    <col min="5876" max="5876" width="3" style="391" customWidth="1"/>
    <col min="5877" max="5877" width="5.33203125" style="391" customWidth="1"/>
    <col min="5878" max="5878" width="5.6640625" style="391" customWidth="1"/>
    <col min="5879" max="5879" width="22" style="391" customWidth="1"/>
    <col min="5880" max="5881" width="10.5" style="391" customWidth="1"/>
    <col min="5882" max="5882" width="8.33203125" style="391" customWidth="1"/>
    <col min="5883" max="5883" width="10.5" style="391" customWidth="1"/>
    <col min="5884" max="5884" width="9" style="391" customWidth="1"/>
    <col min="5885" max="5888" width="8.33203125" style="391" customWidth="1"/>
    <col min="5889" max="5889" width="9" style="391" customWidth="1"/>
    <col min="5890" max="5890" width="8.33203125" style="391" customWidth="1"/>
    <col min="5891" max="5891" width="5.5" style="391" customWidth="1"/>
    <col min="5892" max="5892" width="2.83203125" style="391" customWidth="1"/>
    <col min="5893" max="5893" width="2" style="391" customWidth="1"/>
    <col min="5894" max="5894" width="6.5" style="391" customWidth="1"/>
    <col min="5895" max="5895" width="8.5" style="391" customWidth="1"/>
    <col min="5896" max="6131" width="9.33203125" style="391"/>
    <col min="6132" max="6132" width="3" style="391" customWidth="1"/>
    <col min="6133" max="6133" width="5.33203125" style="391" customWidth="1"/>
    <col min="6134" max="6134" width="5.6640625" style="391" customWidth="1"/>
    <col min="6135" max="6135" width="22" style="391" customWidth="1"/>
    <col min="6136" max="6137" width="10.5" style="391" customWidth="1"/>
    <col min="6138" max="6138" width="8.33203125" style="391" customWidth="1"/>
    <col min="6139" max="6139" width="10.5" style="391" customWidth="1"/>
    <col min="6140" max="6140" width="9" style="391" customWidth="1"/>
    <col min="6141" max="6144" width="8.33203125" style="391" customWidth="1"/>
    <col min="6145" max="6145" width="9" style="391" customWidth="1"/>
    <col min="6146" max="6146" width="8.33203125" style="391" customWidth="1"/>
    <col min="6147" max="6147" width="5.5" style="391" customWidth="1"/>
    <col min="6148" max="6148" width="2.83203125" style="391" customWidth="1"/>
    <col min="6149" max="6149" width="2" style="391" customWidth="1"/>
    <col min="6150" max="6150" width="6.5" style="391" customWidth="1"/>
    <col min="6151" max="6151" width="8.5" style="391" customWidth="1"/>
    <col min="6152" max="6387" width="9.33203125" style="391"/>
    <col min="6388" max="6388" width="3" style="391" customWidth="1"/>
    <col min="6389" max="6389" width="5.33203125" style="391" customWidth="1"/>
    <col min="6390" max="6390" width="5.6640625" style="391" customWidth="1"/>
    <col min="6391" max="6391" width="22" style="391" customWidth="1"/>
    <col min="6392" max="6393" width="10.5" style="391" customWidth="1"/>
    <col min="6394" max="6394" width="8.33203125" style="391" customWidth="1"/>
    <col min="6395" max="6395" width="10.5" style="391" customWidth="1"/>
    <col min="6396" max="6396" width="9" style="391" customWidth="1"/>
    <col min="6397" max="6400" width="8.33203125" style="391" customWidth="1"/>
    <col min="6401" max="6401" width="9" style="391" customWidth="1"/>
    <col min="6402" max="6402" width="8.33203125" style="391" customWidth="1"/>
    <col min="6403" max="6403" width="5.5" style="391" customWidth="1"/>
    <col min="6404" max="6404" width="2.83203125" style="391" customWidth="1"/>
    <col min="6405" max="6405" width="2" style="391" customWidth="1"/>
    <col min="6406" max="6406" width="6.5" style="391" customWidth="1"/>
    <col min="6407" max="6407" width="8.5" style="391" customWidth="1"/>
    <col min="6408" max="6643" width="9.33203125" style="391"/>
    <col min="6644" max="6644" width="3" style="391" customWidth="1"/>
    <col min="6645" max="6645" width="5.33203125" style="391" customWidth="1"/>
    <col min="6646" max="6646" width="5.6640625" style="391" customWidth="1"/>
    <col min="6647" max="6647" width="22" style="391" customWidth="1"/>
    <col min="6648" max="6649" width="10.5" style="391" customWidth="1"/>
    <col min="6650" max="6650" width="8.33203125" style="391" customWidth="1"/>
    <col min="6651" max="6651" width="10.5" style="391" customWidth="1"/>
    <col min="6652" max="6652" width="9" style="391" customWidth="1"/>
    <col min="6653" max="6656" width="8.33203125" style="391" customWidth="1"/>
    <col min="6657" max="6657" width="9" style="391" customWidth="1"/>
    <col min="6658" max="6658" width="8.33203125" style="391" customWidth="1"/>
    <col min="6659" max="6659" width="5.5" style="391" customWidth="1"/>
    <col min="6660" max="6660" width="2.83203125" style="391" customWidth="1"/>
    <col min="6661" max="6661" width="2" style="391" customWidth="1"/>
    <col min="6662" max="6662" width="6.5" style="391" customWidth="1"/>
    <col min="6663" max="6663" width="8.5" style="391" customWidth="1"/>
    <col min="6664" max="6899" width="9.33203125" style="391"/>
    <col min="6900" max="6900" width="3" style="391" customWidth="1"/>
    <col min="6901" max="6901" width="5.33203125" style="391" customWidth="1"/>
    <col min="6902" max="6902" width="5.6640625" style="391" customWidth="1"/>
    <col min="6903" max="6903" width="22" style="391" customWidth="1"/>
    <col min="6904" max="6905" width="10.5" style="391" customWidth="1"/>
    <col min="6906" max="6906" width="8.33203125" style="391" customWidth="1"/>
    <col min="6907" max="6907" width="10.5" style="391" customWidth="1"/>
    <col min="6908" max="6908" width="9" style="391" customWidth="1"/>
    <col min="6909" max="6912" width="8.33203125" style="391" customWidth="1"/>
    <col min="6913" max="6913" width="9" style="391" customWidth="1"/>
    <col min="6914" max="6914" width="8.33203125" style="391" customWidth="1"/>
    <col min="6915" max="6915" width="5.5" style="391" customWidth="1"/>
    <col min="6916" max="6916" width="2.83203125" style="391" customWidth="1"/>
    <col min="6917" max="6917" width="2" style="391" customWidth="1"/>
    <col min="6918" max="6918" width="6.5" style="391" customWidth="1"/>
    <col min="6919" max="6919" width="8.5" style="391" customWidth="1"/>
    <col min="6920" max="7155" width="9.33203125" style="391"/>
    <col min="7156" max="7156" width="3" style="391" customWidth="1"/>
    <col min="7157" max="7157" width="5.33203125" style="391" customWidth="1"/>
    <col min="7158" max="7158" width="5.6640625" style="391" customWidth="1"/>
    <col min="7159" max="7159" width="22" style="391" customWidth="1"/>
    <col min="7160" max="7161" width="10.5" style="391" customWidth="1"/>
    <col min="7162" max="7162" width="8.33203125" style="391" customWidth="1"/>
    <col min="7163" max="7163" width="10.5" style="391" customWidth="1"/>
    <col min="7164" max="7164" width="9" style="391" customWidth="1"/>
    <col min="7165" max="7168" width="8.33203125" style="391" customWidth="1"/>
    <col min="7169" max="7169" width="9" style="391" customWidth="1"/>
    <col min="7170" max="7170" width="8.33203125" style="391" customWidth="1"/>
    <col min="7171" max="7171" width="5.5" style="391" customWidth="1"/>
    <col min="7172" max="7172" width="2.83203125" style="391" customWidth="1"/>
    <col min="7173" max="7173" width="2" style="391" customWidth="1"/>
    <col min="7174" max="7174" width="6.5" style="391" customWidth="1"/>
    <col min="7175" max="7175" width="8.5" style="391" customWidth="1"/>
    <col min="7176" max="7411" width="9.33203125" style="391"/>
    <col min="7412" max="7412" width="3" style="391" customWidth="1"/>
    <col min="7413" max="7413" width="5.33203125" style="391" customWidth="1"/>
    <col min="7414" max="7414" width="5.6640625" style="391" customWidth="1"/>
    <col min="7415" max="7415" width="22" style="391" customWidth="1"/>
    <col min="7416" max="7417" width="10.5" style="391" customWidth="1"/>
    <col min="7418" max="7418" width="8.33203125" style="391" customWidth="1"/>
    <col min="7419" max="7419" width="10.5" style="391" customWidth="1"/>
    <col min="7420" max="7420" width="9" style="391" customWidth="1"/>
    <col min="7421" max="7424" width="8.33203125" style="391" customWidth="1"/>
    <col min="7425" max="7425" width="9" style="391" customWidth="1"/>
    <col min="7426" max="7426" width="8.33203125" style="391" customWidth="1"/>
    <col min="7427" max="7427" width="5.5" style="391" customWidth="1"/>
    <col min="7428" max="7428" width="2.83203125" style="391" customWidth="1"/>
    <col min="7429" max="7429" width="2" style="391" customWidth="1"/>
    <col min="7430" max="7430" width="6.5" style="391" customWidth="1"/>
    <col min="7431" max="7431" width="8.5" style="391" customWidth="1"/>
    <col min="7432" max="7667" width="9.33203125" style="391"/>
    <col min="7668" max="7668" width="3" style="391" customWidth="1"/>
    <col min="7669" max="7669" width="5.33203125" style="391" customWidth="1"/>
    <col min="7670" max="7670" width="5.6640625" style="391" customWidth="1"/>
    <col min="7671" max="7671" width="22" style="391" customWidth="1"/>
    <col min="7672" max="7673" width="10.5" style="391" customWidth="1"/>
    <col min="7674" max="7674" width="8.33203125" style="391" customWidth="1"/>
    <col min="7675" max="7675" width="10.5" style="391" customWidth="1"/>
    <col min="7676" max="7676" width="9" style="391" customWidth="1"/>
    <col min="7677" max="7680" width="8.33203125" style="391" customWidth="1"/>
    <col min="7681" max="7681" width="9" style="391" customWidth="1"/>
    <col min="7682" max="7682" width="8.33203125" style="391" customWidth="1"/>
    <col min="7683" max="7683" width="5.5" style="391" customWidth="1"/>
    <col min="7684" max="7684" width="2.83203125" style="391" customWidth="1"/>
    <col min="7685" max="7685" width="2" style="391" customWidth="1"/>
    <col min="7686" max="7686" width="6.5" style="391" customWidth="1"/>
    <col min="7687" max="7687" width="8.5" style="391" customWidth="1"/>
    <col min="7688" max="7923" width="9.33203125" style="391"/>
    <col min="7924" max="7924" width="3" style="391" customWidth="1"/>
    <col min="7925" max="7925" width="5.33203125" style="391" customWidth="1"/>
    <col min="7926" max="7926" width="5.6640625" style="391" customWidth="1"/>
    <col min="7927" max="7927" width="22" style="391" customWidth="1"/>
    <col min="7928" max="7929" width="10.5" style="391" customWidth="1"/>
    <col min="7930" max="7930" width="8.33203125" style="391" customWidth="1"/>
    <col min="7931" max="7931" width="10.5" style="391" customWidth="1"/>
    <col min="7932" max="7932" width="9" style="391" customWidth="1"/>
    <col min="7933" max="7936" width="8.33203125" style="391" customWidth="1"/>
    <col min="7937" max="7937" width="9" style="391" customWidth="1"/>
    <col min="7938" max="7938" width="8.33203125" style="391" customWidth="1"/>
    <col min="7939" max="7939" width="5.5" style="391" customWidth="1"/>
    <col min="7940" max="7940" width="2.83203125" style="391" customWidth="1"/>
    <col min="7941" max="7941" width="2" style="391" customWidth="1"/>
    <col min="7942" max="7942" width="6.5" style="391" customWidth="1"/>
    <col min="7943" max="7943" width="8.5" style="391" customWidth="1"/>
    <col min="7944" max="8179" width="9.33203125" style="391"/>
    <col min="8180" max="8180" width="3" style="391" customWidth="1"/>
    <col min="8181" max="8181" width="5.33203125" style="391" customWidth="1"/>
    <col min="8182" max="8182" width="5.6640625" style="391" customWidth="1"/>
    <col min="8183" max="8183" width="22" style="391" customWidth="1"/>
    <col min="8184" max="8185" width="10.5" style="391" customWidth="1"/>
    <col min="8186" max="8186" width="8.33203125" style="391" customWidth="1"/>
    <col min="8187" max="8187" width="10.5" style="391" customWidth="1"/>
    <col min="8188" max="8188" width="9" style="391" customWidth="1"/>
    <col min="8189" max="8192" width="8.33203125" style="391" customWidth="1"/>
    <col min="8193" max="8193" width="9" style="391" customWidth="1"/>
    <col min="8194" max="8194" width="8.33203125" style="391" customWidth="1"/>
    <col min="8195" max="8195" width="5.5" style="391" customWidth="1"/>
    <col min="8196" max="8196" width="2.83203125" style="391" customWidth="1"/>
    <col min="8197" max="8197" width="2" style="391" customWidth="1"/>
    <col min="8198" max="8198" width="6.5" style="391" customWidth="1"/>
    <col min="8199" max="8199" width="8.5" style="391" customWidth="1"/>
    <col min="8200" max="8435" width="9.33203125" style="391"/>
    <col min="8436" max="8436" width="3" style="391" customWidth="1"/>
    <col min="8437" max="8437" width="5.33203125" style="391" customWidth="1"/>
    <col min="8438" max="8438" width="5.6640625" style="391" customWidth="1"/>
    <col min="8439" max="8439" width="22" style="391" customWidth="1"/>
    <col min="8440" max="8441" width="10.5" style="391" customWidth="1"/>
    <col min="8442" max="8442" width="8.33203125" style="391" customWidth="1"/>
    <col min="8443" max="8443" width="10.5" style="391" customWidth="1"/>
    <col min="8444" max="8444" width="9" style="391" customWidth="1"/>
    <col min="8445" max="8448" width="8.33203125" style="391" customWidth="1"/>
    <col min="8449" max="8449" width="9" style="391" customWidth="1"/>
    <col min="8450" max="8450" width="8.33203125" style="391" customWidth="1"/>
    <col min="8451" max="8451" width="5.5" style="391" customWidth="1"/>
    <col min="8452" max="8452" width="2.83203125" style="391" customWidth="1"/>
    <col min="8453" max="8453" width="2" style="391" customWidth="1"/>
    <col min="8454" max="8454" width="6.5" style="391" customWidth="1"/>
    <col min="8455" max="8455" width="8.5" style="391" customWidth="1"/>
    <col min="8456" max="8691" width="9.33203125" style="391"/>
    <col min="8692" max="8692" width="3" style="391" customWidth="1"/>
    <col min="8693" max="8693" width="5.33203125" style="391" customWidth="1"/>
    <col min="8694" max="8694" width="5.6640625" style="391" customWidth="1"/>
    <col min="8695" max="8695" width="22" style="391" customWidth="1"/>
    <col min="8696" max="8697" width="10.5" style="391" customWidth="1"/>
    <col min="8698" max="8698" width="8.33203125" style="391" customWidth="1"/>
    <col min="8699" max="8699" width="10.5" style="391" customWidth="1"/>
    <col min="8700" max="8700" width="9" style="391" customWidth="1"/>
    <col min="8701" max="8704" width="8.33203125" style="391" customWidth="1"/>
    <col min="8705" max="8705" width="9" style="391" customWidth="1"/>
    <col min="8706" max="8706" width="8.33203125" style="391" customWidth="1"/>
    <col min="8707" max="8707" width="5.5" style="391" customWidth="1"/>
    <col min="8708" max="8708" width="2.83203125" style="391" customWidth="1"/>
    <col min="8709" max="8709" width="2" style="391" customWidth="1"/>
    <col min="8710" max="8710" width="6.5" style="391" customWidth="1"/>
    <col min="8711" max="8711" width="8.5" style="391" customWidth="1"/>
    <col min="8712" max="8947" width="9.33203125" style="391"/>
    <col min="8948" max="8948" width="3" style="391" customWidth="1"/>
    <col min="8949" max="8949" width="5.33203125" style="391" customWidth="1"/>
    <col min="8950" max="8950" width="5.6640625" style="391" customWidth="1"/>
    <col min="8951" max="8951" width="22" style="391" customWidth="1"/>
    <col min="8952" max="8953" width="10.5" style="391" customWidth="1"/>
    <col min="8954" max="8954" width="8.33203125" style="391" customWidth="1"/>
    <col min="8955" max="8955" width="10.5" style="391" customWidth="1"/>
    <col min="8956" max="8956" width="9" style="391" customWidth="1"/>
    <col min="8957" max="8960" width="8.33203125" style="391" customWidth="1"/>
    <col min="8961" max="8961" width="9" style="391" customWidth="1"/>
    <col min="8962" max="8962" width="8.33203125" style="391" customWidth="1"/>
    <col min="8963" max="8963" width="5.5" style="391" customWidth="1"/>
    <col min="8964" max="8964" width="2.83203125" style="391" customWidth="1"/>
    <col min="8965" max="8965" width="2" style="391" customWidth="1"/>
    <col min="8966" max="8966" width="6.5" style="391" customWidth="1"/>
    <col min="8967" max="8967" width="8.5" style="391" customWidth="1"/>
    <col min="8968" max="9203" width="9.33203125" style="391"/>
    <col min="9204" max="9204" width="3" style="391" customWidth="1"/>
    <col min="9205" max="9205" width="5.33203125" style="391" customWidth="1"/>
    <col min="9206" max="9206" width="5.6640625" style="391" customWidth="1"/>
    <col min="9207" max="9207" width="22" style="391" customWidth="1"/>
    <col min="9208" max="9209" width="10.5" style="391" customWidth="1"/>
    <col min="9210" max="9210" width="8.33203125" style="391" customWidth="1"/>
    <col min="9211" max="9211" width="10.5" style="391" customWidth="1"/>
    <col min="9212" max="9212" width="9" style="391" customWidth="1"/>
    <col min="9213" max="9216" width="8.33203125" style="391" customWidth="1"/>
    <col min="9217" max="9217" width="9" style="391" customWidth="1"/>
    <col min="9218" max="9218" width="8.33203125" style="391" customWidth="1"/>
    <col min="9219" max="9219" width="5.5" style="391" customWidth="1"/>
    <col min="9220" max="9220" width="2.83203125" style="391" customWidth="1"/>
    <col min="9221" max="9221" width="2" style="391" customWidth="1"/>
    <col min="9222" max="9222" width="6.5" style="391" customWidth="1"/>
    <col min="9223" max="9223" width="8.5" style="391" customWidth="1"/>
    <col min="9224" max="9459" width="9.33203125" style="391"/>
    <col min="9460" max="9460" width="3" style="391" customWidth="1"/>
    <col min="9461" max="9461" width="5.33203125" style="391" customWidth="1"/>
    <col min="9462" max="9462" width="5.6640625" style="391" customWidth="1"/>
    <col min="9463" max="9463" width="22" style="391" customWidth="1"/>
    <col min="9464" max="9465" width="10.5" style="391" customWidth="1"/>
    <col min="9466" max="9466" width="8.33203125" style="391" customWidth="1"/>
    <col min="9467" max="9467" width="10.5" style="391" customWidth="1"/>
    <col min="9468" max="9468" width="9" style="391" customWidth="1"/>
    <col min="9469" max="9472" width="8.33203125" style="391" customWidth="1"/>
    <col min="9473" max="9473" width="9" style="391" customWidth="1"/>
    <col min="9474" max="9474" width="8.33203125" style="391" customWidth="1"/>
    <col min="9475" max="9475" width="5.5" style="391" customWidth="1"/>
    <col min="9476" max="9476" width="2.83203125" style="391" customWidth="1"/>
    <col min="9477" max="9477" width="2" style="391" customWidth="1"/>
    <col min="9478" max="9478" width="6.5" style="391" customWidth="1"/>
    <col min="9479" max="9479" width="8.5" style="391" customWidth="1"/>
    <col min="9480" max="9715" width="9.33203125" style="391"/>
    <col min="9716" max="9716" width="3" style="391" customWidth="1"/>
    <col min="9717" max="9717" width="5.33203125" style="391" customWidth="1"/>
    <col min="9718" max="9718" width="5.6640625" style="391" customWidth="1"/>
    <col min="9719" max="9719" width="22" style="391" customWidth="1"/>
    <col min="9720" max="9721" width="10.5" style="391" customWidth="1"/>
    <col min="9722" max="9722" width="8.33203125" style="391" customWidth="1"/>
    <col min="9723" max="9723" width="10.5" style="391" customWidth="1"/>
    <col min="9724" max="9724" width="9" style="391" customWidth="1"/>
    <col min="9725" max="9728" width="8.33203125" style="391" customWidth="1"/>
    <col min="9729" max="9729" width="9" style="391" customWidth="1"/>
    <col min="9730" max="9730" width="8.33203125" style="391" customWidth="1"/>
    <col min="9731" max="9731" width="5.5" style="391" customWidth="1"/>
    <col min="9732" max="9732" width="2.83203125" style="391" customWidth="1"/>
    <col min="9733" max="9733" width="2" style="391" customWidth="1"/>
    <col min="9734" max="9734" width="6.5" style="391" customWidth="1"/>
    <col min="9735" max="9735" width="8.5" style="391" customWidth="1"/>
    <col min="9736" max="9971" width="9.33203125" style="391"/>
    <col min="9972" max="9972" width="3" style="391" customWidth="1"/>
    <col min="9973" max="9973" width="5.33203125" style="391" customWidth="1"/>
    <col min="9974" max="9974" width="5.6640625" style="391" customWidth="1"/>
    <col min="9975" max="9975" width="22" style="391" customWidth="1"/>
    <col min="9976" max="9977" width="10.5" style="391" customWidth="1"/>
    <col min="9978" max="9978" width="8.33203125" style="391" customWidth="1"/>
    <col min="9979" max="9979" width="10.5" style="391" customWidth="1"/>
    <col min="9980" max="9980" width="9" style="391" customWidth="1"/>
    <col min="9981" max="9984" width="8.33203125" style="391" customWidth="1"/>
    <col min="9985" max="9985" width="9" style="391" customWidth="1"/>
    <col min="9986" max="9986" width="8.33203125" style="391" customWidth="1"/>
    <col min="9987" max="9987" width="5.5" style="391" customWidth="1"/>
    <col min="9988" max="9988" width="2.83203125" style="391" customWidth="1"/>
    <col min="9989" max="9989" width="2" style="391" customWidth="1"/>
    <col min="9990" max="9990" width="6.5" style="391" customWidth="1"/>
    <col min="9991" max="9991" width="8.5" style="391" customWidth="1"/>
    <col min="9992" max="10227" width="9.33203125" style="391"/>
    <col min="10228" max="10228" width="3" style="391" customWidth="1"/>
    <col min="10229" max="10229" width="5.33203125" style="391" customWidth="1"/>
    <col min="10230" max="10230" width="5.6640625" style="391" customWidth="1"/>
    <col min="10231" max="10231" width="22" style="391" customWidth="1"/>
    <col min="10232" max="10233" width="10.5" style="391" customWidth="1"/>
    <col min="10234" max="10234" width="8.33203125" style="391" customWidth="1"/>
    <col min="10235" max="10235" width="10.5" style="391" customWidth="1"/>
    <col min="10236" max="10236" width="9" style="391" customWidth="1"/>
    <col min="10237" max="10240" width="8.33203125" style="391" customWidth="1"/>
    <col min="10241" max="10241" width="9" style="391" customWidth="1"/>
    <col min="10242" max="10242" width="8.33203125" style="391" customWidth="1"/>
    <col min="10243" max="10243" width="5.5" style="391" customWidth="1"/>
    <col min="10244" max="10244" width="2.83203125" style="391" customWidth="1"/>
    <col min="10245" max="10245" width="2" style="391" customWidth="1"/>
    <col min="10246" max="10246" width="6.5" style="391" customWidth="1"/>
    <col min="10247" max="10247" width="8.5" style="391" customWidth="1"/>
    <col min="10248" max="10483" width="9.33203125" style="391"/>
    <col min="10484" max="10484" width="3" style="391" customWidth="1"/>
    <col min="10485" max="10485" width="5.33203125" style="391" customWidth="1"/>
    <col min="10486" max="10486" width="5.6640625" style="391" customWidth="1"/>
    <col min="10487" max="10487" width="22" style="391" customWidth="1"/>
    <col min="10488" max="10489" width="10.5" style="391" customWidth="1"/>
    <col min="10490" max="10490" width="8.33203125" style="391" customWidth="1"/>
    <col min="10491" max="10491" width="10.5" style="391" customWidth="1"/>
    <col min="10492" max="10492" width="9" style="391" customWidth="1"/>
    <col min="10493" max="10496" width="8.33203125" style="391" customWidth="1"/>
    <col min="10497" max="10497" width="9" style="391" customWidth="1"/>
    <col min="10498" max="10498" width="8.33203125" style="391" customWidth="1"/>
    <col min="10499" max="10499" width="5.5" style="391" customWidth="1"/>
    <col min="10500" max="10500" width="2.83203125" style="391" customWidth="1"/>
    <col min="10501" max="10501" width="2" style="391" customWidth="1"/>
    <col min="10502" max="10502" width="6.5" style="391" customWidth="1"/>
    <col min="10503" max="10503" width="8.5" style="391" customWidth="1"/>
    <col min="10504" max="10739" width="9.33203125" style="391"/>
    <col min="10740" max="10740" width="3" style="391" customWidth="1"/>
    <col min="10741" max="10741" width="5.33203125" style="391" customWidth="1"/>
    <col min="10742" max="10742" width="5.6640625" style="391" customWidth="1"/>
    <col min="10743" max="10743" width="22" style="391" customWidth="1"/>
    <col min="10744" max="10745" width="10.5" style="391" customWidth="1"/>
    <col min="10746" max="10746" width="8.33203125" style="391" customWidth="1"/>
    <col min="10747" max="10747" width="10.5" style="391" customWidth="1"/>
    <col min="10748" max="10748" width="9" style="391" customWidth="1"/>
    <col min="10749" max="10752" width="8.33203125" style="391" customWidth="1"/>
    <col min="10753" max="10753" width="9" style="391" customWidth="1"/>
    <col min="10754" max="10754" width="8.33203125" style="391" customWidth="1"/>
    <col min="10755" max="10755" width="5.5" style="391" customWidth="1"/>
    <col min="10756" max="10756" width="2.83203125" style="391" customWidth="1"/>
    <col min="10757" max="10757" width="2" style="391" customWidth="1"/>
    <col min="10758" max="10758" width="6.5" style="391" customWidth="1"/>
    <col min="10759" max="10759" width="8.5" style="391" customWidth="1"/>
    <col min="10760" max="10995" width="9.33203125" style="391"/>
    <col min="10996" max="10996" width="3" style="391" customWidth="1"/>
    <col min="10997" max="10997" width="5.33203125" style="391" customWidth="1"/>
    <col min="10998" max="10998" width="5.6640625" style="391" customWidth="1"/>
    <col min="10999" max="10999" width="22" style="391" customWidth="1"/>
    <col min="11000" max="11001" width="10.5" style="391" customWidth="1"/>
    <col min="11002" max="11002" width="8.33203125" style="391" customWidth="1"/>
    <col min="11003" max="11003" width="10.5" style="391" customWidth="1"/>
    <col min="11004" max="11004" width="9" style="391" customWidth="1"/>
    <col min="11005" max="11008" width="8.33203125" style="391" customWidth="1"/>
    <col min="11009" max="11009" width="9" style="391" customWidth="1"/>
    <col min="11010" max="11010" width="8.33203125" style="391" customWidth="1"/>
    <col min="11011" max="11011" width="5.5" style="391" customWidth="1"/>
    <col min="11012" max="11012" width="2.83203125" style="391" customWidth="1"/>
    <col min="11013" max="11013" width="2" style="391" customWidth="1"/>
    <col min="11014" max="11014" width="6.5" style="391" customWidth="1"/>
    <col min="11015" max="11015" width="8.5" style="391" customWidth="1"/>
    <col min="11016" max="11251" width="9.33203125" style="391"/>
    <col min="11252" max="11252" width="3" style="391" customWidth="1"/>
    <col min="11253" max="11253" width="5.33203125" style="391" customWidth="1"/>
    <col min="11254" max="11254" width="5.6640625" style="391" customWidth="1"/>
    <col min="11255" max="11255" width="22" style="391" customWidth="1"/>
    <col min="11256" max="11257" width="10.5" style="391" customWidth="1"/>
    <col min="11258" max="11258" width="8.33203125" style="391" customWidth="1"/>
    <col min="11259" max="11259" width="10.5" style="391" customWidth="1"/>
    <col min="11260" max="11260" width="9" style="391" customWidth="1"/>
    <col min="11261" max="11264" width="8.33203125" style="391" customWidth="1"/>
    <col min="11265" max="11265" width="9" style="391" customWidth="1"/>
    <col min="11266" max="11266" width="8.33203125" style="391" customWidth="1"/>
    <col min="11267" max="11267" width="5.5" style="391" customWidth="1"/>
    <col min="11268" max="11268" width="2.83203125" style="391" customWidth="1"/>
    <col min="11269" max="11269" width="2" style="391" customWidth="1"/>
    <col min="11270" max="11270" width="6.5" style="391" customWidth="1"/>
    <col min="11271" max="11271" width="8.5" style="391" customWidth="1"/>
    <col min="11272" max="11507" width="9.33203125" style="391"/>
    <col min="11508" max="11508" width="3" style="391" customWidth="1"/>
    <col min="11509" max="11509" width="5.33203125" style="391" customWidth="1"/>
    <col min="11510" max="11510" width="5.6640625" style="391" customWidth="1"/>
    <col min="11511" max="11511" width="22" style="391" customWidth="1"/>
    <col min="11512" max="11513" width="10.5" style="391" customWidth="1"/>
    <col min="11514" max="11514" width="8.33203125" style="391" customWidth="1"/>
    <col min="11515" max="11515" width="10.5" style="391" customWidth="1"/>
    <col min="11516" max="11516" width="9" style="391" customWidth="1"/>
    <col min="11517" max="11520" width="8.33203125" style="391" customWidth="1"/>
    <col min="11521" max="11521" width="9" style="391" customWidth="1"/>
    <col min="11522" max="11522" width="8.33203125" style="391" customWidth="1"/>
    <col min="11523" max="11523" width="5.5" style="391" customWidth="1"/>
    <col min="11524" max="11524" width="2.83203125" style="391" customWidth="1"/>
    <col min="11525" max="11525" width="2" style="391" customWidth="1"/>
    <col min="11526" max="11526" width="6.5" style="391" customWidth="1"/>
    <col min="11527" max="11527" width="8.5" style="391" customWidth="1"/>
    <col min="11528" max="11763" width="9.33203125" style="391"/>
    <col min="11764" max="11764" width="3" style="391" customWidth="1"/>
    <col min="11765" max="11765" width="5.33203125" style="391" customWidth="1"/>
    <col min="11766" max="11766" width="5.6640625" style="391" customWidth="1"/>
    <col min="11767" max="11767" width="22" style="391" customWidth="1"/>
    <col min="11768" max="11769" width="10.5" style="391" customWidth="1"/>
    <col min="11770" max="11770" width="8.33203125" style="391" customWidth="1"/>
    <col min="11771" max="11771" width="10.5" style="391" customWidth="1"/>
    <col min="11772" max="11772" width="9" style="391" customWidth="1"/>
    <col min="11773" max="11776" width="8.33203125" style="391" customWidth="1"/>
    <col min="11777" max="11777" width="9" style="391" customWidth="1"/>
    <col min="11778" max="11778" width="8.33203125" style="391" customWidth="1"/>
    <col min="11779" max="11779" width="5.5" style="391" customWidth="1"/>
    <col min="11780" max="11780" width="2.83203125" style="391" customWidth="1"/>
    <col min="11781" max="11781" width="2" style="391" customWidth="1"/>
    <col min="11782" max="11782" width="6.5" style="391" customWidth="1"/>
    <col min="11783" max="11783" width="8.5" style="391" customWidth="1"/>
    <col min="11784" max="12019" width="9.33203125" style="391"/>
    <col min="12020" max="12020" width="3" style="391" customWidth="1"/>
    <col min="12021" max="12021" width="5.33203125" style="391" customWidth="1"/>
    <col min="12022" max="12022" width="5.6640625" style="391" customWidth="1"/>
    <col min="12023" max="12023" width="22" style="391" customWidth="1"/>
    <col min="12024" max="12025" width="10.5" style="391" customWidth="1"/>
    <col min="12026" max="12026" width="8.33203125" style="391" customWidth="1"/>
    <col min="12027" max="12027" width="10.5" style="391" customWidth="1"/>
    <col min="12028" max="12028" width="9" style="391" customWidth="1"/>
    <col min="12029" max="12032" width="8.33203125" style="391" customWidth="1"/>
    <col min="12033" max="12033" width="9" style="391" customWidth="1"/>
    <col min="12034" max="12034" width="8.33203125" style="391" customWidth="1"/>
    <col min="12035" max="12035" width="5.5" style="391" customWidth="1"/>
    <col min="12036" max="12036" width="2.83203125" style="391" customWidth="1"/>
    <col min="12037" max="12037" width="2" style="391" customWidth="1"/>
    <col min="12038" max="12038" width="6.5" style="391" customWidth="1"/>
    <col min="12039" max="12039" width="8.5" style="391" customWidth="1"/>
    <col min="12040" max="12275" width="9.33203125" style="391"/>
    <col min="12276" max="12276" width="3" style="391" customWidth="1"/>
    <col min="12277" max="12277" width="5.33203125" style="391" customWidth="1"/>
    <col min="12278" max="12278" width="5.6640625" style="391" customWidth="1"/>
    <col min="12279" max="12279" width="22" style="391" customWidth="1"/>
    <col min="12280" max="12281" width="10.5" style="391" customWidth="1"/>
    <col min="12282" max="12282" width="8.33203125" style="391" customWidth="1"/>
    <col min="12283" max="12283" width="10.5" style="391" customWidth="1"/>
    <col min="12284" max="12284" width="9" style="391" customWidth="1"/>
    <col min="12285" max="12288" width="8.33203125" style="391" customWidth="1"/>
    <col min="12289" max="12289" width="9" style="391" customWidth="1"/>
    <col min="12290" max="12290" width="8.33203125" style="391" customWidth="1"/>
    <col min="12291" max="12291" width="5.5" style="391" customWidth="1"/>
    <col min="12292" max="12292" width="2.83203125" style="391" customWidth="1"/>
    <col min="12293" max="12293" width="2" style="391" customWidth="1"/>
    <col min="12294" max="12294" width="6.5" style="391" customWidth="1"/>
    <col min="12295" max="12295" width="8.5" style="391" customWidth="1"/>
    <col min="12296" max="12531" width="9.33203125" style="391"/>
    <col min="12532" max="12532" width="3" style="391" customWidth="1"/>
    <col min="12533" max="12533" width="5.33203125" style="391" customWidth="1"/>
    <col min="12534" max="12534" width="5.6640625" style="391" customWidth="1"/>
    <col min="12535" max="12535" width="22" style="391" customWidth="1"/>
    <col min="12536" max="12537" width="10.5" style="391" customWidth="1"/>
    <col min="12538" max="12538" width="8.33203125" style="391" customWidth="1"/>
    <col min="12539" max="12539" width="10.5" style="391" customWidth="1"/>
    <col min="12540" max="12540" width="9" style="391" customWidth="1"/>
    <col min="12541" max="12544" width="8.33203125" style="391" customWidth="1"/>
    <col min="12545" max="12545" width="9" style="391" customWidth="1"/>
    <col min="12546" max="12546" width="8.33203125" style="391" customWidth="1"/>
    <col min="12547" max="12547" width="5.5" style="391" customWidth="1"/>
    <col min="12548" max="12548" width="2.83203125" style="391" customWidth="1"/>
    <col min="12549" max="12549" width="2" style="391" customWidth="1"/>
    <col min="12550" max="12550" width="6.5" style="391" customWidth="1"/>
    <col min="12551" max="12551" width="8.5" style="391" customWidth="1"/>
    <col min="12552" max="12787" width="9.33203125" style="391"/>
    <col min="12788" max="12788" width="3" style="391" customWidth="1"/>
    <col min="12789" max="12789" width="5.33203125" style="391" customWidth="1"/>
    <col min="12790" max="12790" width="5.6640625" style="391" customWidth="1"/>
    <col min="12791" max="12791" width="22" style="391" customWidth="1"/>
    <col min="12792" max="12793" width="10.5" style="391" customWidth="1"/>
    <col min="12794" max="12794" width="8.33203125" style="391" customWidth="1"/>
    <col min="12795" max="12795" width="10.5" style="391" customWidth="1"/>
    <col min="12796" max="12796" width="9" style="391" customWidth="1"/>
    <col min="12797" max="12800" width="8.33203125" style="391" customWidth="1"/>
    <col min="12801" max="12801" width="9" style="391" customWidth="1"/>
    <col min="12802" max="12802" width="8.33203125" style="391" customWidth="1"/>
    <col min="12803" max="12803" width="5.5" style="391" customWidth="1"/>
    <col min="12804" max="12804" width="2.83203125" style="391" customWidth="1"/>
    <col min="12805" max="12805" width="2" style="391" customWidth="1"/>
    <col min="12806" max="12806" width="6.5" style="391" customWidth="1"/>
    <col min="12807" max="12807" width="8.5" style="391" customWidth="1"/>
    <col min="12808" max="13043" width="9.33203125" style="391"/>
    <col min="13044" max="13044" width="3" style="391" customWidth="1"/>
    <col min="13045" max="13045" width="5.33203125" style="391" customWidth="1"/>
    <col min="13046" max="13046" width="5.6640625" style="391" customWidth="1"/>
    <col min="13047" max="13047" width="22" style="391" customWidth="1"/>
    <col min="13048" max="13049" width="10.5" style="391" customWidth="1"/>
    <col min="13050" max="13050" width="8.33203125" style="391" customWidth="1"/>
    <col min="13051" max="13051" width="10.5" style="391" customWidth="1"/>
    <col min="13052" max="13052" width="9" style="391" customWidth="1"/>
    <col min="13053" max="13056" width="8.33203125" style="391" customWidth="1"/>
    <col min="13057" max="13057" width="9" style="391" customWidth="1"/>
    <col min="13058" max="13058" width="8.33203125" style="391" customWidth="1"/>
    <col min="13059" max="13059" width="5.5" style="391" customWidth="1"/>
    <col min="13060" max="13060" width="2.83203125" style="391" customWidth="1"/>
    <col min="13061" max="13061" width="2" style="391" customWidth="1"/>
    <col min="13062" max="13062" width="6.5" style="391" customWidth="1"/>
    <col min="13063" max="13063" width="8.5" style="391" customWidth="1"/>
    <col min="13064" max="13299" width="9.33203125" style="391"/>
    <col min="13300" max="13300" width="3" style="391" customWidth="1"/>
    <col min="13301" max="13301" width="5.33203125" style="391" customWidth="1"/>
    <col min="13302" max="13302" width="5.6640625" style="391" customWidth="1"/>
    <col min="13303" max="13303" width="22" style="391" customWidth="1"/>
    <col min="13304" max="13305" width="10.5" style="391" customWidth="1"/>
    <col min="13306" max="13306" width="8.33203125" style="391" customWidth="1"/>
    <col min="13307" max="13307" width="10.5" style="391" customWidth="1"/>
    <col min="13308" max="13308" width="9" style="391" customWidth="1"/>
    <col min="13309" max="13312" width="8.33203125" style="391" customWidth="1"/>
    <col min="13313" max="13313" width="9" style="391" customWidth="1"/>
    <col min="13314" max="13314" width="8.33203125" style="391" customWidth="1"/>
    <col min="13315" max="13315" width="5.5" style="391" customWidth="1"/>
    <col min="13316" max="13316" width="2.83203125" style="391" customWidth="1"/>
    <col min="13317" max="13317" width="2" style="391" customWidth="1"/>
    <col min="13318" max="13318" width="6.5" style="391" customWidth="1"/>
    <col min="13319" max="13319" width="8.5" style="391" customWidth="1"/>
    <col min="13320" max="13555" width="9.33203125" style="391"/>
    <col min="13556" max="13556" width="3" style="391" customWidth="1"/>
    <col min="13557" max="13557" width="5.33203125" style="391" customWidth="1"/>
    <col min="13558" max="13558" width="5.6640625" style="391" customWidth="1"/>
    <col min="13559" max="13559" width="22" style="391" customWidth="1"/>
    <col min="13560" max="13561" width="10.5" style="391" customWidth="1"/>
    <col min="13562" max="13562" width="8.33203125" style="391" customWidth="1"/>
    <col min="13563" max="13563" width="10.5" style="391" customWidth="1"/>
    <col min="13564" max="13564" width="9" style="391" customWidth="1"/>
    <col min="13565" max="13568" width="8.33203125" style="391" customWidth="1"/>
    <col min="13569" max="13569" width="9" style="391" customWidth="1"/>
    <col min="13570" max="13570" width="8.33203125" style="391" customWidth="1"/>
    <col min="13571" max="13571" width="5.5" style="391" customWidth="1"/>
    <col min="13572" max="13572" width="2.83203125" style="391" customWidth="1"/>
    <col min="13573" max="13573" width="2" style="391" customWidth="1"/>
    <col min="13574" max="13574" width="6.5" style="391" customWidth="1"/>
    <col min="13575" max="13575" width="8.5" style="391" customWidth="1"/>
    <col min="13576" max="13811" width="9.33203125" style="391"/>
    <col min="13812" max="13812" width="3" style="391" customWidth="1"/>
    <col min="13813" max="13813" width="5.33203125" style="391" customWidth="1"/>
    <col min="13814" max="13814" width="5.6640625" style="391" customWidth="1"/>
    <col min="13815" max="13815" width="22" style="391" customWidth="1"/>
    <col min="13816" max="13817" width="10.5" style="391" customWidth="1"/>
    <col min="13818" max="13818" width="8.33203125" style="391" customWidth="1"/>
    <col min="13819" max="13819" width="10.5" style="391" customWidth="1"/>
    <col min="13820" max="13820" width="9" style="391" customWidth="1"/>
    <col min="13821" max="13824" width="8.33203125" style="391" customWidth="1"/>
    <col min="13825" max="13825" width="9" style="391" customWidth="1"/>
    <col min="13826" max="13826" width="8.33203125" style="391" customWidth="1"/>
    <col min="13827" max="13827" width="5.5" style="391" customWidth="1"/>
    <col min="13828" max="13828" width="2.83203125" style="391" customWidth="1"/>
    <col min="13829" max="13829" width="2" style="391" customWidth="1"/>
    <col min="13830" max="13830" width="6.5" style="391" customWidth="1"/>
    <col min="13831" max="13831" width="8.5" style="391" customWidth="1"/>
    <col min="13832" max="14067" width="9.33203125" style="391"/>
    <col min="14068" max="14068" width="3" style="391" customWidth="1"/>
    <col min="14069" max="14069" width="5.33203125" style="391" customWidth="1"/>
    <col min="14070" max="14070" width="5.6640625" style="391" customWidth="1"/>
    <col min="14071" max="14071" width="22" style="391" customWidth="1"/>
    <col min="14072" max="14073" width="10.5" style="391" customWidth="1"/>
    <col min="14074" max="14074" width="8.33203125" style="391" customWidth="1"/>
    <col min="14075" max="14075" width="10.5" style="391" customWidth="1"/>
    <col min="14076" max="14076" width="9" style="391" customWidth="1"/>
    <col min="14077" max="14080" width="8.33203125" style="391" customWidth="1"/>
    <col min="14081" max="14081" width="9" style="391" customWidth="1"/>
    <col min="14082" max="14082" width="8.33203125" style="391" customWidth="1"/>
    <col min="14083" max="14083" width="5.5" style="391" customWidth="1"/>
    <col min="14084" max="14084" width="2.83203125" style="391" customWidth="1"/>
    <col min="14085" max="14085" width="2" style="391" customWidth="1"/>
    <col min="14086" max="14086" width="6.5" style="391" customWidth="1"/>
    <col min="14087" max="14087" width="8.5" style="391" customWidth="1"/>
    <col min="14088" max="14323" width="9.33203125" style="391"/>
    <col min="14324" max="14324" width="3" style="391" customWidth="1"/>
    <col min="14325" max="14325" width="5.33203125" style="391" customWidth="1"/>
    <col min="14326" max="14326" width="5.6640625" style="391" customWidth="1"/>
    <col min="14327" max="14327" width="22" style="391" customWidth="1"/>
    <col min="14328" max="14329" width="10.5" style="391" customWidth="1"/>
    <col min="14330" max="14330" width="8.33203125" style="391" customWidth="1"/>
    <col min="14331" max="14331" width="10.5" style="391" customWidth="1"/>
    <col min="14332" max="14332" width="9" style="391" customWidth="1"/>
    <col min="14333" max="14336" width="8.33203125" style="391" customWidth="1"/>
    <col min="14337" max="14337" width="9" style="391" customWidth="1"/>
    <col min="14338" max="14338" width="8.33203125" style="391" customWidth="1"/>
    <col min="14339" max="14339" width="5.5" style="391" customWidth="1"/>
    <col min="14340" max="14340" width="2.83203125" style="391" customWidth="1"/>
    <col min="14341" max="14341" width="2" style="391" customWidth="1"/>
    <col min="14342" max="14342" width="6.5" style="391" customWidth="1"/>
    <col min="14343" max="14343" width="8.5" style="391" customWidth="1"/>
    <col min="14344" max="14579" width="9.33203125" style="391"/>
    <col min="14580" max="14580" width="3" style="391" customWidth="1"/>
    <col min="14581" max="14581" width="5.33203125" style="391" customWidth="1"/>
    <col min="14582" max="14582" width="5.6640625" style="391" customWidth="1"/>
    <col min="14583" max="14583" width="22" style="391" customWidth="1"/>
    <col min="14584" max="14585" width="10.5" style="391" customWidth="1"/>
    <col min="14586" max="14586" width="8.33203125" style="391" customWidth="1"/>
    <col min="14587" max="14587" width="10.5" style="391" customWidth="1"/>
    <col min="14588" max="14588" width="9" style="391" customWidth="1"/>
    <col min="14589" max="14592" width="8.33203125" style="391" customWidth="1"/>
    <col min="14593" max="14593" width="9" style="391" customWidth="1"/>
    <col min="14594" max="14594" width="8.33203125" style="391" customWidth="1"/>
    <col min="14595" max="14595" width="5.5" style="391" customWidth="1"/>
    <col min="14596" max="14596" width="2.83203125" style="391" customWidth="1"/>
    <col min="14597" max="14597" width="2" style="391" customWidth="1"/>
    <col min="14598" max="14598" width="6.5" style="391" customWidth="1"/>
    <col min="14599" max="14599" width="8.5" style="391" customWidth="1"/>
    <col min="14600" max="14835" width="9.33203125" style="391"/>
    <col min="14836" max="14836" width="3" style="391" customWidth="1"/>
    <col min="14837" max="14837" width="5.33203125" style="391" customWidth="1"/>
    <col min="14838" max="14838" width="5.6640625" style="391" customWidth="1"/>
    <col min="14839" max="14839" width="22" style="391" customWidth="1"/>
    <col min="14840" max="14841" width="10.5" style="391" customWidth="1"/>
    <col min="14842" max="14842" width="8.33203125" style="391" customWidth="1"/>
    <col min="14843" max="14843" width="10.5" style="391" customWidth="1"/>
    <col min="14844" max="14844" width="9" style="391" customWidth="1"/>
    <col min="14845" max="14848" width="8.33203125" style="391" customWidth="1"/>
    <col min="14849" max="14849" width="9" style="391" customWidth="1"/>
    <col min="14850" max="14850" width="8.33203125" style="391" customWidth="1"/>
    <col min="14851" max="14851" width="5.5" style="391" customWidth="1"/>
    <col min="14852" max="14852" width="2.83203125" style="391" customWidth="1"/>
    <col min="14853" max="14853" width="2" style="391" customWidth="1"/>
    <col min="14854" max="14854" width="6.5" style="391" customWidth="1"/>
    <col min="14855" max="14855" width="8.5" style="391" customWidth="1"/>
    <col min="14856" max="15091" width="9.33203125" style="391"/>
    <col min="15092" max="15092" width="3" style="391" customWidth="1"/>
    <col min="15093" max="15093" width="5.33203125" style="391" customWidth="1"/>
    <col min="15094" max="15094" width="5.6640625" style="391" customWidth="1"/>
    <col min="15095" max="15095" width="22" style="391" customWidth="1"/>
    <col min="15096" max="15097" width="10.5" style="391" customWidth="1"/>
    <col min="15098" max="15098" width="8.33203125" style="391" customWidth="1"/>
    <col min="15099" max="15099" width="10.5" style="391" customWidth="1"/>
    <col min="15100" max="15100" width="9" style="391" customWidth="1"/>
    <col min="15101" max="15104" width="8.33203125" style="391" customWidth="1"/>
    <col min="15105" max="15105" width="9" style="391" customWidth="1"/>
    <col min="15106" max="15106" width="8.33203125" style="391" customWidth="1"/>
    <col min="15107" max="15107" width="5.5" style="391" customWidth="1"/>
    <col min="15108" max="15108" width="2.83203125" style="391" customWidth="1"/>
    <col min="15109" max="15109" width="2" style="391" customWidth="1"/>
    <col min="15110" max="15110" width="6.5" style="391" customWidth="1"/>
    <col min="15111" max="15111" width="8.5" style="391" customWidth="1"/>
    <col min="15112" max="15347" width="9.33203125" style="391"/>
    <col min="15348" max="15348" width="3" style="391" customWidth="1"/>
    <col min="15349" max="15349" width="5.33203125" style="391" customWidth="1"/>
    <col min="15350" max="15350" width="5.6640625" style="391" customWidth="1"/>
    <col min="15351" max="15351" width="22" style="391" customWidth="1"/>
    <col min="15352" max="15353" width="10.5" style="391" customWidth="1"/>
    <col min="15354" max="15354" width="8.33203125" style="391" customWidth="1"/>
    <col min="15355" max="15355" width="10.5" style="391" customWidth="1"/>
    <col min="15356" max="15356" width="9" style="391" customWidth="1"/>
    <col min="15357" max="15360" width="8.33203125" style="391" customWidth="1"/>
    <col min="15361" max="15361" width="9" style="391" customWidth="1"/>
    <col min="15362" max="15362" width="8.33203125" style="391" customWidth="1"/>
    <col min="15363" max="15363" width="5.5" style="391" customWidth="1"/>
    <col min="15364" max="15364" width="2.83203125" style="391" customWidth="1"/>
    <col min="15365" max="15365" width="2" style="391" customWidth="1"/>
    <col min="15366" max="15366" width="6.5" style="391" customWidth="1"/>
    <col min="15367" max="15367" width="8.5" style="391" customWidth="1"/>
    <col min="15368" max="15603" width="9.33203125" style="391"/>
    <col min="15604" max="15604" width="3" style="391" customWidth="1"/>
    <col min="15605" max="15605" width="5.33203125" style="391" customWidth="1"/>
    <col min="15606" max="15606" width="5.6640625" style="391" customWidth="1"/>
    <col min="15607" max="15607" width="22" style="391" customWidth="1"/>
    <col min="15608" max="15609" width="10.5" style="391" customWidth="1"/>
    <col min="15610" max="15610" width="8.33203125" style="391" customWidth="1"/>
    <col min="15611" max="15611" width="10.5" style="391" customWidth="1"/>
    <col min="15612" max="15612" width="9" style="391" customWidth="1"/>
    <col min="15613" max="15616" width="8.33203125" style="391" customWidth="1"/>
    <col min="15617" max="15617" width="9" style="391" customWidth="1"/>
    <col min="15618" max="15618" width="8.33203125" style="391" customWidth="1"/>
    <col min="15619" max="15619" width="5.5" style="391" customWidth="1"/>
    <col min="15620" max="15620" width="2.83203125" style="391" customWidth="1"/>
    <col min="15621" max="15621" width="2" style="391" customWidth="1"/>
    <col min="15622" max="15622" width="6.5" style="391" customWidth="1"/>
    <col min="15623" max="15623" width="8.5" style="391" customWidth="1"/>
    <col min="15624" max="15859" width="9.33203125" style="391"/>
    <col min="15860" max="15860" width="3" style="391" customWidth="1"/>
    <col min="15861" max="15861" width="5.33203125" style="391" customWidth="1"/>
    <col min="15862" max="15862" width="5.6640625" style="391" customWidth="1"/>
    <col min="15863" max="15863" width="22" style="391" customWidth="1"/>
    <col min="15864" max="15865" width="10.5" style="391" customWidth="1"/>
    <col min="15866" max="15866" width="8.33203125" style="391" customWidth="1"/>
    <col min="15867" max="15867" width="10.5" style="391" customWidth="1"/>
    <col min="15868" max="15868" width="9" style="391" customWidth="1"/>
    <col min="15869" max="15872" width="8.33203125" style="391" customWidth="1"/>
    <col min="15873" max="15873" width="9" style="391" customWidth="1"/>
    <col min="15874" max="15874" width="8.33203125" style="391" customWidth="1"/>
    <col min="15875" max="15875" width="5.5" style="391" customWidth="1"/>
    <col min="15876" max="15876" width="2.83203125" style="391" customWidth="1"/>
    <col min="15877" max="15877" width="2" style="391" customWidth="1"/>
    <col min="15878" max="15878" width="6.5" style="391" customWidth="1"/>
    <col min="15879" max="15879" width="8.5" style="391" customWidth="1"/>
    <col min="15880" max="16115" width="9.33203125" style="391"/>
    <col min="16116" max="16116" width="3" style="391" customWidth="1"/>
    <col min="16117" max="16117" width="5.33203125" style="391" customWidth="1"/>
    <col min="16118" max="16118" width="5.6640625" style="391" customWidth="1"/>
    <col min="16119" max="16119" width="22" style="391" customWidth="1"/>
    <col min="16120" max="16121" width="10.5" style="391" customWidth="1"/>
    <col min="16122" max="16122" width="8.33203125" style="391" customWidth="1"/>
    <col min="16123" max="16123" width="10.5" style="391" customWidth="1"/>
    <col min="16124" max="16124" width="9" style="391" customWidth="1"/>
    <col min="16125" max="16128" width="8.33203125" style="391" customWidth="1"/>
    <col min="16129" max="16129" width="9" style="391" customWidth="1"/>
    <col min="16130" max="16130" width="8.33203125" style="391" customWidth="1"/>
    <col min="16131" max="16131" width="5.5" style="391" customWidth="1"/>
    <col min="16132" max="16132" width="2.83203125" style="391" customWidth="1"/>
    <col min="16133" max="16133" width="2" style="391" customWidth="1"/>
    <col min="16134" max="16134" width="6.5" style="391" customWidth="1"/>
    <col min="16135" max="16135" width="8.5" style="391" customWidth="1"/>
    <col min="16136" max="16384" width="9.33203125" style="391"/>
  </cols>
  <sheetData>
    <row r="1" spans="2:7">
      <c r="B1" s="392" t="s">
        <v>136</v>
      </c>
      <c r="C1" s="392"/>
      <c r="D1" s="392"/>
      <c r="E1" s="392"/>
      <c r="F1" s="392"/>
      <c r="G1" s="392"/>
    </row>
    <row r="2" spans="2:7" ht="36" customHeight="1">
      <c r="B2" s="542" t="s">
        <v>195</v>
      </c>
      <c r="C2" s="542"/>
      <c r="D2" s="542"/>
      <c r="E2" s="542"/>
      <c r="F2" s="542"/>
      <c r="G2" s="542"/>
    </row>
    <row r="3" spans="2:7">
      <c r="B3" s="392"/>
      <c r="C3" s="392"/>
      <c r="D3" s="392"/>
      <c r="E3" s="392"/>
      <c r="F3" s="392"/>
      <c r="G3" s="392"/>
    </row>
    <row r="4" spans="2:7" s="110" customFormat="1" ht="25.5" customHeight="1">
      <c r="B4" s="111" t="s">
        <v>0</v>
      </c>
      <c r="C4" s="111" t="s">
        <v>1</v>
      </c>
      <c r="D4" s="112" t="s">
        <v>200</v>
      </c>
      <c r="E4" s="111" t="s">
        <v>201</v>
      </c>
      <c r="F4" s="111" t="s">
        <v>202</v>
      </c>
      <c r="G4" s="111" t="s">
        <v>203</v>
      </c>
    </row>
    <row r="5" spans="2:7" ht="18" customHeight="1">
      <c r="B5" s="385" t="s">
        <v>2</v>
      </c>
      <c r="C5" s="385" t="s">
        <v>136</v>
      </c>
      <c r="D5" s="385" t="s">
        <v>136</v>
      </c>
      <c r="E5" s="386" t="s">
        <v>70</v>
      </c>
      <c r="F5" s="387">
        <v>12000</v>
      </c>
      <c r="G5" s="387">
        <v>12000</v>
      </c>
    </row>
    <row r="6" spans="2:7" ht="18" customHeight="1">
      <c r="B6" s="388" t="s">
        <v>136</v>
      </c>
      <c r="C6" s="388" t="s">
        <v>71</v>
      </c>
      <c r="D6" s="388" t="s">
        <v>136</v>
      </c>
      <c r="E6" s="389" t="s">
        <v>72</v>
      </c>
      <c r="F6" s="390">
        <v>12000</v>
      </c>
      <c r="G6" s="390">
        <v>12000</v>
      </c>
    </row>
    <row r="7" spans="2:7" ht="69.95" customHeight="1">
      <c r="B7" s="382" t="s">
        <v>136</v>
      </c>
      <c r="C7" s="382" t="s">
        <v>136</v>
      </c>
      <c r="D7" s="382" t="s">
        <v>137</v>
      </c>
      <c r="E7" s="383" t="s">
        <v>503</v>
      </c>
      <c r="F7" s="384">
        <v>12000</v>
      </c>
      <c r="G7" s="384">
        <v>0</v>
      </c>
    </row>
    <row r="8" spans="2:7" ht="18" customHeight="1">
      <c r="B8" s="382" t="s">
        <v>136</v>
      </c>
      <c r="C8" s="382" t="s">
        <v>136</v>
      </c>
      <c r="D8" s="382" t="s">
        <v>138</v>
      </c>
      <c r="E8" s="383" t="s">
        <v>73</v>
      </c>
      <c r="F8" s="384">
        <v>0</v>
      </c>
      <c r="G8" s="384">
        <v>12000</v>
      </c>
    </row>
    <row r="9" spans="2:7" ht="18" customHeight="1">
      <c r="B9" s="385" t="s">
        <v>139</v>
      </c>
      <c r="C9" s="385" t="s">
        <v>136</v>
      </c>
      <c r="D9" s="385" t="s">
        <v>136</v>
      </c>
      <c r="E9" s="386" t="s">
        <v>74</v>
      </c>
      <c r="F9" s="387">
        <v>379758</v>
      </c>
      <c r="G9" s="387">
        <v>379758</v>
      </c>
    </row>
    <row r="10" spans="2:7" ht="18" customHeight="1">
      <c r="B10" s="388" t="s">
        <v>136</v>
      </c>
      <c r="C10" s="388" t="s">
        <v>140</v>
      </c>
      <c r="D10" s="388" t="s">
        <v>136</v>
      </c>
      <c r="E10" s="389" t="s">
        <v>75</v>
      </c>
      <c r="F10" s="390">
        <v>379758</v>
      </c>
      <c r="G10" s="390">
        <v>379758</v>
      </c>
    </row>
    <row r="11" spans="2:7" ht="69.95" customHeight="1">
      <c r="B11" s="382" t="s">
        <v>136</v>
      </c>
      <c r="C11" s="382" t="s">
        <v>136</v>
      </c>
      <c r="D11" s="382" t="s">
        <v>137</v>
      </c>
      <c r="E11" s="383" t="s">
        <v>503</v>
      </c>
      <c r="F11" s="384">
        <v>379758</v>
      </c>
      <c r="G11" s="384">
        <v>0</v>
      </c>
    </row>
    <row r="12" spans="2:7" ht="35.1" customHeight="1">
      <c r="B12" s="382" t="s">
        <v>136</v>
      </c>
      <c r="C12" s="382" t="s">
        <v>136</v>
      </c>
      <c r="D12" s="382" t="s">
        <v>141</v>
      </c>
      <c r="E12" s="383" t="s">
        <v>76</v>
      </c>
      <c r="F12" s="384">
        <v>0</v>
      </c>
      <c r="G12" s="384">
        <v>52248</v>
      </c>
    </row>
    <row r="13" spans="2:7" ht="18" customHeight="1">
      <c r="B13" s="382" t="s">
        <v>136</v>
      </c>
      <c r="C13" s="382" t="s">
        <v>136</v>
      </c>
      <c r="D13" s="382" t="s">
        <v>142</v>
      </c>
      <c r="E13" s="383" t="s">
        <v>77</v>
      </c>
      <c r="F13" s="384">
        <v>0</v>
      </c>
      <c r="G13" s="384">
        <v>8982</v>
      </c>
    </row>
    <row r="14" spans="2:7" ht="35.1" customHeight="1">
      <c r="B14" s="382" t="s">
        <v>136</v>
      </c>
      <c r="C14" s="382" t="s">
        <v>136</v>
      </c>
      <c r="D14" s="382" t="s">
        <v>143</v>
      </c>
      <c r="E14" s="383" t="s">
        <v>78</v>
      </c>
      <c r="F14" s="384">
        <v>0</v>
      </c>
      <c r="G14" s="384">
        <v>1280</v>
      </c>
    </row>
    <row r="15" spans="2:7" ht="18" customHeight="1">
      <c r="B15" s="382" t="s">
        <v>136</v>
      </c>
      <c r="C15" s="382" t="s">
        <v>136</v>
      </c>
      <c r="D15" s="382" t="s">
        <v>144</v>
      </c>
      <c r="E15" s="383" t="s">
        <v>79</v>
      </c>
      <c r="F15" s="384">
        <v>0</v>
      </c>
      <c r="G15" s="384">
        <v>2000</v>
      </c>
    </row>
    <row r="16" spans="2:7" ht="18" customHeight="1">
      <c r="B16" s="382" t="s">
        <v>136</v>
      </c>
      <c r="C16" s="382" t="s">
        <v>136</v>
      </c>
      <c r="D16" s="382" t="s">
        <v>145</v>
      </c>
      <c r="E16" s="383" t="s">
        <v>80</v>
      </c>
      <c r="F16" s="384">
        <v>0</v>
      </c>
      <c r="G16" s="384">
        <v>435</v>
      </c>
    </row>
    <row r="17" spans="2:7" ht="18" customHeight="1">
      <c r="B17" s="382" t="s">
        <v>136</v>
      </c>
      <c r="C17" s="382" t="s">
        <v>136</v>
      </c>
      <c r="D17" s="382" t="s">
        <v>146</v>
      </c>
      <c r="E17" s="383" t="s">
        <v>81</v>
      </c>
      <c r="F17" s="384">
        <v>0</v>
      </c>
      <c r="G17" s="384">
        <v>0</v>
      </c>
    </row>
    <row r="18" spans="2:7" ht="18" customHeight="1">
      <c r="B18" s="382" t="s">
        <v>136</v>
      </c>
      <c r="C18" s="382" t="s">
        <v>136</v>
      </c>
      <c r="D18" s="382" t="s">
        <v>147</v>
      </c>
      <c r="E18" s="383" t="s">
        <v>82</v>
      </c>
      <c r="F18" s="384">
        <v>0</v>
      </c>
      <c r="G18" s="384">
        <v>24000</v>
      </c>
    </row>
    <row r="19" spans="2:7" ht="18" customHeight="1">
      <c r="B19" s="382" t="s">
        <v>136</v>
      </c>
      <c r="C19" s="382" t="s">
        <v>136</v>
      </c>
      <c r="D19" s="382" t="s">
        <v>138</v>
      </c>
      <c r="E19" s="383" t="s">
        <v>73</v>
      </c>
      <c r="F19" s="384">
        <v>0</v>
      </c>
      <c r="G19" s="384">
        <v>60000</v>
      </c>
    </row>
    <row r="20" spans="2:7" ht="35.1" customHeight="1">
      <c r="B20" s="382" t="s">
        <v>136</v>
      </c>
      <c r="C20" s="382" t="s">
        <v>136</v>
      </c>
      <c r="D20" s="382" t="s">
        <v>148</v>
      </c>
      <c r="E20" s="383" t="s">
        <v>83</v>
      </c>
      <c r="F20" s="384">
        <v>0</v>
      </c>
      <c r="G20" s="384">
        <v>58700</v>
      </c>
    </row>
    <row r="21" spans="2:7" ht="18" customHeight="1">
      <c r="B21" s="382" t="s">
        <v>136</v>
      </c>
      <c r="C21" s="382" t="s">
        <v>136</v>
      </c>
      <c r="D21" s="382" t="s">
        <v>149</v>
      </c>
      <c r="E21" s="383" t="s">
        <v>84</v>
      </c>
      <c r="F21" s="384">
        <v>0</v>
      </c>
      <c r="G21" s="384">
        <v>4100</v>
      </c>
    </row>
    <row r="22" spans="2:7" ht="18" customHeight="1">
      <c r="B22" s="382" t="s">
        <v>136</v>
      </c>
      <c r="C22" s="382" t="s">
        <v>136</v>
      </c>
      <c r="D22" s="382" t="s">
        <v>150</v>
      </c>
      <c r="E22" s="383" t="s">
        <v>85</v>
      </c>
      <c r="F22" s="384">
        <v>0</v>
      </c>
      <c r="G22" s="384">
        <v>49000</v>
      </c>
    </row>
    <row r="23" spans="2:7" ht="35.1" customHeight="1">
      <c r="B23" s="382" t="s">
        <v>136</v>
      </c>
      <c r="C23" s="382" t="s">
        <v>136</v>
      </c>
      <c r="D23" s="382" t="s">
        <v>151</v>
      </c>
      <c r="E23" s="383" t="s">
        <v>86</v>
      </c>
      <c r="F23" s="384">
        <v>0</v>
      </c>
      <c r="G23" s="384">
        <v>10000</v>
      </c>
    </row>
    <row r="24" spans="2:7" ht="18" customHeight="1">
      <c r="B24" s="382" t="s">
        <v>136</v>
      </c>
      <c r="C24" s="382" t="s">
        <v>136</v>
      </c>
      <c r="D24" s="382" t="s">
        <v>152</v>
      </c>
      <c r="E24" s="383" t="s">
        <v>87</v>
      </c>
      <c r="F24" s="384">
        <v>0</v>
      </c>
      <c r="G24" s="384">
        <v>12255</v>
      </c>
    </row>
    <row r="25" spans="2:7" ht="35.1" customHeight="1">
      <c r="B25" s="382" t="s">
        <v>136</v>
      </c>
      <c r="C25" s="382" t="s">
        <v>136</v>
      </c>
      <c r="D25" s="382" t="s">
        <v>153</v>
      </c>
      <c r="E25" s="383" t="s">
        <v>88</v>
      </c>
      <c r="F25" s="384">
        <v>0</v>
      </c>
      <c r="G25" s="384">
        <v>45758</v>
      </c>
    </row>
    <row r="26" spans="2:7" ht="35.1" customHeight="1">
      <c r="B26" s="382" t="s">
        <v>136</v>
      </c>
      <c r="C26" s="382" t="s">
        <v>136</v>
      </c>
      <c r="D26" s="382" t="s">
        <v>154</v>
      </c>
      <c r="E26" s="383" t="s">
        <v>89</v>
      </c>
      <c r="F26" s="384">
        <v>0</v>
      </c>
      <c r="G26" s="384">
        <v>51000</v>
      </c>
    </row>
    <row r="27" spans="2:7" ht="18" customHeight="1">
      <c r="B27" s="385" t="s">
        <v>155</v>
      </c>
      <c r="C27" s="385" t="s">
        <v>136</v>
      </c>
      <c r="D27" s="385" t="s">
        <v>136</v>
      </c>
      <c r="E27" s="386" t="s">
        <v>90</v>
      </c>
      <c r="F27" s="387">
        <v>1371628</v>
      </c>
      <c r="G27" s="387">
        <v>1371628</v>
      </c>
    </row>
    <row r="28" spans="2:7" ht="18" customHeight="1">
      <c r="B28" s="388" t="s">
        <v>136</v>
      </c>
      <c r="C28" s="388" t="s">
        <v>91</v>
      </c>
      <c r="D28" s="388" t="s">
        <v>136</v>
      </c>
      <c r="E28" s="389" t="s">
        <v>92</v>
      </c>
      <c r="F28" s="390">
        <v>365000</v>
      </c>
      <c r="G28" s="390">
        <v>365000</v>
      </c>
    </row>
    <row r="29" spans="2:7" ht="69.95" customHeight="1">
      <c r="B29" s="382" t="s">
        <v>136</v>
      </c>
      <c r="C29" s="382" t="s">
        <v>136</v>
      </c>
      <c r="D29" s="382" t="s">
        <v>137</v>
      </c>
      <c r="E29" s="383" t="s">
        <v>503</v>
      </c>
      <c r="F29" s="384">
        <v>365000</v>
      </c>
      <c r="G29" s="384">
        <v>0</v>
      </c>
    </row>
    <row r="30" spans="2:7" ht="35.1" customHeight="1">
      <c r="B30" s="382" t="s">
        <v>136</v>
      </c>
      <c r="C30" s="382" t="s">
        <v>136</v>
      </c>
      <c r="D30" s="382" t="s">
        <v>141</v>
      </c>
      <c r="E30" s="383" t="s">
        <v>76</v>
      </c>
      <c r="F30" s="384">
        <v>0</v>
      </c>
      <c r="G30" s="384">
        <v>229652</v>
      </c>
    </row>
    <row r="31" spans="2:7" ht="18" customHeight="1">
      <c r="B31" s="382" t="s">
        <v>136</v>
      </c>
      <c r="C31" s="382" t="s">
        <v>136</v>
      </c>
      <c r="D31" s="382" t="s">
        <v>142</v>
      </c>
      <c r="E31" s="383" t="s">
        <v>77</v>
      </c>
      <c r="F31" s="384">
        <v>0</v>
      </c>
      <c r="G31" s="384">
        <v>39478</v>
      </c>
    </row>
    <row r="32" spans="2:7" ht="35.1" customHeight="1">
      <c r="B32" s="382" t="s">
        <v>136</v>
      </c>
      <c r="C32" s="382" t="s">
        <v>136</v>
      </c>
      <c r="D32" s="382" t="s">
        <v>143</v>
      </c>
      <c r="E32" s="383" t="s">
        <v>78</v>
      </c>
      <c r="F32" s="384">
        <v>0</v>
      </c>
      <c r="G32" s="384">
        <v>1335</v>
      </c>
    </row>
    <row r="33" spans="2:7" ht="18" customHeight="1">
      <c r="B33" s="382" t="s">
        <v>136</v>
      </c>
      <c r="C33" s="382" t="s">
        <v>136</v>
      </c>
      <c r="D33" s="382" t="s">
        <v>138</v>
      </c>
      <c r="E33" s="383" t="s">
        <v>73</v>
      </c>
      <c r="F33" s="384">
        <v>0</v>
      </c>
      <c r="G33" s="384">
        <v>94535</v>
      </c>
    </row>
    <row r="34" spans="2:7" ht="18" customHeight="1">
      <c r="B34" s="388" t="s">
        <v>136</v>
      </c>
      <c r="C34" s="388" t="s">
        <v>156</v>
      </c>
      <c r="D34" s="388" t="s">
        <v>136</v>
      </c>
      <c r="E34" s="389" t="s">
        <v>93</v>
      </c>
      <c r="F34" s="390">
        <v>1006628</v>
      </c>
      <c r="G34" s="390">
        <v>1006628</v>
      </c>
    </row>
    <row r="35" spans="2:7" ht="69.95" customHeight="1">
      <c r="B35" s="382" t="s">
        <v>136</v>
      </c>
      <c r="C35" s="382" t="s">
        <v>136</v>
      </c>
      <c r="D35" s="382" t="s">
        <v>137</v>
      </c>
      <c r="E35" s="383" t="s">
        <v>503</v>
      </c>
      <c r="F35" s="384">
        <v>1006628</v>
      </c>
      <c r="G35" s="384">
        <v>0</v>
      </c>
    </row>
    <row r="36" spans="2:7" ht="35.1" customHeight="1">
      <c r="B36" s="382" t="s">
        <v>136</v>
      </c>
      <c r="C36" s="382" t="s">
        <v>136</v>
      </c>
      <c r="D36" s="382" t="s">
        <v>157</v>
      </c>
      <c r="E36" s="383" t="s">
        <v>94</v>
      </c>
      <c r="F36" s="384">
        <v>0</v>
      </c>
      <c r="G36" s="384">
        <v>220</v>
      </c>
    </row>
    <row r="37" spans="2:7" ht="35.1" customHeight="1">
      <c r="B37" s="382" t="s">
        <v>136</v>
      </c>
      <c r="C37" s="382" t="s">
        <v>136</v>
      </c>
      <c r="D37" s="382" t="s">
        <v>141</v>
      </c>
      <c r="E37" s="383" t="s">
        <v>76</v>
      </c>
      <c r="F37" s="384">
        <v>0</v>
      </c>
      <c r="G37" s="384">
        <v>175096</v>
      </c>
    </row>
    <row r="38" spans="2:7" ht="35.1" customHeight="1">
      <c r="B38" s="382" t="s">
        <v>136</v>
      </c>
      <c r="C38" s="382" t="s">
        <v>136</v>
      </c>
      <c r="D38" s="382" t="s">
        <v>158</v>
      </c>
      <c r="E38" s="383" t="s">
        <v>95</v>
      </c>
      <c r="F38" s="384">
        <v>0</v>
      </c>
      <c r="G38" s="384">
        <v>470622</v>
      </c>
    </row>
    <row r="39" spans="2:7" ht="18" customHeight="1">
      <c r="B39" s="382" t="s">
        <v>136</v>
      </c>
      <c r="C39" s="382" t="s">
        <v>136</v>
      </c>
      <c r="D39" s="382" t="s">
        <v>159</v>
      </c>
      <c r="E39" s="383" t="s">
        <v>96</v>
      </c>
      <c r="F39" s="384">
        <v>0</v>
      </c>
      <c r="G39" s="384">
        <v>47048</v>
      </c>
    </row>
    <row r="40" spans="2:7" ht="18" customHeight="1">
      <c r="B40" s="382" t="s">
        <v>136</v>
      </c>
      <c r="C40" s="382" t="s">
        <v>136</v>
      </c>
      <c r="D40" s="382" t="s">
        <v>142</v>
      </c>
      <c r="E40" s="383" t="s">
        <v>77</v>
      </c>
      <c r="F40" s="384">
        <v>0</v>
      </c>
      <c r="G40" s="384">
        <v>118580</v>
      </c>
    </row>
    <row r="41" spans="2:7" ht="35.1" customHeight="1">
      <c r="B41" s="382" t="s">
        <v>136</v>
      </c>
      <c r="C41" s="382" t="s">
        <v>136</v>
      </c>
      <c r="D41" s="382" t="s">
        <v>143</v>
      </c>
      <c r="E41" s="383" t="s">
        <v>78</v>
      </c>
      <c r="F41" s="384">
        <v>0</v>
      </c>
      <c r="G41" s="384">
        <v>9394</v>
      </c>
    </row>
    <row r="42" spans="2:7" ht="18" customHeight="1">
      <c r="B42" s="382" t="s">
        <v>136</v>
      </c>
      <c r="C42" s="382" t="s">
        <v>136</v>
      </c>
      <c r="D42" s="382" t="s">
        <v>144</v>
      </c>
      <c r="E42" s="383" t="s">
        <v>79</v>
      </c>
      <c r="F42" s="384">
        <v>0</v>
      </c>
      <c r="G42" s="384">
        <v>1173</v>
      </c>
    </row>
    <row r="43" spans="2:7" ht="18" customHeight="1">
      <c r="B43" s="382" t="s">
        <v>136</v>
      </c>
      <c r="C43" s="382" t="s">
        <v>136</v>
      </c>
      <c r="D43" s="382" t="s">
        <v>145</v>
      </c>
      <c r="E43" s="383" t="s">
        <v>80</v>
      </c>
      <c r="F43" s="384">
        <v>0</v>
      </c>
      <c r="G43" s="384">
        <v>34351</v>
      </c>
    </row>
    <row r="44" spans="2:7" ht="18" customHeight="1">
      <c r="B44" s="382" t="s">
        <v>136</v>
      </c>
      <c r="C44" s="382" t="s">
        <v>136</v>
      </c>
      <c r="D44" s="382" t="s">
        <v>146</v>
      </c>
      <c r="E44" s="383" t="s">
        <v>81</v>
      </c>
      <c r="F44" s="384">
        <v>0</v>
      </c>
      <c r="G44" s="384">
        <v>22590</v>
      </c>
    </row>
    <row r="45" spans="2:7" ht="18" customHeight="1">
      <c r="B45" s="382" t="s">
        <v>136</v>
      </c>
      <c r="C45" s="382" t="s">
        <v>136</v>
      </c>
      <c r="D45" s="382" t="s">
        <v>147</v>
      </c>
      <c r="E45" s="383" t="s">
        <v>82</v>
      </c>
      <c r="F45" s="384">
        <v>0</v>
      </c>
      <c r="G45" s="384">
        <v>1927</v>
      </c>
    </row>
    <row r="46" spans="2:7" ht="18" customHeight="1">
      <c r="B46" s="382" t="s">
        <v>136</v>
      </c>
      <c r="C46" s="382" t="s">
        <v>136</v>
      </c>
      <c r="D46" s="382" t="s">
        <v>160</v>
      </c>
      <c r="E46" s="383" t="s">
        <v>97</v>
      </c>
      <c r="F46" s="384">
        <v>0</v>
      </c>
      <c r="G46" s="384">
        <v>941</v>
      </c>
    </row>
    <row r="47" spans="2:7" ht="18" customHeight="1">
      <c r="B47" s="382" t="s">
        <v>136</v>
      </c>
      <c r="C47" s="382" t="s">
        <v>136</v>
      </c>
      <c r="D47" s="382" t="s">
        <v>138</v>
      </c>
      <c r="E47" s="383" t="s">
        <v>73</v>
      </c>
      <c r="F47" s="384">
        <v>0</v>
      </c>
      <c r="G47" s="384">
        <v>95010</v>
      </c>
    </row>
    <row r="48" spans="2:7" ht="35.1" customHeight="1">
      <c r="B48" s="382" t="s">
        <v>136</v>
      </c>
      <c r="C48" s="382" t="s">
        <v>136</v>
      </c>
      <c r="D48" s="382" t="s">
        <v>161</v>
      </c>
      <c r="E48" s="383" t="s">
        <v>162</v>
      </c>
      <c r="F48" s="384">
        <v>0</v>
      </c>
      <c r="G48" s="384">
        <v>4147</v>
      </c>
    </row>
    <row r="49" spans="2:7" ht="18" customHeight="1">
      <c r="B49" s="382" t="s">
        <v>136</v>
      </c>
      <c r="C49" s="382" t="s">
        <v>136</v>
      </c>
      <c r="D49" s="382" t="s">
        <v>163</v>
      </c>
      <c r="E49" s="383" t="s">
        <v>98</v>
      </c>
      <c r="F49" s="384">
        <v>0</v>
      </c>
      <c r="G49" s="384">
        <v>500</v>
      </c>
    </row>
    <row r="50" spans="2:7" ht="18" customHeight="1">
      <c r="B50" s="382" t="s">
        <v>136</v>
      </c>
      <c r="C50" s="382" t="s">
        <v>136</v>
      </c>
      <c r="D50" s="382" t="s">
        <v>149</v>
      </c>
      <c r="E50" s="383" t="s">
        <v>84</v>
      </c>
      <c r="F50" s="384">
        <v>0</v>
      </c>
      <c r="G50" s="384">
        <v>3179</v>
      </c>
    </row>
    <row r="51" spans="2:7" ht="35.1" customHeight="1">
      <c r="B51" s="382" t="s">
        <v>136</v>
      </c>
      <c r="C51" s="382" t="s">
        <v>136</v>
      </c>
      <c r="D51" s="382" t="s">
        <v>164</v>
      </c>
      <c r="E51" s="383" t="s">
        <v>99</v>
      </c>
      <c r="F51" s="384">
        <v>0</v>
      </c>
      <c r="G51" s="384">
        <v>17441</v>
      </c>
    </row>
    <row r="52" spans="2:7" ht="18" customHeight="1">
      <c r="B52" s="382" t="s">
        <v>136</v>
      </c>
      <c r="C52" s="382" t="s">
        <v>136</v>
      </c>
      <c r="D52" s="382" t="s">
        <v>150</v>
      </c>
      <c r="E52" s="383" t="s">
        <v>85</v>
      </c>
      <c r="F52" s="384">
        <v>0</v>
      </c>
      <c r="G52" s="384">
        <v>1592</v>
      </c>
    </row>
    <row r="53" spans="2:7" ht="35.1" customHeight="1">
      <c r="B53" s="382" t="s">
        <v>136</v>
      </c>
      <c r="C53" s="382" t="s">
        <v>136</v>
      </c>
      <c r="D53" s="382" t="s">
        <v>165</v>
      </c>
      <c r="E53" s="383" t="s">
        <v>100</v>
      </c>
      <c r="F53" s="384">
        <v>0</v>
      </c>
      <c r="G53" s="384">
        <v>0</v>
      </c>
    </row>
    <row r="54" spans="2:7" ht="35.1" customHeight="1">
      <c r="B54" s="382" t="s">
        <v>136</v>
      </c>
      <c r="C54" s="382" t="s">
        <v>136</v>
      </c>
      <c r="D54" s="382" t="s">
        <v>154</v>
      </c>
      <c r="E54" s="383" t="s">
        <v>89</v>
      </c>
      <c r="F54" s="384">
        <v>0</v>
      </c>
      <c r="G54" s="384">
        <v>1059</v>
      </c>
    </row>
    <row r="55" spans="2:7" ht="35.1" customHeight="1">
      <c r="B55" s="382" t="s">
        <v>136</v>
      </c>
      <c r="C55" s="382" t="s">
        <v>136</v>
      </c>
      <c r="D55" s="382" t="s">
        <v>166</v>
      </c>
      <c r="E55" s="383" t="s">
        <v>101</v>
      </c>
      <c r="F55" s="384">
        <v>0</v>
      </c>
      <c r="G55" s="384">
        <v>300</v>
      </c>
    </row>
    <row r="56" spans="2:7" ht="35.1" customHeight="1">
      <c r="B56" s="382" t="s">
        <v>136</v>
      </c>
      <c r="C56" s="382" t="s">
        <v>136</v>
      </c>
      <c r="D56" s="382" t="s">
        <v>188</v>
      </c>
      <c r="E56" s="383" t="s">
        <v>124</v>
      </c>
      <c r="F56" s="384">
        <v>0</v>
      </c>
      <c r="G56" s="384">
        <v>1458</v>
      </c>
    </row>
    <row r="57" spans="2:7" ht="18" customHeight="1">
      <c r="B57" s="385" t="s">
        <v>167</v>
      </c>
      <c r="C57" s="385" t="s">
        <v>136</v>
      </c>
      <c r="D57" s="385" t="s">
        <v>136</v>
      </c>
      <c r="E57" s="386" t="s">
        <v>102</v>
      </c>
      <c r="F57" s="387">
        <v>51091</v>
      </c>
      <c r="G57" s="387">
        <v>51091</v>
      </c>
    </row>
    <row r="58" spans="2:7" ht="18" customHeight="1">
      <c r="B58" s="388" t="s">
        <v>136</v>
      </c>
      <c r="C58" s="388" t="s">
        <v>168</v>
      </c>
      <c r="D58" s="388" t="s">
        <v>136</v>
      </c>
      <c r="E58" s="389" t="s">
        <v>103</v>
      </c>
      <c r="F58" s="390">
        <v>34791</v>
      </c>
      <c r="G58" s="390">
        <v>34791</v>
      </c>
    </row>
    <row r="59" spans="2:7" ht="69.95" customHeight="1">
      <c r="B59" s="382" t="s">
        <v>136</v>
      </c>
      <c r="C59" s="382" t="s">
        <v>136</v>
      </c>
      <c r="D59" s="382" t="s">
        <v>137</v>
      </c>
      <c r="E59" s="383" t="s">
        <v>503</v>
      </c>
      <c r="F59" s="384">
        <v>34791</v>
      </c>
      <c r="G59" s="384">
        <v>0</v>
      </c>
    </row>
    <row r="60" spans="2:7" ht="35.1" customHeight="1">
      <c r="B60" s="382" t="s">
        <v>136</v>
      </c>
      <c r="C60" s="382" t="s">
        <v>136</v>
      </c>
      <c r="D60" s="382" t="s">
        <v>141</v>
      </c>
      <c r="E60" s="383" t="s">
        <v>76</v>
      </c>
      <c r="F60" s="384">
        <v>0</v>
      </c>
      <c r="G60" s="384">
        <v>29080</v>
      </c>
    </row>
    <row r="61" spans="2:7" ht="18" customHeight="1">
      <c r="B61" s="382" t="s">
        <v>136</v>
      </c>
      <c r="C61" s="382" t="s">
        <v>136</v>
      </c>
      <c r="D61" s="382" t="s">
        <v>142</v>
      </c>
      <c r="E61" s="383" t="s">
        <v>77</v>
      </c>
      <c r="F61" s="384">
        <v>0</v>
      </c>
      <c r="G61" s="384">
        <v>4999</v>
      </c>
    </row>
    <row r="62" spans="2:7" ht="35.1" customHeight="1">
      <c r="B62" s="382" t="s">
        <v>136</v>
      </c>
      <c r="C62" s="382" t="s">
        <v>136</v>
      </c>
      <c r="D62" s="382" t="s">
        <v>143</v>
      </c>
      <c r="E62" s="383" t="s">
        <v>78</v>
      </c>
      <c r="F62" s="384">
        <v>0</v>
      </c>
      <c r="G62" s="384">
        <v>712</v>
      </c>
    </row>
    <row r="63" spans="2:7" ht="18" customHeight="1">
      <c r="B63" s="388" t="s">
        <v>136</v>
      </c>
      <c r="C63" s="388" t="s">
        <v>169</v>
      </c>
      <c r="D63" s="388" t="s">
        <v>136</v>
      </c>
      <c r="E63" s="389" t="s">
        <v>104</v>
      </c>
      <c r="F63" s="390">
        <v>16300</v>
      </c>
      <c r="G63" s="390">
        <v>16300</v>
      </c>
    </row>
    <row r="64" spans="2:7" ht="69.95" customHeight="1">
      <c r="B64" s="382" t="s">
        <v>136</v>
      </c>
      <c r="C64" s="382" t="s">
        <v>136</v>
      </c>
      <c r="D64" s="382" t="s">
        <v>137</v>
      </c>
      <c r="E64" s="383" t="s">
        <v>503</v>
      </c>
      <c r="F64" s="384">
        <v>16300</v>
      </c>
      <c r="G64" s="384">
        <v>0</v>
      </c>
    </row>
    <row r="65" spans="2:7" ht="18" customHeight="1">
      <c r="B65" s="382" t="s">
        <v>136</v>
      </c>
      <c r="C65" s="382" t="s">
        <v>136</v>
      </c>
      <c r="D65" s="382" t="s">
        <v>142</v>
      </c>
      <c r="E65" s="383" t="s">
        <v>77</v>
      </c>
      <c r="F65" s="384">
        <v>0</v>
      </c>
      <c r="G65" s="384">
        <v>1931</v>
      </c>
    </row>
    <row r="66" spans="2:7" ht="35.1" customHeight="1">
      <c r="B66" s="382" t="s">
        <v>136</v>
      </c>
      <c r="C66" s="382" t="s">
        <v>136</v>
      </c>
      <c r="D66" s="382" t="s">
        <v>143</v>
      </c>
      <c r="E66" s="383" t="s">
        <v>78</v>
      </c>
      <c r="F66" s="384">
        <v>0</v>
      </c>
      <c r="G66" s="384">
        <v>247</v>
      </c>
    </row>
    <row r="67" spans="2:7" ht="18" customHeight="1">
      <c r="B67" s="382" t="s">
        <v>136</v>
      </c>
      <c r="C67" s="382" t="s">
        <v>136</v>
      </c>
      <c r="D67" s="382" t="s">
        <v>144</v>
      </c>
      <c r="E67" s="383" t="s">
        <v>79</v>
      </c>
      <c r="F67" s="384">
        <v>0</v>
      </c>
      <c r="G67" s="384">
        <v>12522</v>
      </c>
    </row>
    <row r="68" spans="2:7" ht="18" customHeight="1">
      <c r="B68" s="382" t="s">
        <v>136</v>
      </c>
      <c r="C68" s="382" t="s">
        <v>136</v>
      </c>
      <c r="D68" s="382" t="s">
        <v>145</v>
      </c>
      <c r="E68" s="383" t="s">
        <v>80</v>
      </c>
      <c r="F68" s="384">
        <v>0</v>
      </c>
      <c r="G68" s="384">
        <v>1511</v>
      </c>
    </row>
    <row r="69" spans="2:7" ht="18" customHeight="1">
      <c r="B69" s="382" t="s">
        <v>136</v>
      </c>
      <c r="C69" s="382" t="s">
        <v>136</v>
      </c>
      <c r="D69" s="382" t="s">
        <v>138</v>
      </c>
      <c r="E69" s="383" t="s">
        <v>73</v>
      </c>
      <c r="F69" s="384">
        <v>0</v>
      </c>
      <c r="G69" s="384">
        <v>89</v>
      </c>
    </row>
    <row r="70" spans="2:7" ht="18" customHeight="1">
      <c r="B70" s="385" t="s">
        <v>170</v>
      </c>
      <c r="C70" s="385" t="s">
        <v>136</v>
      </c>
      <c r="D70" s="385" t="s">
        <v>136</v>
      </c>
      <c r="E70" s="386" t="s">
        <v>105</v>
      </c>
      <c r="F70" s="387">
        <v>9121626</v>
      </c>
      <c r="G70" s="387">
        <v>9121626</v>
      </c>
    </row>
    <row r="71" spans="2:7" ht="18" customHeight="1">
      <c r="B71" s="388" t="s">
        <v>136</v>
      </c>
      <c r="C71" s="388" t="s">
        <v>171</v>
      </c>
      <c r="D71" s="388" t="s">
        <v>136</v>
      </c>
      <c r="E71" s="389" t="s">
        <v>106</v>
      </c>
      <c r="F71" s="390">
        <v>9121626</v>
      </c>
      <c r="G71" s="390">
        <v>9121626</v>
      </c>
    </row>
    <row r="72" spans="2:7" ht="69.95" customHeight="1">
      <c r="B72" s="382" t="s">
        <v>136</v>
      </c>
      <c r="C72" s="382" t="s">
        <v>136</v>
      </c>
      <c r="D72" s="382" t="s">
        <v>137</v>
      </c>
      <c r="E72" s="383" t="s">
        <v>503</v>
      </c>
      <c r="F72" s="384">
        <v>9121626</v>
      </c>
      <c r="G72" s="384">
        <v>0</v>
      </c>
    </row>
    <row r="73" spans="2:7" ht="50.1" customHeight="1">
      <c r="B73" s="382" t="s">
        <v>136</v>
      </c>
      <c r="C73" s="382" t="s">
        <v>136</v>
      </c>
      <c r="D73" s="382" t="s">
        <v>172</v>
      </c>
      <c r="E73" s="383" t="s">
        <v>107</v>
      </c>
      <c r="F73" s="384">
        <v>0</v>
      </c>
      <c r="G73" s="384">
        <v>348322</v>
      </c>
    </row>
    <row r="74" spans="2:7" ht="35.1" customHeight="1">
      <c r="B74" s="382" t="s">
        <v>136</v>
      </c>
      <c r="C74" s="382" t="s">
        <v>136</v>
      </c>
      <c r="D74" s="382" t="s">
        <v>141</v>
      </c>
      <c r="E74" s="383" t="s">
        <v>76</v>
      </c>
      <c r="F74" s="384">
        <v>0</v>
      </c>
      <c r="G74" s="384">
        <v>50212</v>
      </c>
    </row>
    <row r="75" spans="2:7" ht="35.1" customHeight="1">
      <c r="B75" s="382" t="s">
        <v>136</v>
      </c>
      <c r="C75" s="382" t="s">
        <v>136</v>
      </c>
      <c r="D75" s="382" t="s">
        <v>158</v>
      </c>
      <c r="E75" s="383" t="s">
        <v>95</v>
      </c>
      <c r="F75" s="384">
        <v>0</v>
      </c>
      <c r="G75" s="384">
        <v>129740</v>
      </c>
    </row>
    <row r="76" spans="2:7" ht="18" customHeight="1">
      <c r="B76" s="382" t="s">
        <v>136</v>
      </c>
      <c r="C76" s="382" t="s">
        <v>136</v>
      </c>
      <c r="D76" s="382" t="s">
        <v>159</v>
      </c>
      <c r="E76" s="383" t="s">
        <v>96</v>
      </c>
      <c r="F76" s="384">
        <v>0</v>
      </c>
      <c r="G76" s="384">
        <v>12946</v>
      </c>
    </row>
    <row r="77" spans="2:7" ht="36" customHeight="1">
      <c r="B77" s="382" t="s">
        <v>136</v>
      </c>
      <c r="C77" s="382" t="s">
        <v>136</v>
      </c>
      <c r="D77" s="382" t="s">
        <v>173</v>
      </c>
      <c r="E77" s="383" t="s">
        <v>108</v>
      </c>
      <c r="F77" s="384">
        <v>0</v>
      </c>
      <c r="G77" s="384">
        <v>5716877</v>
      </c>
    </row>
    <row r="78" spans="2:7" ht="46.5" customHeight="1">
      <c r="B78" s="382" t="s">
        <v>136</v>
      </c>
      <c r="C78" s="382" t="s">
        <v>136</v>
      </c>
      <c r="D78" s="382" t="s">
        <v>174</v>
      </c>
      <c r="E78" s="383" t="s">
        <v>109</v>
      </c>
      <c r="F78" s="384">
        <v>0</v>
      </c>
      <c r="G78" s="384">
        <v>485095</v>
      </c>
    </row>
    <row r="79" spans="2:7" ht="45.75" customHeight="1">
      <c r="B79" s="382" t="s">
        <v>136</v>
      </c>
      <c r="C79" s="382" t="s">
        <v>136</v>
      </c>
      <c r="D79" s="382" t="s">
        <v>175</v>
      </c>
      <c r="E79" s="383" t="s">
        <v>110</v>
      </c>
      <c r="F79" s="384">
        <v>0</v>
      </c>
      <c r="G79" s="384">
        <v>475477</v>
      </c>
    </row>
    <row r="80" spans="2:7" ht="63.75" customHeight="1">
      <c r="B80" s="382" t="s">
        <v>136</v>
      </c>
      <c r="C80" s="382" t="s">
        <v>136</v>
      </c>
      <c r="D80" s="382" t="s">
        <v>176</v>
      </c>
      <c r="E80" s="383" t="s">
        <v>111</v>
      </c>
      <c r="F80" s="384">
        <v>0</v>
      </c>
      <c r="G80" s="384">
        <v>159154</v>
      </c>
    </row>
    <row r="81" spans="2:7" ht="18" customHeight="1">
      <c r="B81" s="382" t="s">
        <v>136</v>
      </c>
      <c r="C81" s="382" t="s">
        <v>136</v>
      </c>
      <c r="D81" s="382" t="s">
        <v>142</v>
      </c>
      <c r="E81" s="383" t="s">
        <v>77</v>
      </c>
      <c r="F81" s="384">
        <v>0</v>
      </c>
      <c r="G81" s="384">
        <v>40023</v>
      </c>
    </row>
    <row r="82" spans="2:7" ht="35.1" customHeight="1">
      <c r="B82" s="382" t="s">
        <v>136</v>
      </c>
      <c r="C82" s="382" t="s">
        <v>136</v>
      </c>
      <c r="D82" s="382" t="s">
        <v>143</v>
      </c>
      <c r="E82" s="383" t="s">
        <v>78</v>
      </c>
      <c r="F82" s="384">
        <v>0</v>
      </c>
      <c r="G82" s="384">
        <v>4134</v>
      </c>
    </row>
    <row r="83" spans="2:7" ht="18" customHeight="1">
      <c r="B83" s="382" t="s">
        <v>136</v>
      </c>
      <c r="C83" s="382" t="s">
        <v>136</v>
      </c>
      <c r="D83" s="382" t="s">
        <v>144</v>
      </c>
      <c r="E83" s="383" t="s">
        <v>79</v>
      </c>
      <c r="F83" s="384">
        <v>0</v>
      </c>
      <c r="G83" s="384">
        <v>14806</v>
      </c>
    </row>
    <row r="84" spans="2:7" ht="59.25" customHeight="1">
      <c r="B84" s="382" t="s">
        <v>136</v>
      </c>
      <c r="C84" s="382" t="s">
        <v>136</v>
      </c>
      <c r="D84" s="382" t="s">
        <v>177</v>
      </c>
      <c r="E84" s="383" t="s">
        <v>178</v>
      </c>
      <c r="F84" s="384">
        <v>0</v>
      </c>
      <c r="G84" s="384">
        <v>1006856</v>
      </c>
    </row>
    <row r="85" spans="2:7" ht="18" customHeight="1">
      <c r="B85" s="382" t="s">
        <v>136</v>
      </c>
      <c r="C85" s="382" t="s">
        <v>136</v>
      </c>
      <c r="D85" s="382" t="s">
        <v>145</v>
      </c>
      <c r="E85" s="383" t="s">
        <v>80</v>
      </c>
      <c r="F85" s="384">
        <v>0</v>
      </c>
      <c r="G85" s="384">
        <v>194953</v>
      </c>
    </row>
    <row r="86" spans="2:7" ht="18" customHeight="1">
      <c r="B86" s="382" t="s">
        <v>136</v>
      </c>
      <c r="C86" s="382" t="s">
        <v>136</v>
      </c>
      <c r="D86" s="382" t="s">
        <v>179</v>
      </c>
      <c r="E86" s="383" t="s">
        <v>112</v>
      </c>
      <c r="F86" s="384">
        <v>0</v>
      </c>
      <c r="G86" s="384">
        <v>10000</v>
      </c>
    </row>
    <row r="87" spans="2:7" ht="35.1" customHeight="1">
      <c r="B87" s="382" t="s">
        <v>136</v>
      </c>
      <c r="C87" s="382" t="s">
        <v>136</v>
      </c>
      <c r="D87" s="382" t="s">
        <v>180</v>
      </c>
      <c r="E87" s="383" t="s">
        <v>113</v>
      </c>
      <c r="F87" s="384">
        <v>0</v>
      </c>
      <c r="G87" s="384">
        <v>8000</v>
      </c>
    </row>
    <row r="88" spans="2:7" ht="18" customHeight="1">
      <c r="B88" s="382" t="s">
        <v>136</v>
      </c>
      <c r="C88" s="382" t="s">
        <v>136</v>
      </c>
      <c r="D88" s="382" t="s">
        <v>181</v>
      </c>
      <c r="E88" s="383" t="s">
        <v>114</v>
      </c>
      <c r="F88" s="384">
        <v>0</v>
      </c>
      <c r="G88" s="384">
        <v>4643</v>
      </c>
    </row>
    <row r="89" spans="2:7" ht="18" customHeight="1">
      <c r="B89" s="382" t="s">
        <v>136</v>
      </c>
      <c r="C89" s="382" t="s">
        <v>136</v>
      </c>
      <c r="D89" s="382" t="s">
        <v>146</v>
      </c>
      <c r="E89" s="383" t="s">
        <v>81</v>
      </c>
      <c r="F89" s="384">
        <v>0</v>
      </c>
      <c r="G89" s="384">
        <v>91743</v>
      </c>
    </row>
    <row r="90" spans="2:7" ht="18" customHeight="1">
      <c r="B90" s="382" t="s">
        <v>136</v>
      </c>
      <c r="C90" s="382" t="s">
        <v>136</v>
      </c>
      <c r="D90" s="382" t="s">
        <v>147</v>
      </c>
      <c r="E90" s="383" t="s">
        <v>82</v>
      </c>
      <c r="F90" s="384">
        <v>0</v>
      </c>
      <c r="G90" s="384">
        <v>206034</v>
      </c>
    </row>
    <row r="91" spans="2:7" ht="18" customHeight="1">
      <c r="B91" s="382" t="s">
        <v>136</v>
      </c>
      <c r="C91" s="382" t="s">
        <v>136</v>
      </c>
      <c r="D91" s="382" t="s">
        <v>160</v>
      </c>
      <c r="E91" s="383" t="s">
        <v>97</v>
      </c>
      <c r="F91" s="384">
        <v>0</v>
      </c>
      <c r="G91" s="384">
        <v>38000</v>
      </c>
    </row>
    <row r="92" spans="2:7" ht="18" customHeight="1">
      <c r="B92" s="382" t="s">
        <v>136</v>
      </c>
      <c r="C92" s="382" t="s">
        <v>136</v>
      </c>
      <c r="D92" s="382" t="s">
        <v>138</v>
      </c>
      <c r="E92" s="383" t="s">
        <v>73</v>
      </c>
      <c r="F92" s="384">
        <v>0</v>
      </c>
      <c r="G92" s="384">
        <v>75111</v>
      </c>
    </row>
    <row r="93" spans="2:7" ht="35.1" customHeight="1">
      <c r="B93" s="382" t="s">
        <v>136</v>
      </c>
      <c r="C93" s="382" t="s">
        <v>136</v>
      </c>
      <c r="D93" s="382" t="s">
        <v>161</v>
      </c>
      <c r="E93" s="383" t="s">
        <v>162</v>
      </c>
      <c r="F93" s="384">
        <v>0</v>
      </c>
      <c r="G93" s="384">
        <v>5580</v>
      </c>
    </row>
    <row r="94" spans="2:7" ht="18" customHeight="1">
      <c r="B94" s="382" t="s">
        <v>136</v>
      </c>
      <c r="C94" s="382" t="s">
        <v>136</v>
      </c>
      <c r="D94" s="382" t="s">
        <v>163</v>
      </c>
      <c r="E94" s="383" t="s">
        <v>98</v>
      </c>
      <c r="F94" s="384">
        <v>0</v>
      </c>
      <c r="G94" s="384">
        <v>11000</v>
      </c>
    </row>
    <row r="95" spans="2:7" ht="18" customHeight="1">
      <c r="B95" s="382" t="s">
        <v>136</v>
      </c>
      <c r="C95" s="382" t="s">
        <v>136</v>
      </c>
      <c r="D95" s="382" t="s">
        <v>149</v>
      </c>
      <c r="E95" s="383" t="s">
        <v>84</v>
      </c>
      <c r="F95" s="384">
        <v>0</v>
      </c>
      <c r="G95" s="384">
        <v>1889</v>
      </c>
    </row>
    <row r="96" spans="2:7" ht="35.1" customHeight="1">
      <c r="B96" s="382" t="s">
        <v>136</v>
      </c>
      <c r="C96" s="382" t="s">
        <v>136</v>
      </c>
      <c r="D96" s="382" t="s">
        <v>164</v>
      </c>
      <c r="E96" s="383" t="s">
        <v>99</v>
      </c>
      <c r="F96" s="384">
        <v>0</v>
      </c>
      <c r="G96" s="384">
        <v>6201</v>
      </c>
    </row>
    <row r="97" spans="2:7" ht="18" customHeight="1">
      <c r="B97" s="382" t="s">
        <v>136</v>
      </c>
      <c r="C97" s="382" t="s">
        <v>136</v>
      </c>
      <c r="D97" s="382" t="s">
        <v>150</v>
      </c>
      <c r="E97" s="383" t="s">
        <v>85</v>
      </c>
      <c r="F97" s="384">
        <v>0</v>
      </c>
      <c r="G97" s="384">
        <v>21330</v>
      </c>
    </row>
    <row r="98" spans="2:7" ht="35.1" customHeight="1">
      <c r="B98" s="382" t="s">
        <v>136</v>
      </c>
      <c r="C98" s="382" t="s">
        <v>136</v>
      </c>
      <c r="D98" s="382" t="s">
        <v>165</v>
      </c>
      <c r="E98" s="383" t="s">
        <v>100</v>
      </c>
      <c r="F98" s="384">
        <v>0</v>
      </c>
      <c r="G98" s="384">
        <v>0</v>
      </c>
    </row>
    <row r="99" spans="2:7" ht="35.1" customHeight="1">
      <c r="B99" s="382" t="s">
        <v>136</v>
      </c>
      <c r="C99" s="382" t="s">
        <v>136</v>
      </c>
      <c r="D99" s="382" t="s">
        <v>166</v>
      </c>
      <c r="E99" s="383" t="s">
        <v>101</v>
      </c>
      <c r="F99" s="384">
        <v>0</v>
      </c>
      <c r="G99" s="384">
        <v>3500</v>
      </c>
    </row>
    <row r="100" spans="2:7" ht="18" customHeight="1">
      <c r="B100" s="385" t="s">
        <v>115</v>
      </c>
      <c r="C100" s="385" t="s">
        <v>136</v>
      </c>
      <c r="D100" s="385" t="s">
        <v>136</v>
      </c>
      <c r="E100" s="386" t="s">
        <v>116</v>
      </c>
      <c r="F100" s="387">
        <v>330000</v>
      </c>
      <c r="G100" s="387">
        <v>330000</v>
      </c>
    </row>
    <row r="101" spans="2:7" ht="18" customHeight="1">
      <c r="B101" s="388" t="s">
        <v>136</v>
      </c>
      <c r="C101" s="388" t="s">
        <v>117</v>
      </c>
      <c r="D101" s="388" t="s">
        <v>136</v>
      </c>
      <c r="E101" s="389" t="s">
        <v>118</v>
      </c>
      <c r="F101" s="390">
        <v>330000</v>
      </c>
      <c r="G101" s="390">
        <v>330000</v>
      </c>
    </row>
    <row r="102" spans="2:7" ht="69.95" customHeight="1">
      <c r="B102" s="382" t="s">
        <v>136</v>
      </c>
      <c r="C102" s="382" t="s">
        <v>136</v>
      </c>
      <c r="D102" s="382" t="s">
        <v>137</v>
      </c>
      <c r="E102" s="383" t="s">
        <v>503</v>
      </c>
      <c r="F102" s="384">
        <v>330000</v>
      </c>
      <c r="G102" s="384">
        <v>0</v>
      </c>
    </row>
    <row r="103" spans="2:7" ht="103.5" customHeight="1">
      <c r="B103" s="382" t="s">
        <v>136</v>
      </c>
      <c r="C103" s="382" t="s">
        <v>136</v>
      </c>
      <c r="D103" s="382" t="s">
        <v>182</v>
      </c>
      <c r="E103" s="383" t="s">
        <v>504</v>
      </c>
      <c r="F103" s="384">
        <v>0</v>
      </c>
      <c r="G103" s="384">
        <v>190080</v>
      </c>
    </row>
    <row r="104" spans="2:7" ht="35.1" customHeight="1">
      <c r="B104" s="382" t="s">
        <v>136</v>
      </c>
      <c r="C104" s="382" t="s">
        <v>136</v>
      </c>
      <c r="D104" s="382" t="s">
        <v>141</v>
      </c>
      <c r="E104" s="383" t="s">
        <v>76</v>
      </c>
      <c r="F104" s="384">
        <v>0</v>
      </c>
      <c r="G104" s="384">
        <v>5400</v>
      </c>
    </row>
    <row r="105" spans="2:7" ht="18" customHeight="1">
      <c r="B105" s="382" t="s">
        <v>136</v>
      </c>
      <c r="C105" s="382" t="s">
        <v>136</v>
      </c>
      <c r="D105" s="382" t="s">
        <v>142</v>
      </c>
      <c r="E105" s="383" t="s">
        <v>77</v>
      </c>
      <c r="F105" s="384">
        <v>0</v>
      </c>
      <c r="G105" s="384">
        <v>924</v>
      </c>
    </row>
    <row r="106" spans="2:7" ht="35.1" customHeight="1">
      <c r="B106" s="382" t="s">
        <v>136</v>
      </c>
      <c r="C106" s="382" t="s">
        <v>136</v>
      </c>
      <c r="D106" s="382" t="s">
        <v>143</v>
      </c>
      <c r="E106" s="383" t="s">
        <v>78</v>
      </c>
      <c r="F106" s="384">
        <v>0</v>
      </c>
      <c r="G106" s="384">
        <v>132</v>
      </c>
    </row>
    <row r="107" spans="2:7" ht="18" customHeight="1">
      <c r="B107" s="382" t="s">
        <v>136</v>
      </c>
      <c r="C107" s="382" t="s">
        <v>136</v>
      </c>
      <c r="D107" s="382" t="s">
        <v>145</v>
      </c>
      <c r="E107" s="383" t="s">
        <v>80</v>
      </c>
      <c r="F107" s="384">
        <v>0</v>
      </c>
      <c r="G107" s="384">
        <v>12344</v>
      </c>
    </row>
    <row r="108" spans="2:7" ht="18" customHeight="1">
      <c r="B108" s="382" t="s">
        <v>136</v>
      </c>
      <c r="C108" s="382" t="s">
        <v>136</v>
      </c>
      <c r="D108" s="382" t="s">
        <v>138</v>
      </c>
      <c r="E108" s="383" t="s">
        <v>73</v>
      </c>
      <c r="F108" s="384">
        <v>0</v>
      </c>
      <c r="G108" s="384">
        <v>121120</v>
      </c>
    </row>
    <row r="109" spans="2:7" ht="18" customHeight="1">
      <c r="B109" s="385" t="s">
        <v>223</v>
      </c>
      <c r="C109" s="385" t="s">
        <v>136</v>
      </c>
      <c r="D109" s="385" t="s">
        <v>136</v>
      </c>
      <c r="E109" s="386" t="s">
        <v>224</v>
      </c>
      <c r="F109" s="387">
        <v>69584</v>
      </c>
      <c r="G109" s="387">
        <v>69584</v>
      </c>
    </row>
    <row r="110" spans="2:7" ht="45" customHeight="1">
      <c r="B110" s="388" t="s">
        <v>136</v>
      </c>
      <c r="C110" s="388" t="s">
        <v>225</v>
      </c>
      <c r="D110" s="388" t="s">
        <v>136</v>
      </c>
      <c r="E110" s="389" t="s">
        <v>226</v>
      </c>
      <c r="F110" s="390">
        <v>69584</v>
      </c>
      <c r="G110" s="390">
        <v>69584</v>
      </c>
    </row>
    <row r="111" spans="2:7" ht="69.95" customHeight="1">
      <c r="B111" s="382" t="s">
        <v>136</v>
      </c>
      <c r="C111" s="382" t="s">
        <v>136</v>
      </c>
      <c r="D111" s="382" t="s">
        <v>137</v>
      </c>
      <c r="E111" s="383" t="s">
        <v>503</v>
      </c>
      <c r="F111" s="384">
        <v>69584</v>
      </c>
      <c r="G111" s="384">
        <v>0</v>
      </c>
    </row>
    <row r="112" spans="2:7" ht="87" customHeight="1">
      <c r="B112" s="382" t="s">
        <v>136</v>
      </c>
      <c r="C112" s="382" t="s">
        <v>136</v>
      </c>
      <c r="D112" s="382" t="s">
        <v>51</v>
      </c>
      <c r="E112" s="383" t="s">
        <v>57</v>
      </c>
      <c r="F112" s="384">
        <v>0</v>
      </c>
      <c r="G112" s="384">
        <v>21454</v>
      </c>
    </row>
    <row r="113" spans="2:7" ht="33.75" customHeight="1">
      <c r="B113" s="382" t="s">
        <v>136</v>
      </c>
      <c r="C113" s="382" t="s">
        <v>136</v>
      </c>
      <c r="D113" s="382" t="s">
        <v>227</v>
      </c>
      <c r="E113" s="383" t="s">
        <v>228</v>
      </c>
      <c r="F113" s="384">
        <v>0</v>
      </c>
      <c r="G113" s="384">
        <v>48130</v>
      </c>
    </row>
    <row r="114" spans="2:7" ht="18" customHeight="1">
      <c r="B114" s="385" t="s">
        <v>183</v>
      </c>
      <c r="C114" s="385" t="s">
        <v>136</v>
      </c>
      <c r="D114" s="385" t="s">
        <v>136</v>
      </c>
      <c r="E114" s="386" t="s">
        <v>119</v>
      </c>
      <c r="F114" s="387">
        <v>2120680</v>
      </c>
      <c r="G114" s="387">
        <v>2120680</v>
      </c>
    </row>
    <row r="115" spans="2:7" ht="35.1" customHeight="1">
      <c r="B115" s="388" t="s">
        <v>136</v>
      </c>
      <c r="C115" s="388" t="s">
        <v>184</v>
      </c>
      <c r="D115" s="388" t="s">
        <v>136</v>
      </c>
      <c r="E115" s="389" t="s">
        <v>185</v>
      </c>
      <c r="F115" s="390">
        <v>2120680</v>
      </c>
      <c r="G115" s="390">
        <v>2120680</v>
      </c>
    </row>
    <row r="116" spans="2:7" ht="69.95" customHeight="1">
      <c r="B116" s="382" t="s">
        <v>136</v>
      </c>
      <c r="C116" s="382" t="s">
        <v>136</v>
      </c>
      <c r="D116" s="382" t="s">
        <v>137</v>
      </c>
      <c r="E116" s="383" t="s">
        <v>503</v>
      </c>
      <c r="F116" s="384">
        <v>2120680</v>
      </c>
      <c r="G116" s="384">
        <v>0</v>
      </c>
    </row>
    <row r="117" spans="2:7" ht="18" customHeight="1">
      <c r="B117" s="382" t="s">
        <v>136</v>
      </c>
      <c r="C117" s="382" t="s">
        <v>136</v>
      </c>
      <c r="D117" s="382" t="s">
        <v>186</v>
      </c>
      <c r="E117" s="383" t="s">
        <v>120</v>
      </c>
      <c r="F117" s="384">
        <v>0</v>
      </c>
      <c r="G117" s="384">
        <v>2120680</v>
      </c>
    </row>
    <row r="118" spans="2:7" ht="18" customHeight="1">
      <c r="B118" s="385" t="s">
        <v>121</v>
      </c>
      <c r="C118" s="385" t="s">
        <v>136</v>
      </c>
      <c r="D118" s="385" t="s">
        <v>136</v>
      </c>
      <c r="E118" s="386" t="s">
        <v>122</v>
      </c>
      <c r="F118" s="387">
        <v>848974</v>
      </c>
      <c r="G118" s="387">
        <v>848974</v>
      </c>
    </row>
    <row r="119" spans="2:7" ht="18" customHeight="1">
      <c r="B119" s="388" t="s">
        <v>136</v>
      </c>
      <c r="C119" s="388" t="s">
        <v>187</v>
      </c>
      <c r="D119" s="388" t="s">
        <v>136</v>
      </c>
      <c r="E119" s="389" t="s">
        <v>123</v>
      </c>
      <c r="F119" s="390">
        <v>848974</v>
      </c>
      <c r="G119" s="390">
        <v>848974</v>
      </c>
    </row>
    <row r="120" spans="2:7" ht="69.95" customHeight="1">
      <c r="B120" s="382" t="s">
        <v>136</v>
      </c>
      <c r="C120" s="382" t="s">
        <v>136</v>
      </c>
      <c r="D120" s="382" t="s">
        <v>137</v>
      </c>
      <c r="E120" s="383" t="s">
        <v>503</v>
      </c>
      <c r="F120" s="384">
        <v>842074</v>
      </c>
      <c r="G120" s="384">
        <v>0</v>
      </c>
    </row>
    <row r="121" spans="2:7" ht="69.95" customHeight="1">
      <c r="B121" s="382" t="s">
        <v>136</v>
      </c>
      <c r="C121" s="382" t="s">
        <v>136</v>
      </c>
      <c r="D121" s="382" t="s">
        <v>505</v>
      </c>
      <c r="E121" s="383" t="s">
        <v>506</v>
      </c>
      <c r="F121" s="384">
        <v>6900</v>
      </c>
      <c r="G121" s="384">
        <v>0</v>
      </c>
    </row>
    <row r="122" spans="2:7" ht="35.1" customHeight="1">
      <c r="B122" s="382" t="s">
        <v>136</v>
      </c>
      <c r="C122" s="382" t="s">
        <v>136</v>
      </c>
      <c r="D122" s="382" t="s">
        <v>157</v>
      </c>
      <c r="E122" s="383" t="s">
        <v>94</v>
      </c>
      <c r="F122" s="384">
        <v>0</v>
      </c>
      <c r="G122" s="384">
        <v>300</v>
      </c>
    </row>
    <row r="123" spans="2:7" ht="35.1" customHeight="1">
      <c r="B123" s="382" t="s">
        <v>136</v>
      </c>
      <c r="C123" s="382" t="s">
        <v>136</v>
      </c>
      <c r="D123" s="382" t="s">
        <v>141</v>
      </c>
      <c r="E123" s="383" t="s">
        <v>76</v>
      </c>
      <c r="F123" s="384">
        <v>0</v>
      </c>
      <c r="G123" s="384">
        <v>502544</v>
      </c>
    </row>
    <row r="124" spans="2:7" ht="18" customHeight="1">
      <c r="B124" s="382" t="s">
        <v>136</v>
      </c>
      <c r="C124" s="382" t="s">
        <v>136</v>
      </c>
      <c r="D124" s="382" t="s">
        <v>159</v>
      </c>
      <c r="E124" s="383" t="s">
        <v>96</v>
      </c>
      <c r="F124" s="384">
        <v>0</v>
      </c>
      <c r="G124" s="384">
        <v>31297</v>
      </c>
    </row>
    <row r="125" spans="2:7" ht="18" customHeight="1">
      <c r="B125" s="382" t="s">
        <v>136</v>
      </c>
      <c r="C125" s="382" t="s">
        <v>136</v>
      </c>
      <c r="D125" s="382" t="s">
        <v>142</v>
      </c>
      <c r="E125" s="383" t="s">
        <v>77</v>
      </c>
      <c r="F125" s="384">
        <v>0</v>
      </c>
      <c r="G125" s="384">
        <v>93007</v>
      </c>
    </row>
    <row r="126" spans="2:7" ht="35.1" customHeight="1">
      <c r="B126" s="382" t="s">
        <v>136</v>
      </c>
      <c r="C126" s="382" t="s">
        <v>136</v>
      </c>
      <c r="D126" s="382" t="s">
        <v>143</v>
      </c>
      <c r="E126" s="383" t="s">
        <v>78</v>
      </c>
      <c r="F126" s="384">
        <v>0</v>
      </c>
      <c r="G126" s="384">
        <v>9363</v>
      </c>
    </row>
    <row r="127" spans="2:7" ht="18" customHeight="1">
      <c r="B127" s="382" t="s">
        <v>136</v>
      </c>
      <c r="C127" s="382" t="s">
        <v>136</v>
      </c>
      <c r="D127" s="382" t="s">
        <v>144</v>
      </c>
      <c r="E127" s="383" t="s">
        <v>79</v>
      </c>
      <c r="F127" s="384">
        <v>0</v>
      </c>
      <c r="G127" s="384">
        <v>5640</v>
      </c>
    </row>
    <row r="128" spans="2:7" ht="18" customHeight="1">
      <c r="B128" s="382" t="s">
        <v>136</v>
      </c>
      <c r="C128" s="382" t="s">
        <v>136</v>
      </c>
      <c r="D128" s="382" t="s">
        <v>145</v>
      </c>
      <c r="E128" s="383" t="s">
        <v>80</v>
      </c>
      <c r="F128" s="384">
        <v>0</v>
      </c>
      <c r="G128" s="384">
        <v>37935</v>
      </c>
    </row>
    <row r="129" spans="2:7" ht="18" customHeight="1">
      <c r="B129" s="382" t="s">
        <v>136</v>
      </c>
      <c r="C129" s="382" t="s">
        <v>136</v>
      </c>
      <c r="D129" s="382" t="s">
        <v>179</v>
      </c>
      <c r="E129" s="383" t="s">
        <v>112</v>
      </c>
      <c r="F129" s="384">
        <v>0</v>
      </c>
      <c r="G129" s="384">
        <v>15880</v>
      </c>
    </row>
    <row r="130" spans="2:7" ht="18" customHeight="1">
      <c r="B130" s="382" t="s">
        <v>136</v>
      </c>
      <c r="C130" s="382" t="s">
        <v>136</v>
      </c>
      <c r="D130" s="382" t="s">
        <v>146</v>
      </c>
      <c r="E130" s="383" t="s">
        <v>81</v>
      </c>
      <c r="F130" s="384">
        <v>0</v>
      </c>
      <c r="G130" s="384">
        <v>7600</v>
      </c>
    </row>
    <row r="131" spans="2:7" ht="18" customHeight="1">
      <c r="B131" s="382" t="s">
        <v>136</v>
      </c>
      <c r="C131" s="382" t="s">
        <v>136</v>
      </c>
      <c r="D131" s="382" t="s">
        <v>147</v>
      </c>
      <c r="E131" s="383" t="s">
        <v>82</v>
      </c>
      <c r="F131" s="384">
        <v>0</v>
      </c>
      <c r="G131" s="384">
        <v>5000</v>
      </c>
    </row>
    <row r="132" spans="2:7" ht="18" customHeight="1">
      <c r="B132" s="382" t="s">
        <v>136</v>
      </c>
      <c r="C132" s="382" t="s">
        <v>136</v>
      </c>
      <c r="D132" s="382" t="s">
        <v>160</v>
      </c>
      <c r="E132" s="383" t="s">
        <v>97</v>
      </c>
      <c r="F132" s="384">
        <v>0</v>
      </c>
      <c r="G132" s="384">
        <v>450</v>
      </c>
    </row>
    <row r="133" spans="2:7" ht="18" customHeight="1">
      <c r="B133" s="382" t="s">
        <v>136</v>
      </c>
      <c r="C133" s="382" t="s">
        <v>136</v>
      </c>
      <c r="D133" s="382" t="s">
        <v>138</v>
      </c>
      <c r="E133" s="383" t="s">
        <v>73</v>
      </c>
      <c r="F133" s="384">
        <v>0</v>
      </c>
      <c r="G133" s="384">
        <v>94072</v>
      </c>
    </row>
    <row r="134" spans="2:7" ht="35.1" customHeight="1">
      <c r="B134" s="382" t="s">
        <v>136</v>
      </c>
      <c r="C134" s="382" t="s">
        <v>136</v>
      </c>
      <c r="D134" s="382" t="s">
        <v>161</v>
      </c>
      <c r="E134" s="383" t="s">
        <v>162</v>
      </c>
      <c r="F134" s="384">
        <v>0</v>
      </c>
      <c r="G134" s="384">
        <v>1927</v>
      </c>
    </row>
    <row r="135" spans="2:7" ht="18" customHeight="1">
      <c r="B135" s="382" t="s">
        <v>136</v>
      </c>
      <c r="C135" s="382" t="s">
        <v>136</v>
      </c>
      <c r="D135" s="382" t="s">
        <v>163</v>
      </c>
      <c r="E135" s="383" t="s">
        <v>98</v>
      </c>
      <c r="F135" s="384">
        <v>0</v>
      </c>
      <c r="G135" s="384">
        <v>2006</v>
      </c>
    </row>
    <row r="136" spans="2:7" ht="18" customHeight="1">
      <c r="B136" s="382" t="s">
        <v>136</v>
      </c>
      <c r="C136" s="382" t="s">
        <v>136</v>
      </c>
      <c r="D136" s="382" t="s">
        <v>149</v>
      </c>
      <c r="E136" s="383" t="s">
        <v>84</v>
      </c>
      <c r="F136" s="384">
        <v>0</v>
      </c>
      <c r="G136" s="384">
        <v>949</v>
      </c>
    </row>
    <row r="137" spans="2:7" ht="35.1" customHeight="1">
      <c r="B137" s="382" t="s">
        <v>136</v>
      </c>
      <c r="C137" s="382" t="s">
        <v>136</v>
      </c>
      <c r="D137" s="382" t="s">
        <v>164</v>
      </c>
      <c r="E137" s="383" t="s">
        <v>99</v>
      </c>
      <c r="F137" s="384">
        <v>0</v>
      </c>
      <c r="G137" s="384">
        <v>14470</v>
      </c>
    </row>
    <row r="138" spans="2:7" ht="18" customHeight="1">
      <c r="B138" s="382" t="s">
        <v>136</v>
      </c>
      <c r="C138" s="382" t="s">
        <v>136</v>
      </c>
      <c r="D138" s="382" t="s">
        <v>150</v>
      </c>
      <c r="E138" s="383" t="s">
        <v>85</v>
      </c>
      <c r="F138" s="384">
        <v>0</v>
      </c>
      <c r="G138" s="384">
        <v>3632</v>
      </c>
    </row>
    <row r="139" spans="2:7" ht="35.1" customHeight="1">
      <c r="B139" s="382" t="s">
        <v>136</v>
      </c>
      <c r="C139" s="382" t="s">
        <v>136</v>
      </c>
      <c r="D139" s="382" t="s">
        <v>151</v>
      </c>
      <c r="E139" s="383" t="s">
        <v>86</v>
      </c>
      <c r="F139" s="384">
        <v>0</v>
      </c>
      <c r="G139" s="384">
        <v>3057</v>
      </c>
    </row>
    <row r="140" spans="2:7" ht="35.1" customHeight="1">
      <c r="B140" s="382" t="s">
        <v>136</v>
      </c>
      <c r="C140" s="382" t="s">
        <v>136</v>
      </c>
      <c r="D140" s="382" t="s">
        <v>166</v>
      </c>
      <c r="E140" s="383" t="s">
        <v>101</v>
      </c>
      <c r="F140" s="384">
        <v>0</v>
      </c>
      <c r="G140" s="384">
        <v>11140</v>
      </c>
    </row>
    <row r="141" spans="2:7" ht="35.1" customHeight="1">
      <c r="B141" s="382" t="s">
        <v>136</v>
      </c>
      <c r="C141" s="382" t="s">
        <v>136</v>
      </c>
      <c r="D141" s="382" t="s">
        <v>188</v>
      </c>
      <c r="E141" s="383" t="s">
        <v>124</v>
      </c>
      <c r="F141" s="384">
        <v>0</v>
      </c>
      <c r="G141" s="384">
        <v>1805</v>
      </c>
    </row>
    <row r="142" spans="2:7" ht="35.1" customHeight="1">
      <c r="B142" s="382" t="s">
        <v>136</v>
      </c>
      <c r="C142" s="382" t="s">
        <v>136</v>
      </c>
      <c r="D142" s="382" t="s">
        <v>507</v>
      </c>
      <c r="E142" s="383" t="s">
        <v>508</v>
      </c>
      <c r="F142" s="384">
        <v>0</v>
      </c>
      <c r="G142" s="384">
        <v>6900</v>
      </c>
    </row>
    <row r="143" spans="2:7" ht="18" customHeight="1">
      <c r="B143" s="385" t="s">
        <v>189</v>
      </c>
      <c r="C143" s="385" t="s">
        <v>136</v>
      </c>
      <c r="D143" s="385" t="s">
        <v>136</v>
      </c>
      <c r="E143" s="386" t="s">
        <v>125</v>
      </c>
      <c r="F143" s="387">
        <v>354656</v>
      </c>
      <c r="G143" s="387">
        <v>354656</v>
      </c>
    </row>
    <row r="144" spans="2:7" ht="18" customHeight="1">
      <c r="B144" s="388" t="s">
        <v>136</v>
      </c>
      <c r="C144" s="388" t="s">
        <v>190</v>
      </c>
      <c r="D144" s="388" t="s">
        <v>136</v>
      </c>
      <c r="E144" s="389" t="s">
        <v>126</v>
      </c>
      <c r="F144" s="390">
        <v>274301</v>
      </c>
      <c r="G144" s="390">
        <v>274301</v>
      </c>
    </row>
    <row r="145" spans="2:7" ht="69.95" customHeight="1">
      <c r="B145" s="382" t="s">
        <v>136</v>
      </c>
      <c r="C145" s="382" t="s">
        <v>136</v>
      </c>
      <c r="D145" s="382" t="s">
        <v>137</v>
      </c>
      <c r="E145" s="383" t="s">
        <v>503</v>
      </c>
      <c r="F145" s="384">
        <v>274301</v>
      </c>
      <c r="G145" s="384">
        <v>0</v>
      </c>
    </row>
    <row r="146" spans="2:7" ht="35.1" customHeight="1">
      <c r="B146" s="382" t="s">
        <v>136</v>
      </c>
      <c r="C146" s="382" t="s">
        <v>136</v>
      </c>
      <c r="D146" s="382" t="s">
        <v>157</v>
      </c>
      <c r="E146" s="383" t="s">
        <v>94</v>
      </c>
      <c r="F146" s="384">
        <v>0</v>
      </c>
      <c r="G146" s="384">
        <v>300</v>
      </c>
    </row>
    <row r="147" spans="2:7" ht="35.1" customHeight="1">
      <c r="B147" s="382" t="s">
        <v>136</v>
      </c>
      <c r="C147" s="382" t="s">
        <v>136</v>
      </c>
      <c r="D147" s="382" t="s">
        <v>141</v>
      </c>
      <c r="E147" s="383" t="s">
        <v>76</v>
      </c>
      <c r="F147" s="384">
        <v>0</v>
      </c>
      <c r="G147" s="384">
        <v>119473</v>
      </c>
    </row>
    <row r="148" spans="2:7" ht="18" customHeight="1">
      <c r="B148" s="382" t="s">
        <v>136</v>
      </c>
      <c r="C148" s="382" t="s">
        <v>136</v>
      </c>
      <c r="D148" s="382" t="s">
        <v>159</v>
      </c>
      <c r="E148" s="383" t="s">
        <v>96</v>
      </c>
      <c r="F148" s="384">
        <v>0</v>
      </c>
      <c r="G148" s="384">
        <v>7382</v>
      </c>
    </row>
    <row r="149" spans="2:7" ht="18" customHeight="1">
      <c r="B149" s="382" t="s">
        <v>136</v>
      </c>
      <c r="C149" s="382" t="s">
        <v>136</v>
      </c>
      <c r="D149" s="382" t="s">
        <v>142</v>
      </c>
      <c r="E149" s="383" t="s">
        <v>77</v>
      </c>
      <c r="F149" s="384">
        <v>0</v>
      </c>
      <c r="G149" s="384">
        <v>25737</v>
      </c>
    </row>
    <row r="150" spans="2:7" ht="35.1" customHeight="1">
      <c r="B150" s="382" t="s">
        <v>136</v>
      </c>
      <c r="C150" s="382" t="s">
        <v>136</v>
      </c>
      <c r="D150" s="382" t="s">
        <v>143</v>
      </c>
      <c r="E150" s="383" t="s">
        <v>78</v>
      </c>
      <c r="F150" s="384">
        <v>0</v>
      </c>
      <c r="G150" s="384">
        <v>2057</v>
      </c>
    </row>
    <row r="151" spans="2:7" ht="18" customHeight="1">
      <c r="B151" s="382" t="s">
        <v>136</v>
      </c>
      <c r="C151" s="382" t="s">
        <v>136</v>
      </c>
      <c r="D151" s="382" t="s">
        <v>144</v>
      </c>
      <c r="E151" s="383" t="s">
        <v>79</v>
      </c>
      <c r="F151" s="384">
        <v>0</v>
      </c>
      <c r="G151" s="384">
        <v>31215</v>
      </c>
    </row>
    <row r="152" spans="2:7" ht="18" customHeight="1">
      <c r="B152" s="382" t="s">
        <v>136</v>
      </c>
      <c r="C152" s="382" t="s">
        <v>136</v>
      </c>
      <c r="D152" s="382" t="s">
        <v>145</v>
      </c>
      <c r="E152" s="383" t="s">
        <v>80</v>
      </c>
      <c r="F152" s="384">
        <v>0</v>
      </c>
      <c r="G152" s="384">
        <v>17941</v>
      </c>
    </row>
    <row r="153" spans="2:7" ht="18" customHeight="1">
      <c r="B153" s="382" t="s">
        <v>136</v>
      </c>
      <c r="C153" s="382" t="s">
        <v>136</v>
      </c>
      <c r="D153" s="382" t="s">
        <v>160</v>
      </c>
      <c r="E153" s="383" t="s">
        <v>97</v>
      </c>
      <c r="F153" s="384">
        <v>0</v>
      </c>
      <c r="G153" s="384">
        <v>100</v>
      </c>
    </row>
    <row r="154" spans="2:7" ht="18" customHeight="1">
      <c r="B154" s="382" t="s">
        <v>136</v>
      </c>
      <c r="C154" s="382" t="s">
        <v>136</v>
      </c>
      <c r="D154" s="382" t="s">
        <v>138</v>
      </c>
      <c r="E154" s="383" t="s">
        <v>73</v>
      </c>
      <c r="F154" s="384">
        <v>0</v>
      </c>
      <c r="G154" s="384">
        <v>66237</v>
      </c>
    </row>
    <row r="155" spans="2:7" ht="35.1" customHeight="1">
      <c r="B155" s="382" t="s">
        <v>136</v>
      </c>
      <c r="C155" s="382" t="s">
        <v>136</v>
      </c>
      <c r="D155" s="382" t="s">
        <v>164</v>
      </c>
      <c r="E155" s="383" t="s">
        <v>99</v>
      </c>
      <c r="F155" s="384">
        <v>0</v>
      </c>
      <c r="G155" s="384">
        <v>3359</v>
      </c>
    </row>
    <row r="156" spans="2:7" ht="35.1" customHeight="1">
      <c r="B156" s="382" t="s">
        <v>136</v>
      </c>
      <c r="C156" s="382" t="s">
        <v>136</v>
      </c>
      <c r="D156" s="382" t="s">
        <v>188</v>
      </c>
      <c r="E156" s="383" t="s">
        <v>124</v>
      </c>
      <c r="F156" s="384">
        <v>0</v>
      </c>
      <c r="G156" s="384">
        <v>500</v>
      </c>
    </row>
    <row r="157" spans="2:7" ht="18" customHeight="1">
      <c r="B157" s="388" t="s">
        <v>136</v>
      </c>
      <c r="C157" s="388" t="s">
        <v>198</v>
      </c>
      <c r="D157" s="388" t="s">
        <v>136</v>
      </c>
      <c r="E157" s="389" t="s">
        <v>197</v>
      </c>
      <c r="F157" s="390">
        <v>80355</v>
      </c>
      <c r="G157" s="390">
        <v>80355</v>
      </c>
    </row>
    <row r="158" spans="2:7" ht="69.95" customHeight="1">
      <c r="B158" s="382" t="s">
        <v>136</v>
      </c>
      <c r="C158" s="382" t="s">
        <v>136</v>
      </c>
      <c r="D158" s="382" t="s">
        <v>137</v>
      </c>
      <c r="E158" s="383" t="s">
        <v>503</v>
      </c>
      <c r="F158" s="384">
        <v>80355</v>
      </c>
      <c r="G158" s="384">
        <v>0</v>
      </c>
    </row>
    <row r="159" spans="2:7" ht="18" customHeight="1">
      <c r="B159" s="382" t="s">
        <v>136</v>
      </c>
      <c r="C159" s="382" t="s">
        <v>136</v>
      </c>
      <c r="D159" s="382" t="s">
        <v>191</v>
      </c>
      <c r="E159" s="383" t="s">
        <v>133</v>
      </c>
      <c r="F159" s="384">
        <v>0</v>
      </c>
      <c r="G159" s="384">
        <v>80355</v>
      </c>
    </row>
    <row r="160" spans="2:7" ht="18" customHeight="1">
      <c r="B160" s="385" t="s">
        <v>127</v>
      </c>
      <c r="C160" s="385" t="s">
        <v>136</v>
      </c>
      <c r="D160" s="385" t="s">
        <v>136</v>
      </c>
      <c r="E160" s="386" t="s">
        <v>128</v>
      </c>
      <c r="F160" s="387">
        <v>913446</v>
      </c>
      <c r="G160" s="387">
        <v>913446</v>
      </c>
    </row>
    <row r="161" spans="2:7" ht="18" customHeight="1">
      <c r="B161" s="388" t="s">
        <v>136</v>
      </c>
      <c r="C161" s="388" t="s">
        <v>129</v>
      </c>
      <c r="D161" s="388" t="s">
        <v>136</v>
      </c>
      <c r="E161" s="389" t="s">
        <v>130</v>
      </c>
      <c r="F161" s="390">
        <v>0</v>
      </c>
      <c r="G161" s="390">
        <v>0</v>
      </c>
    </row>
    <row r="162" spans="2:7" ht="69.95" customHeight="1">
      <c r="B162" s="382" t="s">
        <v>136</v>
      </c>
      <c r="C162" s="382" t="s">
        <v>136</v>
      </c>
      <c r="D162" s="382" t="s">
        <v>137</v>
      </c>
      <c r="E162" s="383" t="s">
        <v>503</v>
      </c>
      <c r="F162" s="384">
        <v>0</v>
      </c>
      <c r="G162" s="384">
        <v>0</v>
      </c>
    </row>
    <row r="163" spans="2:7" ht="18" customHeight="1">
      <c r="B163" s="382" t="s">
        <v>136</v>
      </c>
      <c r="C163" s="382" t="s">
        <v>136</v>
      </c>
      <c r="D163" s="382" t="s">
        <v>191</v>
      </c>
      <c r="E163" s="383" t="s">
        <v>133</v>
      </c>
      <c r="F163" s="384">
        <v>0</v>
      </c>
      <c r="G163" s="384">
        <v>0</v>
      </c>
    </row>
    <row r="164" spans="2:7" ht="35.1" customHeight="1">
      <c r="B164" s="382" t="s">
        <v>136</v>
      </c>
      <c r="C164" s="382" t="s">
        <v>136</v>
      </c>
      <c r="D164" s="382" t="s">
        <v>141</v>
      </c>
      <c r="E164" s="383" t="s">
        <v>76</v>
      </c>
      <c r="F164" s="384">
        <v>0</v>
      </c>
      <c r="G164" s="384">
        <v>0</v>
      </c>
    </row>
    <row r="165" spans="2:7" ht="18" customHeight="1">
      <c r="B165" s="382" t="s">
        <v>136</v>
      </c>
      <c r="C165" s="382" t="s">
        <v>136</v>
      </c>
      <c r="D165" s="382" t="s">
        <v>142</v>
      </c>
      <c r="E165" s="383" t="s">
        <v>77</v>
      </c>
      <c r="F165" s="384">
        <v>0</v>
      </c>
      <c r="G165" s="384">
        <v>0</v>
      </c>
    </row>
    <row r="166" spans="2:7" ht="35.1" customHeight="1">
      <c r="B166" s="382" t="s">
        <v>136</v>
      </c>
      <c r="C166" s="382" t="s">
        <v>136</v>
      </c>
      <c r="D166" s="382" t="s">
        <v>143</v>
      </c>
      <c r="E166" s="383" t="s">
        <v>78</v>
      </c>
      <c r="F166" s="384">
        <v>0</v>
      </c>
      <c r="G166" s="384">
        <v>0</v>
      </c>
    </row>
    <row r="167" spans="2:7" ht="18" customHeight="1">
      <c r="B167" s="388" t="s">
        <v>136</v>
      </c>
      <c r="C167" s="388" t="s">
        <v>131</v>
      </c>
      <c r="D167" s="388" t="s">
        <v>136</v>
      </c>
      <c r="E167" s="389" t="s">
        <v>132</v>
      </c>
      <c r="F167" s="390">
        <v>442000</v>
      </c>
      <c r="G167" s="390">
        <v>442000</v>
      </c>
    </row>
    <row r="168" spans="2:7" ht="150" customHeight="1">
      <c r="B168" s="382" t="s">
        <v>136</v>
      </c>
      <c r="C168" s="382" t="s">
        <v>136</v>
      </c>
      <c r="D168" s="382" t="s">
        <v>192</v>
      </c>
      <c r="E168" s="383" t="s">
        <v>509</v>
      </c>
      <c r="F168" s="384">
        <v>442000</v>
      </c>
      <c r="G168" s="384">
        <v>0</v>
      </c>
    </row>
    <row r="169" spans="2:7" ht="18" customHeight="1">
      <c r="B169" s="382" t="s">
        <v>136</v>
      </c>
      <c r="C169" s="382" t="s">
        <v>136</v>
      </c>
      <c r="D169" s="382" t="s">
        <v>191</v>
      </c>
      <c r="E169" s="383" t="s">
        <v>133</v>
      </c>
      <c r="F169" s="384">
        <v>0</v>
      </c>
      <c r="G169" s="384">
        <v>437624</v>
      </c>
    </row>
    <row r="170" spans="2:7" ht="35.1" customHeight="1">
      <c r="B170" s="382" t="s">
        <v>136</v>
      </c>
      <c r="C170" s="382" t="s">
        <v>136</v>
      </c>
      <c r="D170" s="382" t="s">
        <v>141</v>
      </c>
      <c r="E170" s="383" t="s">
        <v>76</v>
      </c>
      <c r="F170" s="384">
        <v>0</v>
      </c>
      <c r="G170" s="384">
        <v>4376</v>
      </c>
    </row>
    <row r="171" spans="2:7" ht="18" customHeight="1">
      <c r="B171" s="388" t="s">
        <v>136</v>
      </c>
      <c r="C171" s="388" t="s">
        <v>134</v>
      </c>
      <c r="D171" s="388" t="s">
        <v>136</v>
      </c>
      <c r="E171" s="389" t="s">
        <v>135</v>
      </c>
      <c r="F171" s="390">
        <v>471446</v>
      </c>
      <c r="G171" s="390">
        <v>471446</v>
      </c>
    </row>
    <row r="172" spans="2:7" ht="69.95" customHeight="1">
      <c r="B172" s="382" t="s">
        <v>136</v>
      </c>
      <c r="C172" s="382" t="s">
        <v>136</v>
      </c>
      <c r="D172" s="382" t="s">
        <v>137</v>
      </c>
      <c r="E172" s="383" t="s">
        <v>503</v>
      </c>
      <c r="F172" s="384">
        <v>63446</v>
      </c>
      <c r="G172" s="384">
        <v>0</v>
      </c>
    </row>
    <row r="173" spans="2:7" ht="150" customHeight="1">
      <c r="B173" s="382" t="s">
        <v>136</v>
      </c>
      <c r="C173" s="382" t="s">
        <v>136</v>
      </c>
      <c r="D173" s="382" t="s">
        <v>192</v>
      </c>
      <c r="E173" s="383" t="s">
        <v>509</v>
      </c>
      <c r="F173" s="384">
        <v>408000</v>
      </c>
      <c r="G173" s="384">
        <v>0</v>
      </c>
    </row>
    <row r="174" spans="2:7" ht="18" customHeight="1">
      <c r="B174" s="382" t="s">
        <v>136</v>
      </c>
      <c r="C174" s="382" t="s">
        <v>136</v>
      </c>
      <c r="D174" s="382" t="s">
        <v>191</v>
      </c>
      <c r="E174" s="383" t="s">
        <v>133</v>
      </c>
      <c r="F174" s="384">
        <v>0</v>
      </c>
      <c r="G174" s="384">
        <v>412652</v>
      </c>
    </row>
    <row r="175" spans="2:7" ht="35.1" customHeight="1">
      <c r="B175" s="382" t="s">
        <v>136</v>
      </c>
      <c r="C175" s="382" t="s">
        <v>136</v>
      </c>
      <c r="D175" s="382" t="s">
        <v>141</v>
      </c>
      <c r="E175" s="383" t="s">
        <v>76</v>
      </c>
      <c r="F175" s="384">
        <v>0</v>
      </c>
      <c r="G175" s="384">
        <v>49795</v>
      </c>
    </row>
    <row r="176" spans="2:7" ht="18" customHeight="1">
      <c r="B176" s="382" t="s">
        <v>136</v>
      </c>
      <c r="C176" s="382" t="s">
        <v>136</v>
      </c>
      <c r="D176" s="382" t="s">
        <v>142</v>
      </c>
      <c r="E176" s="383" t="s">
        <v>77</v>
      </c>
      <c r="F176" s="384">
        <v>0</v>
      </c>
      <c r="G176" s="384">
        <v>7879</v>
      </c>
    </row>
    <row r="177" spans="2:7" ht="35.1" customHeight="1">
      <c r="B177" s="382" t="s">
        <v>136</v>
      </c>
      <c r="C177" s="382" t="s">
        <v>136</v>
      </c>
      <c r="D177" s="382" t="s">
        <v>143</v>
      </c>
      <c r="E177" s="383" t="s">
        <v>78</v>
      </c>
      <c r="F177" s="384">
        <v>0</v>
      </c>
      <c r="G177" s="384">
        <v>1120</v>
      </c>
    </row>
    <row r="178" spans="2:7" ht="19.5" customHeight="1">
      <c r="B178" s="543" t="s">
        <v>193</v>
      </c>
      <c r="C178" s="543"/>
      <c r="D178" s="543"/>
      <c r="E178" s="543"/>
      <c r="F178" s="387">
        <v>15573443</v>
      </c>
      <c r="G178" s="387">
        <v>15573443</v>
      </c>
    </row>
    <row r="179" spans="2:7" s="393" customFormat="1"/>
    <row r="180" spans="2:7" s="393" customFormat="1"/>
    <row r="181" spans="2:7" s="393" customFormat="1"/>
  </sheetData>
  <sheetProtection algorithmName="SHA-512" hashValue="nnmnjsuwoeoXcHNyQj0lt2aH0gpo0cQWKoaK0ch1oyvmREQ4TGNb2a2owOUWAXmwVKt70AjRezK1blUXceLzKw==" saltValue="TDE2uG9yDO34dahV/qqYhA==" spinCount="100000" sheet="1" objects="1" scenarios="1"/>
  <autoFilter ref="C1:C181"/>
  <mergeCells count="2">
    <mergeCell ref="B2:G2"/>
    <mergeCell ref="B178:E178"/>
  </mergeCells>
  <pageMargins left="0.59055118110236227" right="0.39370078740157483" top="1.4960629921259843" bottom="0.9055118110236221" header="0.78740157480314965" footer="0.59055118110236227"/>
  <pageSetup paperSize="9" scale="88" fitToHeight="0" orientation="portrait" horizontalDpi="4294967295" verticalDpi="300" r:id="rId1"/>
  <headerFooter differentOddEven="1" differentFirst="1" alignWithMargins="0">
    <oddFooter>&amp;C&amp;P</oddFooter>
    <evenFooter>&amp;C&amp;P</evenFooter>
    <firstHeader>&amp;R&amp;10Tabela Nr 5
do uchwały Nr .............
Rady Powiatu  Otwockiego
z dnia ...........................</firstHeader>
    <firstFooter>&amp;C&amp;P</firstFooter>
  </headerFooter>
  <rowBreaks count="7" manualBreakCount="7">
    <brk id="29" min="1" max="6" man="1"/>
    <brk id="54" min="1" max="6" man="1"/>
    <brk id="77" min="1" max="6" man="1"/>
    <brk id="102" min="1" max="6" man="1"/>
    <brk id="121" min="1" max="6" man="1"/>
    <brk id="147" min="1" max="6" man="1"/>
    <brk id="168" min="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42"/>
  <sheetViews>
    <sheetView tabSelected="1" zoomScaleNormal="100" workbookViewId="0">
      <pane ySplit="4" topLeftCell="A5" activePane="bottomLeft" state="frozen"/>
      <selection activeCell="I16" sqref="I16"/>
      <selection pane="bottomLeft" activeCell="I30" sqref="I30"/>
    </sheetView>
  </sheetViews>
  <sheetFormatPr defaultColWidth="9.33203125" defaultRowHeight="12"/>
  <cols>
    <col min="1" max="1" width="3.6640625" style="74" customWidth="1"/>
    <col min="2" max="2" width="6.33203125" style="71" customWidth="1"/>
    <col min="3" max="4" width="10" style="71" customWidth="1"/>
    <col min="5" max="5" width="63.5" style="72" customWidth="1"/>
    <col min="6" max="7" width="16.6640625" style="73" customWidth="1"/>
    <col min="8" max="16384" width="9.33203125" style="74"/>
  </cols>
  <sheetData>
    <row r="1" spans="2:8" ht="16.5" customHeight="1"/>
    <row r="2" spans="2:8" ht="29.25" customHeight="1">
      <c r="B2" s="545" t="s">
        <v>199</v>
      </c>
      <c r="C2" s="545"/>
      <c r="D2" s="545"/>
      <c r="E2" s="545"/>
      <c r="F2" s="545"/>
      <c r="G2" s="545"/>
    </row>
    <row r="3" spans="2:8" ht="15.75" customHeight="1">
      <c r="B3" s="75"/>
      <c r="C3" s="75"/>
      <c r="D3" s="75"/>
      <c r="E3" s="75"/>
      <c r="F3" s="75"/>
      <c r="G3" s="75"/>
    </row>
    <row r="4" spans="2:8" s="79" customFormat="1" ht="42" customHeight="1">
      <c r="B4" s="76" t="s">
        <v>0</v>
      </c>
      <c r="C4" s="76" t="s">
        <v>1</v>
      </c>
      <c r="D4" s="76" t="s">
        <v>200</v>
      </c>
      <c r="E4" s="77" t="s">
        <v>201</v>
      </c>
      <c r="F4" s="78" t="s">
        <v>202</v>
      </c>
      <c r="G4" s="78" t="s">
        <v>203</v>
      </c>
    </row>
    <row r="5" spans="2:8" s="79" customFormat="1" ht="17.25" customHeight="1">
      <c r="B5" s="80">
        <v>600</v>
      </c>
      <c r="C5" s="80"/>
      <c r="D5" s="80"/>
      <c r="E5" s="81" t="s">
        <v>204</v>
      </c>
      <c r="F5" s="82">
        <f>SUM(F6,F8,)</f>
        <v>1012818</v>
      </c>
      <c r="G5" s="82">
        <f>SUM(G6,G8,)</f>
        <v>280000</v>
      </c>
    </row>
    <row r="6" spans="2:8" s="86" customFormat="1" ht="17.25" customHeight="1">
      <c r="B6" s="83"/>
      <c r="C6" s="83">
        <v>60004</v>
      </c>
      <c r="D6" s="83"/>
      <c r="E6" s="84" t="s">
        <v>205</v>
      </c>
      <c r="F6" s="85"/>
      <c r="G6" s="85">
        <f>SUM(G7:G7)</f>
        <v>280000</v>
      </c>
    </row>
    <row r="7" spans="2:8" s="89" customFormat="1" ht="46.5" customHeight="1">
      <c r="B7" s="87"/>
      <c r="C7" s="87"/>
      <c r="D7" s="87">
        <v>2310</v>
      </c>
      <c r="E7" s="63" t="s">
        <v>3</v>
      </c>
      <c r="F7" s="88"/>
      <c r="G7" s="88">
        <f>260000+20000</f>
        <v>280000</v>
      </c>
    </row>
    <row r="8" spans="2:8" s="86" customFormat="1" ht="17.25" customHeight="1">
      <c r="B8" s="83"/>
      <c r="C8" s="83">
        <v>60014</v>
      </c>
      <c r="D8" s="83"/>
      <c r="E8" s="84" t="s">
        <v>206</v>
      </c>
      <c r="F8" s="85">
        <f>SUM(F9:F10)</f>
        <v>1012818</v>
      </c>
      <c r="G8" s="85">
        <f>SUM(G9:G10)</f>
        <v>0</v>
      </c>
    </row>
    <row r="9" spans="2:8" s="86" customFormat="1" ht="54.6" customHeight="1">
      <c r="B9" s="90"/>
      <c r="C9" s="90"/>
      <c r="D9" s="90">
        <v>6300</v>
      </c>
      <c r="E9" s="63" t="s">
        <v>207</v>
      </c>
      <c r="F9" s="91">
        <f>592818-150000+550000+100000-80000</f>
        <v>1012818</v>
      </c>
      <c r="G9" s="91"/>
      <c r="H9" s="92"/>
    </row>
    <row r="10" spans="2:8" s="331" customFormat="1" ht="45.75" customHeight="1">
      <c r="B10" s="328"/>
      <c r="C10" s="328"/>
      <c r="D10" s="328">
        <v>6610</v>
      </c>
      <c r="E10" s="329" t="s">
        <v>208</v>
      </c>
      <c r="F10" s="330"/>
      <c r="G10" s="330">
        <v>0</v>
      </c>
    </row>
    <row r="11" spans="2:8" s="249" customFormat="1" ht="18.75" customHeight="1">
      <c r="B11" s="246">
        <v>630</v>
      </c>
      <c r="C11" s="246"/>
      <c r="D11" s="246"/>
      <c r="E11" s="247" t="s">
        <v>219</v>
      </c>
      <c r="F11" s="248">
        <f>F12</f>
        <v>0</v>
      </c>
      <c r="G11" s="248">
        <f>G12</f>
        <v>10000</v>
      </c>
    </row>
    <row r="12" spans="2:8" s="92" customFormat="1" ht="18.75" customHeight="1">
      <c r="B12" s="83"/>
      <c r="C12" s="83">
        <v>63003</v>
      </c>
      <c r="D12" s="83"/>
      <c r="E12" s="250" t="s">
        <v>220</v>
      </c>
      <c r="F12" s="85">
        <f>F13</f>
        <v>0</v>
      </c>
      <c r="G12" s="85">
        <f>G13</f>
        <v>10000</v>
      </c>
    </row>
    <row r="13" spans="2:8" s="92" customFormat="1" ht="49.5" customHeight="1">
      <c r="B13" s="90"/>
      <c r="C13" s="90"/>
      <c r="D13" s="90">
        <v>6300</v>
      </c>
      <c r="E13" s="63" t="s">
        <v>221</v>
      </c>
      <c r="F13" s="91"/>
      <c r="G13" s="91">
        <v>10000</v>
      </c>
    </row>
    <row r="14" spans="2:8" s="79" customFormat="1" ht="17.25" customHeight="1">
      <c r="B14" s="80">
        <v>710</v>
      </c>
      <c r="C14" s="80"/>
      <c r="D14" s="80"/>
      <c r="E14" s="81" t="s">
        <v>90</v>
      </c>
      <c r="F14" s="82">
        <f>F15</f>
        <v>0</v>
      </c>
      <c r="G14" s="82">
        <f>SUM(G15)</f>
        <v>8476</v>
      </c>
    </row>
    <row r="15" spans="2:8" s="79" customFormat="1" ht="17.25" customHeight="1">
      <c r="B15" s="93"/>
      <c r="C15" s="93">
        <v>71095</v>
      </c>
      <c r="D15" s="93"/>
      <c r="E15" s="94" t="s">
        <v>197</v>
      </c>
      <c r="F15" s="95">
        <f>F16</f>
        <v>0</v>
      </c>
      <c r="G15" s="95">
        <f>SUM(G16)</f>
        <v>8476</v>
      </c>
    </row>
    <row r="16" spans="2:8" s="86" customFormat="1" ht="57.75" customHeight="1">
      <c r="B16" s="96"/>
      <c r="C16" s="96"/>
      <c r="D16" s="96">
        <v>6639</v>
      </c>
      <c r="E16" s="97" t="s">
        <v>66</v>
      </c>
      <c r="F16" s="98"/>
      <c r="G16" s="98">
        <f>97666-8000-81190</f>
        <v>8476</v>
      </c>
    </row>
    <row r="17" spans="2:7" s="79" customFormat="1" ht="17.25" customHeight="1">
      <c r="B17" s="80">
        <v>750</v>
      </c>
      <c r="C17" s="80"/>
      <c r="D17" s="80"/>
      <c r="E17" s="99" t="s">
        <v>102</v>
      </c>
      <c r="F17" s="82">
        <f>F18</f>
        <v>30000</v>
      </c>
      <c r="G17" s="82">
        <f>G18+G20</f>
        <v>8000</v>
      </c>
    </row>
    <row r="18" spans="2:7" s="86" customFormat="1" ht="17.25" customHeight="1">
      <c r="B18" s="83"/>
      <c r="C18" s="83">
        <v>75020</v>
      </c>
      <c r="D18" s="83"/>
      <c r="E18" s="100" t="s">
        <v>209</v>
      </c>
      <c r="F18" s="85">
        <f>F19</f>
        <v>30000</v>
      </c>
      <c r="G18" s="85">
        <f>G19</f>
        <v>0</v>
      </c>
    </row>
    <row r="19" spans="2:7" s="86" customFormat="1" ht="51" customHeight="1">
      <c r="B19" s="96"/>
      <c r="C19" s="96"/>
      <c r="D19" s="96">
        <v>2710</v>
      </c>
      <c r="E19" s="97" t="s">
        <v>210</v>
      </c>
      <c r="F19" s="98">
        <v>30000</v>
      </c>
      <c r="G19" s="98"/>
    </row>
    <row r="20" spans="2:7" s="79" customFormat="1" ht="18" customHeight="1">
      <c r="B20" s="93"/>
      <c r="C20" s="93">
        <v>75095</v>
      </c>
      <c r="D20" s="101"/>
      <c r="E20" s="94" t="s">
        <v>197</v>
      </c>
      <c r="F20" s="102"/>
      <c r="G20" s="102">
        <f>SUM(G21:G22)</f>
        <v>8000</v>
      </c>
    </row>
    <row r="21" spans="2:7" s="86" customFormat="1" ht="55.5" customHeight="1">
      <c r="B21" s="96"/>
      <c r="C21" s="96"/>
      <c r="D21" s="333">
        <v>2710</v>
      </c>
      <c r="E21" s="97" t="s">
        <v>6</v>
      </c>
      <c r="F21" s="334"/>
      <c r="G21" s="334">
        <v>8000</v>
      </c>
    </row>
    <row r="22" spans="2:7" s="86" customFormat="1" ht="55.5" customHeight="1">
      <c r="B22" s="96"/>
      <c r="C22" s="96"/>
      <c r="D22" s="333">
        <v>6639</v>
      </c>
      <c r="E22" s="97" t="s">
        <v>66</v>
      </c>
      <c r="F22" s="334"/>
      <c r="G22" s="334">
        <v>0</v>
      </c>
    </row>
    <row r="23" spans="2:7" s="79" customFormat="1" ht="17.25" customHeight="1">
      <c r="B23" s="80">
        <v>853</v>
      </c>
      <c r="C23" s="80"/>
      <c r="D23" s="103"/>
      <c r="E23" s="104" t="s">
        <v>125</v>
      </c>
      <c r="F23" s="105">
        <f>SUM(F24)</f>
        <v>14464</v>
      </c>
      <c r="G23" s="105">
        <f>SUM(G24)</f>
        <v>2411</v>
      </c>
    </row>
    <row r="24" spans="2:7" s="86" customFormat="1" ht="19.5" customHeight="1">
      <c r="B24" s="83"/>
      <c r="C24" s="83">
        <v>85311</v>
      </c>
      <c r="D24" s="83"/>
      <c r="E24" s="84" t="s">
        <v>211</v>
      </c>
      <c r="F24" s="85">
        <f>SUM(F25)</f>
        <v>14464</v>
      </c>
      <c r="G24" s="85">
        <f>SUM(G25:G26)</f>
        <v>2411</v>
      </c>
    </row>
    <row r="25" spans="2:7" s="107" customFormat="1" ht="47.25" customHeight="1">
      <c r="B25" s="106"/>
      <c r="C25" s="106"/>
      <c r="D25" s="106">
        <v>2320</v>
      </c>
      <c r="E25" s="62" t="s">
        <v>212</v>
      </c>
      <c r="F25" s="98">
        <v>14464</v>
      </c>
      <c r="G25" s="98"/>
    </row>
    <row r="26" spans="2:7" s="381" customFormat="1" ht="48" customHeight="1">
      <c r="B26" s="380"/>
      <c r="C26" s="380"/>
      <c r="D26" s="380">
        <v>2320</v>
      </c>
      <c r="E26" s="251" t="s">
        <v>4</v>
      </c>
      <c r="F26" s="332"/>
      <c r="G26" s="332">
        <v>2411</v>
      </c>
    </row>
    <row r="27" spans="2:7" s="79" customFormat="1" ht="17.25" customHeight="1">
      <c r="B27" s="80">
        <v>855</v>
      </c>
      <c r="C27" s="80"/>
      <c r="D27" s="80"/>
      <c r="E27" s="81" t="s">
        <v>128</v>
      </c>
      <c r="F27" s="82">
        <f>SUM(F28,F31,F33)</f>
        <v>634089</v>
      </c>
      <c r="G27" s="82">
        <f>SUM(G28,G31,G33)</f>
        <v>760894</v>
      </c>
    </row>
    <row r="28" spans="2:7" s="86" customFormat="1" ht="17.25" customHeight="1">
      <c r="B28" s="83"/>
      <c r="C28" s="83">
        <v>85508</v>
      </c>
      <c r="D28" s="83"/>
      <c r="E28" s="84" t="s">
        <v>132</v>
      </c>
      <c r="F28" s="85">
        <f>SUM(F29)</f>
        <v>320977</v>
      </c>
      <c r="G28" s="85">
        <f>SUM(G29:G30)</f>
        <v>513575</v>
      </c>
    </row>
    <row r="29" spans="2:7" s="381" customFormat="1" ht="50.25" customHeight="1">
      <c r="B29" s="380"/>
      <c r="C29" s="380"/>
      <c r="D29" s="380">
        <v>2320</v>
      </c>
      <c r="E29" s="251" t="s">
        <v>212</v>
      </c>
      <c r="F29" s="332">
        <v>320977</v>
      </c>
      <c r="G29" s="332"/>
    </row>
    <row r="30" spans="2:7" s="381" customFormat="1" ht="47.25" customHeight="1">
      <c r="B30" s="380"/>
      <c r="C30" s="380"/>
      <c r="D30" s="380">
        <v>2320</v>
      </c>
      <c r="E30" s="251" t="s">
        <v>4</v>
      </c>
      <c r="F30" s="332"/>
      <c r="G30" s="332">
        <v>513575</v>
      </c>
    </row>
    <row r="31" spans="2:7" s="86" customFormat="1" ht="17.25" customHeight="1">
      <c r="B31" s="83"/>
      <c r="C31" s="83">
        <v>85509</v>
      </c>
      <c r="D31" s="83"/>
      <c r="E31" s="84" t="s">
        <v>213</v>
      </c>
      <c r="F31" s="85"/>
      <c r="G31" s="85">
        <f>SUM(G32)</f>
        <v>142822</v>
      </c>
    </row>
    <row r="32" spans="2:7" s="381" customFormat="1" ht="52.5" customHeight="1">
      <c r="B32" s="380"/>
      <c r="C32" s="380"/>
      <c r="D32" s="380">
        <v>2330</v>
      </c>
      <c r="E32" s="251" t="s">
        <v>5</v>
      </c>
      <c r="F32" s="332"/>
      <c r="G32" s="332">
        <v>142822</v>
      </c>
    </row>
    <row r="33" spans="2:7" s="86" customFormat="1" ht="17.25" customHeight="1">
      <c r="B33" s="83"/>
      <c r="C33" s="83">
        <v>85510</v>
      </c>
      <c r="D33" s="83"/>
      <c r="E33" s="84" t="s">
        <v>135</v>
      </c>
      <c r="F33" s="85">
        <f>SUM(F34)</f>
        <v>313112</v>
      </c>
      <c r="G33" s="85">
        <f>SUM(G35:G35)</f>
        <v>104497</v>
      </c>
    </row>
    <row r="34" spans="2:7" s="381" customFormat="1" ht="48" customHeight="1">
      <c r="B34" s="380"/>
      <c r="C34" s="380"/>
      <c r="D34" s="380">
        <v>2320</v>
      </c>
      <c r="E34" s="251" t="s">
        <v>212</v>
      </c>
      <c r="F34" s="332">
        <v>313112</v>
      </c>
      <c r="G34" s="332"/>
    </row>
    <row r="35" spans="2:7" s="381" customFormat="1" ht="48.75" customHeight="1">
      <c r="B35" s="380"/>
      <c r="C35" s="380"/>
      <c r="D35" s="380">
        <v>2320</v>
      </c>
      <c r="E35" s="251" t="s">
        <v>4</v>
      </c>
      <c r="F35" s="332"/>
      <c r="G35" s="332">
        <v>104497</v>
      </c>
    </row>
    <row r="36" spans="2:7" s="79" customFormat="1" ht="17.25" customHeight="1">
      <c r="B36" s="80">
        <v>900</v>
      </c>
      <c r="C36" s="80"/>
      <c r="D36" s="80"/>
      <c r="E36" s="81" t="s">
        <v>214</v>
      </c>
      <c r="F36" s="82"/>
      <c r="G36" s="82">
        <f>SUM(G37)</f>
        <v>10000</v>
      </c>
    </row>
    <row r="37" spans="2:7" s="86" customFormat="1" ht="17.25" customHeight="1">
      <c r="B37" s="83"/>
      <c r="C37" s="83">
        <v>90095</v>
      </c>
      <c r="D37" s="83"/>
      <c r="E37" s="84" t="s">
        <v>197</v>
      </c>
      <c r="F37" s="85"/>
      <c r="G37" s="85">
        <f>SUM(G38)</f>
        <v>10000</v>
      </c>
    </row>
    <row r="38" spans="2:7" s="86" customFormat="1" ht="49.5" customHeight="1">
      <c r="B38" s="96"/>
      <c r="C38" s="96"/>
      <c r="D38" s="96">
        <v>2710</v>
      </c>
      <c r="E38" s="97" t="s">
        <v>6</v>
      </c>
      <c r="F38" s="108"/>
      <c r="G38" s="98">
        <v>10000</v>
      </c>
    </row>
    <row r="39" spans="2:7" s="79" customFormat="1" ht="17.25" customHeight="1">
      <c r="B39" s="80">
        <v>921</v>
      </c>
      <c r="C39" s="80"/>
      <c r="D39" s="80"/>
      <c r="E39" s="81" t="s">
        <v>215</v>
      </c>
      <c r="F39" s="82">
        <f>SUM(F40)</f>
        <v>140000</v>
      </c>
      <c r="G39" s="82">
        <f>SUM(G40)</f>
        <v>0</v>
      </c>
    </row>
    <row r="40" spans="2:7" s="86" customFormat="1" ht="17.25" customHeight="1">
      <c r="B40" s="83"/>
      <c r="C40" s="83">
        <v>92116</v>
      </c>
      <c r="D40" s="83"/>
      <c r="E40" s="84" t="s">
        <v>216</v>
      </c>
      <c r="F40" s="85">
        <f>SUM(F41)</f>
        <v>140000</v>
      </c>
      <c r="G40" s="85"/>
    </row>
    <row r="41" spans="2:7" s="107" customFormat="1" ht="48.75" customHeight="1">
      <c r="B41" s="106"/>
      <c r="C41" s="106"/>
      <c r="D41" s="106">
        <v>2710</v>
      </c>
      <c r="E41" s="62" t="s">
        <v>217</v>
      </c>
      <c r="F41" s="98">
        <v>140000</v>
      </c>
      <c r="G41" s="98"/>
    </row>
    <row r="42" spans="2:7" s="86" customFormat="1" ht="24.75" customHeight="1">
      <c r="B42" s="546" t="s">
        <v>218</v>
      </c>
      <c r="C42" s="547"/>
      <c r="D42" s="547"/>
      <c r="E42" s="548"/>
      <c r="F42" s="109">
        <f>SUM(F5,F14,F17,F23,F27,F36,F39)</f>
        <v>1831371</v>
      </c>
      <c r="G42" s="109">
        <f>SUM(G5,G14,G11,G17,G23,G27,G36,G39)</f>
        <v>1079781</v>
      </c>
    </row>
  </sheetData>
  <sheetProtection algorithmName="SHA-512" hashValue="EddTuOZ92237kDKBwXFErxtGE7oiZCTpYHjqEQBbKU57XanbVVf5d1cvI1mdCfROnbYpQONUqNqIhqKEn/oiRQ==" saltValue="scUR30kdlbKIRT/sQfZyJA==" spinCount="100000" sheet="1" objects="1" scenarios="1" formatColumns="0" formatRows="0"/>
  <mergeCells count="2">
    <mergeCell ref="B2:G2"/>
    <mergeCell ref="B42:E42"/>
  </mergeCells>
  <pageMargins left="0.86614173228346458" right="0.47244094488188981" top="1.5354330708661419" bottom="1.4960629921259843" header="0.70866141732283472" footer="0.51181102362204722"/>
  <pageSetup paperSize="9" scale="85" orientation="portrait" horizontalDpi="4294967295" verticalDpi="300" r:id="rId1"/>
  <headerFooter differentFirst="1" alignWithMargins="0">
    <oddFooter>&amp;C&amp;P</oddFooter>
    <firstHeader>&amp;R&amp;10Tabela Nr 7
do uchwały Nr ................
Rady Powiatu  Otwockiego
z dnia .....................</firstHeader>
    <firstFooter>&amp;C&amp;P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J36"/>
  <sheetViews>
    <sheetView workbookViewId="0">
      <selection activeCell="M40" sqref="M40"/>
    </sheetView>
  </sheetViews>
  <sheetFormatPr defaultColWidth="9.33203125" defaultRowHeight="12"/>
  <cols>
    <col min="1" max="1" width="4" style="341" customWidth="1"/>
    <col min="2" max="2" width="7.33203125" style="344" customWidth="1"/>
    <col min="3" max="3" width="10" style="344" customWidth="1"/>
    <col min="4" max="4" width="10.1640625" style="344" customWidth="1"/>
    <col min="5" max="5" width="55" style="341" customWidth="1"/>
    <col min="6" max="6" width="17.1640625" style="341" customWidth="1"/>
    <col min="7" max="7" width="17" style="341" customWidth="1"/>
    <col min="8" max="16384" width="9.33203125" style="341"/>
  </cols>
  <sheetData>
    <row r="3" spans="2:7" ht="41.25" customHeight="1">
      <c r="B3" s="544" t="s">
        <v>510</v>
      </c>
      <c r="C3" s="544"/>
      <c r="D3" s="544"/>
      <c r="E3" s="544"/>
      <c r="F3" s="544"/>
      <c r="G3" s="544"/>
    </row>
    <row r="4" spans="2:7" s="342" customFormat="1" ht="21.75" customHeight="1">
      <c r="B4" s="431" t="s">
        <v>0</v>
      </c>
      <c r="C4" s="431" t="s">
        <v>1</v>
      </c>
      <c r="D4" s="431" t="s">
        <v>200</v>
      </c>
      <c r="E4" s="431" t="s">
        <v>201</v>
      </c>
      <c r="F4" s="431" t="s">
        <v>202</v>
      </c>
      <c r="G4" s="431" t="s">
        <v>203</v>
      </c>
    </row>
    <row r="5" spans="2:7" s="343" customFormat="1" ht="20.100000000000001" customHeight="1">
      <c r="B5" s="432">
        <v>900</v>
      </c>
      <c r="C5" s="432"/>
      <c r="D5" s="432"/>
      <c r="E5" s="433" t="s">
        <v>214</v>
      </c>
      <c r="F5" s="434">
        <f>SUM(F6)</f>
        <v>338000</v>
      </c>
      <c r="G5" s="434"/>
    </row>
    <row r="6" spans="2:7" s="342" customFormat="1" ht="32.25" customHeight="1">
      <c r="B6" s="456"/>
      <c r="C6" s="456">
        <v>90019</v>
      </c>
      <c r="D6" s="456"/>
      <c r="E6" s="457" t="s">
        <v>511</v>
      </c>
      <c r="F6" s="458">
        <f>SUM(F7)</f>
        <v>338000</v>
      </c>
      <c r="G6" s="458"/>
    </row>
    <row r="7" spans="2:7" s="342" customFormat="1" ht="21.75" customHeight="1">
      <c r="B7" s="459"/>
      <c r="C7" s="459"/>
      <c r="D7" s="460" t="s">
        <v>512</v>
      </c>
      <c r="E7" s="461" t="s">
        <v>513</v>
      </c>
      <c r="F7" s="462">
        <f>320000+18000</f>
        <v>338000</v>
      </c>
      <c r="G7" s="463"/>
    </row>
    <row r="8" spans="2:7" s="343" customFormat="1" ht="20.100000000000001" customHeight="1">
      <c r="B8" s="435" t="s">
        <v>2</v>
      </c>
      <c r="C8" s="436"/>
      <c r="D8" s="435"/>
      <c r="E8" s="437" t="s">
        <v>70</v>
      </c>
      <c r="F8" s="438">
        <f>F9</f>
        <v>0</v>
      </c>
      <c r="G8" s="438">
        <f>G9</f>
        <v>70000</v>
      </c>
    </row>
    <row r="9" spans="2:7" s="342" customFormat="1" ht="21.75" customHeight="1">
      <c r="B9" s="456"/>
      <c r="C9" s="464" t="s">
        <v>50</v>
      </c>
      <c r="D9" s="464"/>
      <c r="E9" s="457" t="s">
        <v>514</v>
      </c>
      <c r="F9" s="458">
        <f>F10</f>
        <v>0</v>
      </c>
      <c r="G9" s="458">
        <f>G10</f>
        <v>70000</v>
      </c>
    </row>
    <row r="10" spans="2:7" s="342" customFormat="1" ht="56.25" customHeight="1">
      <c r="B10" s="459"/>
      <c r="C10" s="459"/>
      <c r="D10" s="460" t="s">
        <v>51</v>
      </c>
      <c r="E10" s="465" t="s">
        <v>57</v>
      </c>
      <c r="F10" s="462"/>
      <c r="G10" s="463">
        <v>70000</v>
      </c>
    </row>
    <row r="11" spans="2:7" s="343" customFormat="1" ht="20.100000000000001" customHeight="1">
      <c r="B11" s="435" t="s">
        <v>167</v>
      </c>
      <c r="C11" s="436"/>
      <c r="D11" s="435"/>
      <c r="E11" s="440" t="s">
        <v>102</v>
      </c>
      <c r="F11" s="438">
        <f>F12+F14</f>
        <v>0</v>
      </c>
      <c r="G11" s="438">
        <f>G12+G14</f>
        <v>13247</v>
      </c>
    </row>
    <row r="12" spans="2:7" s="342" customFormat="1" ht="19.5" customHeight="1">
      <c r="B12" s="464"/>
      <c r="C12" s="456">
        <v>75011</v>
      </c>
      <c r="D12" s="464"/>
      <c r="E12" s="466" t="s">
        <v>103</v>
      </c>
      <c r="F12" s="458">
        <f>F13</f>
        <v>0</v>
      </c>
      <c r="G12" s="458">
        <f>G13</f>
        <v>13247</v>
      </c>
    </row>
    <row r="13" spans="2:7" s="471" customFormat="1" ht="52.5" customHeight="1">
      <c r="B13" s="467"/>
      <c r="C13" s="468"/>
      <c r="D13" s="467" t="s">
        <v>507</v>
      </c>
      <c r="E13" s="469" t="s">
        <v>372</v>
      </c>
      <c r="F13" s="470"/>
      <c r="G13" s="470">
        <v>13247</v>
      </c>
    </row>
    <row r="14" spans="2:7" s="342" customFormat="1" ht="19.5" customHeight="1">
      <c r="B14" s="456"/>
      <c r="C14" s="464" t="s">
        <v>515</v>
      </c>
      <c r="D14" s="464"/>
      <c r="E14" s="472" t="s">
        <v>209</v>
      </c>
      <c r="F14" s="458">
        <v>0</v>
      </c>
      <c r="G14" s="458">
        <f>SUM(G15:G16)</f>
        <v>0</v>
      </c>
    </row>
    <row r="15" spans="2:7" s="476" customFormat="1" ht="39.75" customHeight="1">
      <c r="B15" s="473"/>
      <c r="C15" s="473"/>
      <c r="D15" s="474" t="s">
        <v>516</v>
      </c>
      <c r="E15" s="465" t="s">
        <v>517</v>
      </c>
      <c r="F15" s="475"/>
      <c r="G15" s="475">
        <v>0</v>
      </c>
    </row>
    <row r="16" spans="2:7" s="444" customFormat="1" ht="54" customHeight="1">
      <c r="B16" s="441"/>
      <c r="C16" s="441"/>
      <c r="D16" s="442" t="s">
        <v>516</v>
      </c>
      <c r="E16" s="439" t="s">
        <v>378</v>
      </c>
      <c r="F16" s="443"/>
      <c r="G16" s="443">
        <v>0</v>
      </c>
    </row>
    <row r="17" spans="2:7" s="449" customFormat="1" ht="20.100000000000001" customHeight="1">
      <c r="B17" s="445">
        <v>801</v>
      </c>
      <c r="C17" s="445"/>
      <c r="D17" s="446"/>
      <c r="E17" s="447" t="s">
        <v>525</v>
      </c>
      <c r="F17" s="448"/>
      <c r="G17" s="448">
        <f>G18</f>
        <v>42039</v>
      </c>
    </row>
    <row r="18" spans="2:7" s="449" customFormat="1" ht="20.25" customHeight="1">
      <c r="B18" s="473"/>
      <c r="C18" s="473">
        <v>80115</v>
      </c>
      <c r="D18" s="474"/>
      <c r="E18" s="465" t="s">
        <v>526</v>
      </c>
      <c r="F18" s="475"/>
      <c r="G18" s="475">
        <f>G19</f>
        <v>42039</v>
      </c>
    </row>
    <row r="19" spans="2:7" s="444" customFormat="1" ht="37.5" customHeight="1">
      <c r="B19" s="441"/>
      <c r="C19" s="441"/>
      <c r="D19" s="442"/>
      <c r="E19" s="439" t="s">
        <v>492</v>
      </c>
      <c r="F19" s="443"/>
      <c r="G19" s="443">
        <v>42039</v>
      </c>
    </row>
    <row r="20" spans="2:7" s="449" customFormat="1" ht="20.100000000000001" customHeight="1">
      <c r="B20" s="445">
        <v>852</v>
      </c>
      <c r="C20" s="445"/>
      <c r="D20" s="446"/>
      <c r="E20" s="447" t="s">
        <v>122</v>
      </c>
      <c r="F20" s="448">
        <f>F21</f>
        <v>0</v>
      </c>
      <c r="G20" s="448">
        <f>G21</f>
        <v>122000</v>
      </c>
    </row>
    <row r="21" spans="2:7" s="476" customFormat="1" ht="22.9" customHeight="1">
      <c r="B21" s="477"/>
      <c r="C21" s="477">
        <v>85202</v>
      </c>
      <c r="D21" s="478"/>
      <c r="E21" s="479" t="s">
        <v>518</v>
      </c>
      <c r="F21" s="480">
        <f>SUM(F22:F23)</f>
        <v>0</v>
      </c>
      <c r="G21" s="480">
        <f>SUM(G22:G23)</f>
        <v>122000</v>
      </c>
    </row>
    <row r="22" spans="2:7" s="476" customFormat="1" ht="45.75" customHeight="1">
      <c r="B22" s="473"/>
      <c r="C22" s="473"/>
      <c r="D22" s="474" t="s">
        <v>516</v>
      </c>
      <c r="E22" s="465" t="s">
        <v>499</v>
      </c>
      <c r="F22" s="475"/>
      <c r="G22" s="475">
        <v>72000</v>
      </c>
    </row>
    <row r="23" spans="2:7" s="476" customFormat="1" ht="23.25" customHeight="1">
      <c r="B23" s="473"/>
      <c r="C23" s="473"/>
      <c r="D23" s="474" t="s">
        <v>516</v>
      </c>
      <c r="E23" s="465" t="s">
        <v>414</v>
      </c>
      <c r="F23" s="475"/>
      <c r="G23" s="475">
        <v>50000</v>
      </c>
    </row>
    <row r="24" spans="2:7" s="449" customFormat="1" ht="20.100000000000001" customHeight="1">
      <c r="B24" s="445">
        <v>854</v>
      </c>
      <c r="C24" s="445"/>
      <c r="D24" s="446"/>
      <c r="E24" s="447" t="s">
        <v>519</v>
      </c>
      <c r="F24" s="448">
        <f>F25</f>
        <v>0</v>
      </c>
      <c r="G24" s="448">
        <f>G25</f>
        <v>20000</v>
      </c>
    </row>
    <row r="25" spans="2:7" s="476" customFormat="1" ht="21.75" customHeight="1">
      <c r="B25" s="477"/>
      <c r="C25" s="477">
        <v>85403</v>
      </c>
      <c r="D25" s="478"/>
      <c r="E25" s="479" t="s">
        <v>520</v>
      </c>
      <c r="F25" s="480">
        <f>F26</f>
        <v>0</v>
      </c>
      <c r="G25" s="480">
        <f>G26</f>
        <v>20000</v>
      </c>
    </row>
    <row r="26" spans="2:7" s="476" customFormat="1" ht="34.5" customHeight="1">
      <c r="B26" s="473"/>
      <c r="C26" s="473"/>
      <c r="D26" s="474" t="s">
        <v>507</v>
      </c>
      <c r="E26" s="481" t="s">
        <v>428</v>
      </c>
      <c r="F26" s="475"/>
      <c r="G26" s="475">
        <v>20000</v>
      </c>
    </row>
    <row r="27" spans="2:7" s="444" customFormat="1" ht="20.100000000000001" customHeight="1">
      <c r="B27" s="450">
        <v>855</v>
      </c>
      <c r="C27" s="450"/>
      <c r="D27" s="451"/>
      <c r="E27" s="452" t="s">
        <v>128</v>
      </c>
      <c r="F27" s="453">
        <f>F28</f>
        <v>0</v>
      </c>
      <c r="G27" s="453">
        <f>G28</f>
        <v>57000</v>
      </c>
    </row>
    <row r="28" spans="2:7" s="476" customFormat="1" ht="22.9" customHeight="1">
      <c r="B28" s="477"/>
      <c r="C28" s="477">
        <v>85510</v>
      </c>
      <c r="D28" s="478"/>
      <c r="E28" s="479" t="s">
        <v>135</v>
      </c>
      <c r="F28" s="480">
        <f>F29</f>
        <v>0</v>
      </c>
      <c r="G28" s="480">
        <f>G29</f>
        <v>57000</v>
      </c>
    </row>
    <row r="29" spans="2:7" s="476" customFormat="1" ht="45.75" customHeight="1">
      <c r="B29" s="473"/>
      <c r="C29" s="473"/>
      <c r="D29" s="474" t="s">
        <v>516</v>
      </c>
      <c r="E29" s="481" t="s">
        <v>434</v>
      </c>
      <c r="F29" s="475"/>
      <c r="G29" s="475">
        <v>57000</v>
      </c>
    </row>
    <row r="30" spans="2:7" s="444" customFormat="1" ht="20.100000000000001" customHeight="1">
      <c r="B30" s="445">
        <v>900</v>
      </c>
      <c r="C30" s="450"/>
      <c r="D30" s="451"/>
      <c r="E30" s="454" t="s">
        <v>214</v>
      </c>
      <c r="F30" s="453">
        <f>F31</f>
        <v>0</v>
      </c>
      <c r="G30" s="453">
        <f>G31</f>
        <v>13714</v>
      </c>
    </row>
    <row r="31" spans="2:7" s="476" customFormat="1" ht="19.5" customHeight="1">
      <c r="B31" s="477"/>
      <c r="C31" s="477">
        <v>90095</v>
      </c>
      <c r="D31" s="478"/>
      <c r="E31" s="466" t="s">
        <v>197</v>
      </c>
      <c r="F31" s="480">
        <f>SUM(F33:F34)</f>
        <v>0</v>
      </c>
      <c r="G31" s="480">
        <f>SUM(G32:G34)</f>
        <v>13714</v>
      </c>
    </row>
    <row r="32" spans="2:7" s="476" customFormat="1" ht="44.25" customHeight="1">
      <c r="B32" s="482"/>
      <c r="C32" s="482"/>
      <c r="D32" s="483" t="s">
        <v>521</v>
      </c>
      <c r="E32" s="484" t="s">
        <v>6</v>
      </c>
      <c r="F32" s="485"/>
      <c r="G32" s="485">
        <v>10000</v>
      </c>
    </row>
    <row r="33" spans="2:10" s="476" customFormat="1" ht="20.100000000000001" customHeight="1">
      <c r="B33" s="473"/>
      <c r="C33" s="473"/>
      <c r="D33" s="474" t="s">
        <v>522</v>
      </c>
      <c r="E33" s="465" t="s">
        <v>523</v>
      </c>
      <c r="F33" s="475"/>
      <c r="G33" s="475">
        <v>1500</v>
      </c>
    </row>
    <row r="34" spans="2:10" s="476" customFormat="1" ht="20.100000000000001" customHeight="1">
      <c r="B34" s="473"/>
      <c r="C34" s="473"/>
      <c r="D34" s="474" t="s">
        <v>138</v>
      </c>
      <c r="E34" s="465" t="s">
        <v>73</v>
      </c>
      <c r="F34" s="475"/>
      <c r="G34" s="475">
        <v>2214</v>
      </c>
    </row>
    <row r="35" spans="2:10" s="342" customFormat="1" ht="23.25" customHeight="1">
      <c r="B35" s="549" t="s">
        <v>218</v>
      </c>
      <c r="C35" s="549"/>
      <c r="D35" s="549"/>
      <c r="E35" s="549"/>
      <c r="F35" s="438">
        <f>SUM(F5,F11)</f>
        <v>338000</v>
      </c>
      <c r="G35" s="438">
        <f>G5+G8+G11+G17+G20+G24+G27+G30</f>
        <v>338000</v>
      </c>
    </row>
    <row r="36" spans="2:10">
      <c r="J36" s="455"/>
    </row>
  </sheetData>
  <sheetProtection algorithmName="SHA-512" hashValue="QxW9I+AHo+zNihEGsZQe9++a/njpqF+FOMLqnQqpCnUBToJKjnX0peAYuLVoTofGAxn6dbQf1WaLTkQJuRtWZw==" saltValue="+NIkeFLL51fEau020RXQWQ==" spinCount="100000" sheet="1" objects="1" scenarios="1" formatColumns="0" formatRows="0"/>
  <autoFilter ref="B3:B38"/>
  <mergeCells count="2">
    <mergeCell ref="B3:G3"/>
    <mergeCell ref="B35:E35"/>
  </mergeCells>
  <pageMargins left="0.82677165354330717" right="0.43307086614173229" top="1.0629921259842521" bottom="0.35433070866141736" header="0.55118110236220474" footer="0.31496062992125984"/>
  <pageSetup paperSize="9" scale="90" orientation="portrait" horizontalDpi="4294967294" r:id="rId1"/>
  <headerFooter differentFirst="1" alignWithMargins="0">
    <firstHeader>&amp;RTabela Nr 8
do uchwały Nr ...............
Rady Powiatu  Otwockiego
z dnia .........................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64"/>
  <sheetViews>
    <sheetView view="pageBreakPreview" zoomScaleNormal="100" zoomScaleSheetLayoutView="100" workbookViewId="0">
      <pane ySplit="5" topLeftCell="A6" activePane="bottomLeft" state="frozen"/>
      <selection activeCell="I16" sqref="I16"/>
      <selection pane="bottomLeft" activeCell="A49" sqref="A49:XFD49"/>
    </sheetView>
  </sheetViews>
  <sheetFormatPr defaultColWidth="9.33203125" defaultRowHeight="12"/>
  <cols>
    <col min="1" max="1" width="6.5" style="36" customWidth="1"/>
    <col min="2" max="2" width="10.83203125" style="36" customWidth="1"/>
    <col min="3" max="3" width="7.33203125" style="36" customWidth="1"/>
    <col min="4" max="4" width="61.33203125" style="31" customWidth="1"/>
    <col min="5" max="6" width="15.6640625" style="31" customWidth="1"/>
    <col min="7" max="7" width="21.83203125" style="31" customWidth="1"/>
    <col min="8" max="8" width="20.5" style="31" customWidth="1"/>
    <col min="9" max="10" width="9.33203125" style="31"/>
    <col min="11" max="11" width="10.33203125" style="31" bestFit="1" customWidth="1"/>
    <col min="12" max="16384" width="9.33203125" style="31"/>
  </cols>
  <sheetData>
    <row r="1" spans="1:8" ht="9" customHeight="1">
      <c r="F1" s="37"/>
      <c r="G1" s="37"/>
    </row>
    <row r="2" spans="1:8" s="39" customFormat="1" ht="33" customHeight="1">
      <c r="A2" s="550" t="s">
        <v>229</v>
      </c>
      <c r="B2" s="550"/>
      <c r="C2" s="550"/>
      <c r="D2" s="550"/>
      <c r="E2" s="550"/>
      <c r="F2" s="550"/>
      <c r="G2" s="550"/>
      <c r="H2" s="38"/>
    </row>
    <row r="3" spans="1:8" ht="10.5" customHeight="1"/>
    <row r="4" spans="1:8" ht="24" customHeight="1">
      <c r="A4" s="551" t="s">
        <v>0</v>
      </c>
      <c r="B4" s="551" t="s">
        <v>1</v>
      </c>
      <c r="C4" s="551" t="s">
        <v>38</v>
      </c>
      <c r="D4" s="551" t="s">
        <v>13</v>
      </c>
      <c r="E4" s="551" t="s">
        <v>40</v>
      </c>
      <c r="F4" s="551"/>
      <c r="G4" s="551"/>
    </row>
    <row r="5" spans="1:8" ht="24" customHeight="1">
      <c r="A5" s="551"/>
      <c r="B5" s="551"/>
      <c r="C5" s="551"/>
      <c r="D5" s="551"/>
      <c r="E5" s="40" t="s">
        <v>41</v>
      </c>
      <c r="F5" s="40" t="s">
        <v>42</v>
      </c>
      <c r="G5" s="40" t="s">
        <v>43</v>
      </c>
    </row>
    <row r="6" spans="1:8" s="42" customFormat="1" ht="12.75" customHeight="1">
      <c r="A6" s="41">
        <v>1</v>
      </c>
      <c r="B6" s="41">
        <v>2</v>
      </c>
      <c r="C6" s="41">
        <v>3</v>
      </c>
      <c r="D6" s="41">
        <v>4</v>
      </c>
      <c r="E6" s="41">
        <v>5</v>
      </c>
      <c r="F6" s="41">
        <v>6</v>
      </c>
      <c r="G6" s="41">
        <v>7</v>
      </c>
    </row>
    <row r="7" spans="1:8" ht="39" customHeight="1">
      <c r="A7" s="552" t="s">
        <v>44</v>
      </c>
      <c r="B7" s="552"/>
      <c r="C7" s="552"/>
      <c r="D7" s="43" t="s">
        <v>39</v>
      </c>
      <c r="E7" s="44" t="s">
        <v>45</v>
      </c>
      <c r="F7" s="44" t="s">
        <v>45</v>
      </c>
      <c r="G7" s="44" t="s">
        <v>45</v>
      </c>
    </row>
    <row r="8" spans="1:8" s="416" customFormat="1" ht="52.5" customHeight="1">
      <c r="A8" s="408">
        <v>600</v>
      </c>
      <c r="B8" s="397">
        <v>60004</v>
      </c>
      <c r="C8" s="408">
        <v>2310</v>
      </c>
      <c r="D8" s="97" t="s">
        <v>3</v>
      </c>
      <c r="E8" s="400"/>
      <c r="F8" s="400"/>
      <c r="G8" s="409">
        <v>280000</v>
      </c>
    </row>
    <row r="9" spans="1:8" s="421" customFormat="1" ht="57" customHeight="1">
      <c r="A9" s="403">
        <v>600</v>
      </c>
      <c r="B9" s="403">
        <v>60014</v>
      </c>
      <c r="C9" s="403">
        <v>6610</v>
      </c>
      <c r="D9" s="420" t="s">
        <v>65</v>
      </c>
      <c r="E9" s="411"/>
      <c r="F9" s="411"/>
      <c r="G9" s="412">
        <v>0</v>
      </c>
    </row>
    <row r="10" spans="1:8" s="419" customFormat="1" ht="57" customHeight="1">
      <c r="A10" s="400">
        <v>630</v>
      </c>
      <c r="B10" s="400">
        <v>63003</v>
      </c>
      <c r="C10" s="400">
        <v>6300</v>
      </c>
      <c r="D10" s="410" t="s">
        <v>221</v>
      </c>
      <c r="E10" s="395"/>
      <c r="F10" s="395"/>
      <c r="G10" s="396">
        <v>10000</v>
      </c>
    </row>
    <row r="11" spans="1:8" s="416" customFormat="1" ht="57" customHeight="1">
      <c r="A11" s="399">
        <v>710</v>
      </c>
      <c r="B11" s="400">
        <v>71095</v>
      </c>
      <c r="C11" s="399">
        <v>6639</v>
      </c>
      <c r="D11" s="97" t="s">
        <v>66</v>
      </c>
      <c r="E11" s="395"/>
      <c r="F11" s="395"/>
      <c r="G11" s="396">
        <f>97666-8000-81190</f>
        <v>8476</v>
      </c>
    </row>
    <row r="12" spans="1:8" s="416" customFormat="1" ht="57" customHeight="1">
      <c r="A12" s="397">
        <v>750</v>
      </c>
      <c r="B12" s="397">
        <v>75095</v>
      </c>
      <c r="C12" s="399">
        <v>2710</v>
      </c>
      <c r="D12" s="394" t="s">
        <v>6</v>
      </c>
      <c r="E12" s="395"/>
      <c r="F12" s="395"/>
      <c r="G12" s="396">
        <v>8000</v>
      </c>
    </row>
    <row r="13" spans="1:8" s="423" customFormat="1" ht="58.5" customHeight="1">
      <c r="A13" s="397">
        <v>750</v>
      </c>
      <c r="B13" s="397">
        <v>75095</v>
      </c>
      <c r="C13" s="397">
        <v>6639</v>
      </c>
      <c r="D13" s="97" t="s">
        <v>66</v>
      </c>
      <c r="E13" s="400"/>
      <c r="F13" s="400"/>
      <c r="G13" s="413">
        <v>0</v>
      </c>
    </row>
    <row r="14" spans="1:8" s="416" customFormat="1" ht="45" customHeight="1">
      <c r="A14" s="399">
        <v>754</v>
      </c>
      <c r="B14" s="400">
        <v>75404</v>
      </c>
      <c r="C14" s="399">
        <v>2300</v>
      </c>
      <c r="D14" s="414" t="s">
        <v>58</v>
      </c>
      <c r="E14" s="395"/>
      <c r="F14" s="395"/>
      <c r="G14" s="396">
        <f>18000+12253</f>
        <v>30253</v>
      </c>
    </row>
    <row r="15" spans="1:8" s="416" customFormat="1" ht="41.25" customHeight="1">
      <c r="A15" s="399">
        <v>754</v>
      </c>
      <c r="B15" s="400">
        <v>75404</v>
      </c>
      <c r="C15" s="399">
        <v>6170</v>
      </c>
      <c r="D15" s="394" t="s">
        <v>46</v>
      </c>
      <c r="E15" s="395"/>
      <c r="F15" s="395"/>
      <c r="G15" s="396">
        <v>131610</v>
      </c>
    </row>
    <row r="16" spans="1:8" s="422" customFormat="1" ht="41.25" customHeight="1">
      <c r="A16" s="399">
        <v>754</v>
      </c>
      <c r="B16" s="400">
        <v>75410</v>
      </c>
      <c r="C16" s="399">
        <v>2300</v>
      </c>
      <c r="D16" s="394" t="s">
        <v>58</v>
      </c>
      <c r="E16" s="395"/>
      <c r="F16" s="395"/>
      <c r="G16" s="396">
        <f>30000+20000</f>
        <v>50000</v>
      </c>
    </row>
    <row r="17" spans="1:12" s="416" customFormat="1" ht="38.25" customHeight="1">
      <c r="A17" s="399">
        <v>754</v>
      </c>
      <c r="B17" s="400">
        <v>75410</v>
      </c>
      <c r="C17" s="399">
        <v>6170</v>
      </c>
      <c r="D17" s="394" t="s">
        <v>46</v>
      </c>
      <c r="E17" s="395"/>
      <c r="F17" s="395"/>
      <c r="G17" s="396">
        <v>0</v>
      </c>
    </row>
    <row r="18" spans="1:12" s="416" customFormat="1" ht="51.75" customHeight="1">
      <c r="A18" s="399">
        <v>853</v>
      </c>
      <c r="B18" s="400">
        <v>85311</v>
      </c>
      <c r="C18" s="399">
        <v>2320</v>
      </c>
      <c r="D18" s="394" t="s">
        <v>4</v>
      </c>
      <c r="E18" s="398"/>
      <c r="F18" s="398"/>
      <c r="G18" s="415">
        <v>2411</v>
      </c>
      <c r="H18" s="428"/>
      <c r="I18" s="428"/>
      <c r="J18" s="428"/>
      <c r="K18" s="428"/>
      <c r="L18" s="428"/>
    </row>
    <row r="19" spans="1:12" s="422" customFormat="1" ht="51.75" customHeight="1">
      <c r="A19" s="402">
        <v>855</v>
      </c>
      <c r="B19" s="403">
        <v>85508</v>
      </c>
      <c r="C19" s="402">
        <v>2320</v>
      </c>
      <c r="D19" s="404" t="s">
        <v>4</v>
      </c>
      <c r="E19" s="405"/>
      <c r="F19" s="405"/>
      <c r="G19" s="429">
        <v>513575</v>
      </c>
      <c r="H19" s="430"/>
      <c r="I19" s="430"/>
      <c r="J19" s="430"/>
      <c r="K19" s="430"/>
      <c r="L19" s="430"/>
    </row>
    <row r="20" spans="1:12" s="422" customFormat="1" ht="47.25" customHeight="1">
      <c r="A20" s="402">
        <v>855</v>
      </c>
      <c r="B20" s="403">
        <v>85509</v>
      </c>
      <c r="C20" s="402">
        <v>2330</v>
      </c>
      <c r="D20" s="404" t="s">
        <v>5</v>
      </c>
      <c r="E20" s="405"/>
      <c r="F20" s="405"/>
      <c r="G20" s="429">
        <v>142822</v>
      </c>
      <c r="H20" s="430"/>
      <c r="I20" s="430"/>
      <c r="J20" s="430"/>
      <c r="K20" s="430"/>
      <c r="L20" s="430"/>
    </row>
    <row r="21" spans="1:12" s="422" customFormat="1" ht="51.75" customHeight="1">
      <c r="A21" s="402">
        <v>855</v>
      </c>
      <c r="B21" s="403">
        <v>85510</v>
      </c>
      <c r="C21" s="402">
        <v>2320</v>
      </c>
      <c r="D21" s="404" t="s">
        <v>4</v>
      </c>
      <c r="E21" s="405"/>
      <c r="F21" s="405"/>
      <c r="G21" s="429">
        <v>104497</v>
      </c>
      <c r="H21" s="430"/>
      <c r="I21" s="430"/>
      <c r="J21" s="430"/>
      <c r="K21" s="430"/>
      <c r="L21" s="430"/>
    </row>
    <row r="22" spans="1:12" s="416" customFormat="1" ht="48" customHeight="1">
      <c r="A22" s="399">
        <v>900</v>
      </c>
      <c r="B22" s="400">
        <v>90095</v>
      </c>
      <c r="C22" s="399">
        <v>2710</v>
      </c>
      <c r="D22" s="394" t="s">
        <v>6</v>
      </c>
      <c r="E22" s="398"/>
      <c r="F22" s="398"/>
      <c r="G22" s="415">
        <v>10000</v>
      </c>
      <c r="H22" s="428"/>
      <c r="I22" s="428"/>
      <c r="J22" s="428"/>
      <c r="K22" s="428"/>
      <c r="L22" s="428"/>
    </row>
    <row r="23" spans="1:12" s="416" customFormat="1" ht="25.5" customHeight="1">
      <c r="A23" s="399">
        <v>921</v>
      </c>
      <c r="B23" s="400">
        <v>92116</v>
      </c>
      <c r="C23" s="399">
        <v>2480</v>
      </c>
      <c r="D23" s="394" t="s">
        <v>47</v>
      </c>
      <c r="E23" s="401">
        <v>685700</v>
      </c>
      <c r="F23" s="398"/>
      <c r="G23" s="415"/>
      <c r="H23" s="428"/>
      <c r="I23" s="428"/>
      <c r="J23" s="428"/>
      <c r="K23" s="428"/>
      <c r="L23" s="428"/>
    </row>
    <row r="24" spans="1:12" s="46" customFormat="1" ht="27" customHeight="1">
      <c r="A24" s="551" t="s">
        <v>48</v>
      </c>
      <c r="B24" s="551"/>
      <c r="C24" s="551"/>
      <c r="D24" s="551"/>
      <c r="E24" s="67">
        <f>SUM(E8:E23)</f>
        <v>685700</v>
      </c>
      <c r="F24" s="67">
        <f>SUM(F8:F23)</f>
        <v>0</v>
      </c>
      <c r="G24" s="67">
        <f>SUM(G8:G23)</f>
        <v>1291644</v>
      </c>
      <c r="I24" s="47"/>
    </row>
    <row r="25" spans="1:12" s="46" customFormat="1" ht="47.25" customHeight="1">
      <c r="A25" s="552" t="s">
        <v>49</v>
      </c>
      <c r="B25" s="552"/>
      <c r="C25" s="552"/>
      <c r="D25" s="43" t="s">
        <v>39</v>
      </c>
      <c r="E25" s="43" t="s">
        <v>45</v>
      </c>
      <c r="F25" s="43" t="s">
        <v>45</v>
      </c>
      <c r="G25" s="43" t="s">
        <v>45</v>
      </c>
      <c r="I25" s="47"/>
      <c r="K25" s="51"/>
    </row>
    <row r="26" spans="1:12" s="45" customFormat="1" ht="54" customHeight="1">
      <c r="A26" s="68" t="s">
        <v>2</v>
      </c>
      <c r="B26" s="69" t="s">
        <v>50</v>
      </c>
      <c r="C26" s="68" t="s">
        <v>51</v>
      </c>
      <c r="D26" s="66" t="s">
        <v>52</v>
      </c>
      <c r="E26" s="65"/>
      <c r="F26" s="65"/>
      <c r="G26" s="64">
        <v>70000</v>
      </c>
      <c r="I26" s="48"/>
      <c r="K26" s="36"/>
    </row>
    <row r="27" spans="1:12" s="58" customFormat="1" ht="54" customHeight="1">
      <c r="A27" s="61">
        <v>600</v>
      </c>
      <c r="B27" s="61">
        <v>60004</v>
      </c>
      <c r="C27" s="69" t="s">
        <v>51</v>
      </c>
      <c r="D27" s="70" t="s">
        <v>52</v>
      </c>
      <c r="E27" s="65"/>
      <c r="F27" s="65"/>
      <c r="G27" s="64">
        <v>0</v>
      </c>
      <c r="I27" s="59"/>
      <c r="K27" s="60"/>
    </row>
    <row r="28" spans="1:12" s="416" customFormat="1" ht="59.25" customHeight="1">
      <c r="A28" s="399">
        <v>630</v>
      </c>
      <c r="B28" s="400">
        <v>63003</v>
      </c>
      <c r="C28" s="399">
        <v>2360</v>
      </c>
      <c r="D28" s="394" t="s">
        <v>33</v>
      </c>
      <c r="E28" s="395"/>
      <c r="F28" s="395"/>
      <c r="G28" s="396">
        <v>10000</v>
      </c>
      <c r="I28" s="417"/>
      <c r="K28" s="418"/>
    </row>
    <row r="29" spans="1:12" s="416" customFormat="1" ht="63.75" customHeight="1">
      <c r="A29" s="399">
        <v>754</v>
      </c>
      <c r="B29" s="400">
        <v>75495</v>
      </c>
      <c r="C29" s="399">
        <v>2360</v>
      </c>
      <c r="D29" s="394" t="s">
        <v>33</v>
      </c>
      <c r="E29" s="395"/>
      <c r="F29" s="395"/>
      <c r="G29" s="396">
        <v>10000</v>
      </c>
      <c r="I29" s="417"/>
      <c r="K29" s="418"/>
    </row>
    <row r="30" spans="1:12" s="416" customFormat="1" ht="63.75" customHeight="1">
      <c r="A30" s="399">
        <v>755</v>
      </c>
      <c r="B30" s="400">
        <v>75515</v>
      </c>
      <c r="C30" s="399">
        <v>2360</v>
      </c>
      <c r="D30" s="394" t="s">
        <v>33</v>
      </c>
      <c r="E30" s="395"/>
      <c r="F30" s="395"/>
      <c r="G30" s="396">
        <v>190080</v>
      </c>
      <c r="I30" s="417"/>
      <c r="K30" s="418"/>
    </row>
    <row r="31" spans="1:12" s="416" customFormat="1" ht="30" customHeight="1">
      <c r="A31" s="399">
        <v>801</v>
      </c>
      <c r="B31" s="400">
        <v>80102</v>
      </c>
      <c r="C31" s="399">
        <v>2540</v>
      </c>
      <c r="D31" s="394" t="s">
        <v>53</v>
      </c>
      <c r="E31" s="401">
        <f>2064693+1400000</f>
        <v>3464693</v>
      </c>
      <c r="F31" s="395"/>
      <c r="G31" s="396"/>
      <c r="I31" s="417"/>
      <c r="K31" s="418"/>
    </row>
    <row r="32" spans="1:12" s="416" customFormat="1" ht="30" customHeight="1">
      <c r="A32" s="399">
        <v>801</v>
      </c>
      <c r="B32" s="400">
        <v>80105</v>
      </c>
      <c r="C32" s="399">
        <v>2540</v>
      </c>
      <c r="D32" s="394" t="s">
        <v>53</v>
      </c>
      <c r="E32" s="401">
        <f>759033+450000</f>
        <v>1209033</v>
      </c>
      <c r="F32" s="395"/>
      <c r="G32" s="396"/>
      <c r="I32" s="417"/>
      <c r="K32" s="418"/>
    </row>
    <row r="33" spans="1:11" s="416" customFormat="1" ht="30" customHeight="1">
      <c r="A33" s="399">
        <v>801</v>
      </c>
      <c r="B33" s="400">
        <v>80116</v>
      </c>
      <c r="C33" s="399">
        <v>2540</v>
      </c>
      <c r="D33" s="394" t="s">
        <v>53</v>
      </c>
      <c r="E33" s="401">
        <f>1284714+1047350</f>
        <v>2332064</v>
      </c>
      <c r="F33" s="395"/>
      <c r="G33" s="396"/>
      <c r="I33" s="417"/>
      <c r="K33" s="418"/>
    </row>
    <row r="34" spans="1:11" s="416" customFormat="1" ht="30" customHeight="1">
      <c r="A34" s="399">
        <v>801</v>
      </c>
      <c r="B34" s="400">
        <v>80120</v>
      </c>
      <c r="C34" s="399">
        <v>2540</v>
      </c>
      <c r="D34" s="394" t="s">
        <v>53</v>
      </c>
      <c r="E34" s="401">
        <f>978720+1000000+9800-9800</f>
        <v>1978720</v>
      </c>
      <c r="F34" s="398"/>
      <c r="G34" s="401"/>
    </row>
    <row r="35" spans="1:11" s="416" customFormat="1" ht="48" customHeight="1">
      <c r="A35" s="399">
        <v>801</v>
      </c>
      <c r="B35" s="400">
        <v>80120</v>
      </c>
      <c r="C35" s="424">
        <v>2830</v>
      </c>
      <c r="D35" s="425" t="s">
        <v>57</v>
      </c>
      <c r="E35" s="426"/>
      <c r="F35" s="427"/>
      <c r="G35" s="426">
        <v>9800</v>
      </c>
    </row>
    <row r="36" spans="1:11" s="416" customFormat="1" ht="30" customHeight="1">
      <c r="A36" s="399">
        <v>801</v>
      </c>
      <c r="B36" s="400">
        <v>80152</v>
      </c>
      <c r="C36" s="399">
        <v>2540</v>
      </c>
      <c r="D36" s="394" t="s">
        <v>53</v>
      </c>
      <c r="E36" s="401">
        <f>395928+100000</f>
        <v>495928</v>
      </c>
      <c r="F36" s="398"/>
      <c r="G36" s="401"/>
    </row>
    <row r="37" spans="1:11" s="416" customFormat="1" ht="48" customHeight="1">
      <c r="A37" s="399">
        <v>801</v>
      </c>
      <c r="B37" s="400">
        <v>80153</v>
      </c>
      <c r="C37" s="399">
        <v>2830</v>
      </c>
      <c r="D37" s="394" t="s">
        <v>57</v>
      </c>
      <c r="E37" s="401"/>
      <c r="F37" s="398"/>
      <c r="G37" s="401">
        <v>21454</v>
      </c>
    </row>
    <row r="38" spans="1:11" s="416" customFormat="1" ht="56.25" customHeight="1">
      <c r="A38" s="399">
        <v>851</v>
      </c>
      <c r="B38" s="400">
        <v>85111</v>
      </c>
      <c r="C38" s="399">
        <v>6230</v>
      </c>
      <c r="D38" s="394" t="s">
        <v>196</v>
      </c>
      <c r="E38" s="401"/>
      <c r="F38" s="398"/>
      <c r="G38" s="401">
        <v>5700000</v>
      </c>
    </row>
    <row r="39" spans="1:11" s="416" customFormat="1" ht="52.15" customHeight="1">
      <c r="A39" s="399">
        <v>851</v>
      </c>
      <c r="B39" s="400">
        <v>85195</v>
      </c>
      <c r="C39" s="399">
        <v>2830</v>
      </c>
      <c r="D39" s="394" t="s">
        <v>57</v>
      </c>
      <c r="E39" s="401"/>
      <c r="F39" s="398"/>
      <c r="G39" s="401">
        <f>10000+3200</f>
        <v>13200</v>
      </c>
    </row>
    <row r="40" spans="1:11" s="416" customFormat="1" ht="36.75" customHeight="1">
      <c r="A40" s="399">
        <v>852</v>
      </c>
      <c r="B40" s="400">
        <v>85202</v>
      </c>
      <c r="C40" s="399">
        <v>2820</v>
      </c>
      <c r="D40" s="394" t="s">
        <v>54</v>
      </c>
      <c r="E40" s="398"/>
      <c r="F40" s="398"/>
      <c r="G40" s="401">
        <v>247668</v>
      </c>
    </row>
    <row r="41" spans="1:11" s="416" customFormat="1" ht="36.75" customHeight="1">
      <c r="A41" s="399">
        <v>852</v>
      </c>
      <c r="B41" s="400">
        <v>85220</v>
      </c>
      <c r="C41" s="399">
        <v>2820</v>
      </c>
      <c r="D41" s="394" t="s">
        <v>54</v>
      </c>
      <c r="E41" s="398"/>
      <c r="F41" s="398"/>
      <c r="G41" s="401">
        <v>157500</v>
      </c>
    </row>
    <row r="42" spans="1:11" s="416" customFormat="1" ht="36.75" customHeight="1">
      <c r="A42" s="399">
        <v>852</v>
      </c>
      <c r="B42" s="400">
        <v>85295</v>
      </c>
      <c r="C42" s="399">
        <v>2827</v>
      </c>
      <c r="D42" s="394" t="s">
        <v>54</v>
      </c>
      <c r="E42" s="398"/>
      <c r="F42" s="398"/>
      <c r="G42" s="401">
        <v>82570</v>
      </c>
    </row>
    <row r="43" spans="1:11" s="416" customFormat="1" ht="34.5" customHeight="1">
      <c r="A43" s="399">
        <v>853</v>
      </c>
      <c r="B43" s="400">
        <v>85311</v>
      </c>
      <c r="C43" s="399">
        <v>2580</v>
      </c>
      <c r="D43" s="394" t="s">
        <v>55</v>
      </c>
      <c r="E43" s="401">
        <v>211860</v>
      </c>
      <c r="F43" s="398"/>
      <c r="G43" s="401"/>
    </row>
    <row r="44" spans="1:11" s="416" customFormat="1" ht="47.25" customHeight="1">
      <c r="A44" s="399">
        <v>853</v>
      </c>
      <c r="B44" s="400">
        <v>85311</v>
      </c>
      <c r="C44" s="399">
        <v>6230</v>
      </c>
      <c r="D44" s="394" t="s">
        <v>222</v>
      </c>
      <c r="E44" s="401"/>
      <c r="F44" s="398"/>
      <c r="G44" s="401">
        <v>55725</v>
      </c>
    </row>
    <row r="45" spans="1:11" s="416" customFormat="1" ht="30.75" customHeight="1">
      <c r="A45" s="399">
        <v>854</v>
      </c>
      <c r="B45" s="400">
        <v>85404</v>
      </c>
      <c r="C45" s="399">
        <v>2540</v>
      </c>
      <c r="D45" s="394" t="s">
        <v>53</v>
      </c>
      <c r="E45" s="401">
        <f>368028+50000</f>
        <v>418028</v>
      </c>
      <c r="F45" s="398"/>
      <c r="G45" s="401"/>
    </row>
    <row r="46" spans="1:11" s="416" customFormat="1" ht="25.5" customHeight="1">
      <c r="A46" s="399">
        <v>854</v>
      </c>
      <c r="B46" s="400">
        <v>85410</v>
      </c>
      <c r="C46" s="399">
        <v>2540</v>
      </c>
      <c r="D46" s="394" t="s">
        <v>53</v>
      </c>
      <c r="E46" s="401">
        <v>81123</v>
      </c>
      <c r="F46" s="398"/>
      <c r="G46" s="401"/>
    </row>
    <row r="47" spans="1:11" s="416" customFormat="1" ht="60.75" customHeight="1">
      <c r="A47" s="399">
        <v>921</v>
      </c>
      <c r="B47" s="400">
        <v>92105</v>
      </c>
      <c r="C47" s="399">
        <v>2360</v>
      </c>
      <c r="D47" s="394" t="s">
        <v>33</v>
      </c>
      <c r="E47" s="401"/>
      <c r="F47" s="398"/>
      <c r="G47" s="401">
        <v>90000</v>
      </c>
    </row>
    <row r="48" spans="1:11" s="416" customFormat="1" ht="60.75" customHeight="1">
      <c r="A48" s="399">
        <v>926</v>
      </c>
      <c r="B48" s="400">
        <v>92605</v>
      </c>
      <c r="C48" s="399">
        <v>2360</v>
      </c>
      <c r="D48" s="394" t="s">
        <v>33</v>
      </c>
      <c r="E48" s="406"/>
      <c r="F48" s="398"/>
      <c r="G48" s="401">
        <v>40000</v>
      </c>
      <c r="I48" s="417"/>
      <c r="K48" s="417"/>
    </row>
    <row r="49" spans="1:7" s="416" customFormat="1" ht="22.5" customHeight="1">
      <c r="A49" s="553" t="s">
        <v>56</v>
      </c>
      <c r="B49" s="553"/>
      <c r="C49" s="553"/>
      <c r="D49" s="553"/>
      <c r="E49" s="407">
        <f>SUM(E26:E48)</f>
        <v>10191449</v>
      </c>
      <c r="F49" s="407">
        <f>SUM(F26:F48)</f>
        <v>0</v>
      </c>
      <c r="G49" s="407">
        <f>SUM(G26:G48)</f>
        <v>6697997</v>
      </c>
    </row>
    <row r="50" spans="1:7" s="50" customFormat="1" ht="26.25" customHeight="1">
      <c r="A50" s="554" t="s">
        <v>67</v>
      </c>
      <c r="B50" s="554"/>
      <c r="C50" s="554"/>
      <c r="D50" s="554"/>
      <c r="E50" s="554"/>
      <c r="F50" s="554"/>
      <c r="G50" s="49">
        <f>SUM(E24,G24,E49,G49)</f>
        <v>18866790</v>
      </c>
    </row>
    <row r="51" spans="1:7" ht="15.75" customHeight="1"/>
    <row r="52" spans="1:7" ht="15.75" customHeight="1"/>
    <row r="53" spans="1:7" ht="15.75" customHeight="1"/>
    <row r="54" spans="1:7" ht="15.75" customHeight="1">
      <c r="A54" s="31"/>
      <c r="B54" s="31"/>
      <c r="C54" s="31"/>
    </row>
    <row r="55" spans="1:7" ht="15.75" customHeight="1">
      <c r="A55" s="31"/>
      <c r="B55" s="31"/>
      <c r="C55" s="31"/>
    </row>
    <row r="56" spans="1:7" ht="15.75" customHeight="1">
      <c r="A56" s="31"/>
      <c r="B56" s="31"/>
      <c r="C56" s="31"/>
    </row>
    <row r="57" spans="1:7" ht="15.75" customHeight="1"/>
    <row r="58" spans="1:7" ht="15.75" customHeight="1"/>
    <row r="59" spans="1:7" ht="15.75" customHeight="1"/>
    <row r="60" spans="1:7" ht="15.75" customHeight="1"/>
    <row r="61" spans="1:7" ht="15.75" customHeight="1"/>
    <row r="62" spans="1:7" ht="15.75" customHeight="1"/>
    <row r="63" spans="1:7" ht="15.75" customHeight="1"/>
    <row r="64" spans="1:7" ht="15.75" customHeight="1"/>
  </sheetData>
  <sheetProtection algorithmName="SHA-512" hashValue="c1LiX68qvd6pkEbNGVO60eFskYoLUnruLIIDoqDmwjyYKYqTaNtG2Oaij/owSTiQOjeGgpu38MKMRcbWC2TpoQ==" saltValue="imb6KIwUtpWojtTCkgVbIg==" spinCount="100000" sheet="1" objects="1" scenarios="1" formatColumns="0" formatRows="0"/>
  <mergeCells count="11">
    <mergeCell ref="A7:C7"/>
    <mergeCell ref="A24:D24"/>
    <mergeCell ref="A25:C25"/>
    <mergeCell ref="A49:D49"/>
    <mergeCell ref="A50:F50"/>
    <mergeCell ref="A2:G2"/>
    <mergeCell ref="A4:A5"/>
    <mergeCell ref="B4:B5"/>
    <mergeCell ref="C4:C5"/>
    <mergeCell ref="D4:D5"/>
    <mergeCell ref="E4:G4"/>
  </mergeCells>
  <pageMargins left="0.6692913385826772" right="0.23622047244094491" top="1.2204724409448819" bottom="1.0236220472440944" header="0.59055118110236227" footer="0.47244094488188981"/>
  <pageSetup paperSize="9" scale="80" orientation="portrait" horizontalDpi="4294967295" verticalDpi="300" r:id="rId1"/>
  <headerFooter differentFirst="1" alignWithMargins="0">
    <oddFooter>&amp;C&amp;P</oddFooter>
    <firstHeader>&amp;R&amp;10Załącznik Nr 1 
do uchwały Nr...............
Rady Powiatu  Otwockiego
z dnia..................</firstHeader>
    <firstFooter>&amp;C&amp;P</firstFooter>
  </headerFooter>
  <rowBreaks count="2" manualBreakCount="2">
    <brk id="21" max="6" man="1"/>
    <brk id="4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5</vt:i4>
      </vt:variant>
    </vt:vector>
  </HeadingPairs>
  <TitlesOfParts>
    <vt:vector size="11" baseType="lpstr">
      <vt:lpstr>Tab.2a  </vt:lpstr>
      <vt:lpstr>Tab.3</vt:lpstr>
      <vt:lpstr>Tab.5</vt:lpstr>
      <vt:lpstr>Tab.7</vt:lpstr>
      <vt:lpstr>Tab.8</vt:lpstr>
      <vt:lpstr>Zał.1</vt:lpstr>
      <vt:lpstr>'Tab.2a  '!Obszar_wydruku</vt:lpstr>
      <vt:lpstr>Tab.3!Obszar_wydruku</vt:lpstr>
      <vt:lpstr>Tab.5!Obszar_wydruku</vt:lpstr>
      <vt:lpstr>Tab.8!Obszar_wydruku</vt:lpstr>
      <vt:lpstr>Zał.1!Obszar_wydruku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Renis Iwona</dc:creator>
  <cp:lastModifiedBy>Mroczkowska Aneta</cp:lastModifiedBy>
  <cp:lastPrinted>2021-11-16T16:53:44Z</cp:lastPrinted>
  <dcterms:created xsi:type="dcterms:W3CDTF">2015-10-09T11:05:37Z</dcterms:created>
  <dcterms:modified xsi:type="dcterms:W3CDTF">2021-11-18T14:17:07Z</dcterms:modified>
</cp:coreProperties>
</file>