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az 2022\Do publikacji\"/>
    </mc:Choice>
  </mc:AlternateContent>
  <xr:revisionPtr revIDLastSave="0" documentId="13_ncr:1_{0570DCD9-FCFA-48EA-A81F-C7FCC35B3EE6}" xr6:coauthVersionLast="47" xr6:coauthVersionMax="47" xr10:uidLastSave="{00000000-0000-0000-0000-000000000000}"/>
  <bookViews>
    <workbookView xWindow="2340" yWindow="1545" windowWidth="23100" windowHeight="14655" xr2:uid="{00000000-000D-0000-FFFF-FFFF00000000}"/>
  </bookViews>
  <sheets>
    <sheet name="Arkusz1" sheetId="9" r:id="rId1"/>
    <sheet name="MOS" sheetId="2" r:id="rId2"/>
    <sheet name="SOSW NR1" sheetId="3" r:id="rId3"/>
    <sheet name="PMDK" sheetId="4" r:id="rId4"/>
    <sheet name="PPPP" sheetId="5" r:id="rId5"/>
    <sheet name="LO" sheetId="6" r:id="rId6"/>
    <sheet name="SOSW NR2" sheetId="7" r:id="rId7"/>
    <sheet name="ZS2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9" l="1"/>
  <c r="G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M14" i="9" s="1"/>
  <c r="L5" i="9"/>
  <c r="C6" i="7"/>
  <c r="D6" i="7"/>
  <c r="E6" i="7"/>
  <c r="F6" i="7"/>
  <c r="G6" i="7"/>
  <c r="H6" i="7"/>
  <c r="I6" i="7"/>
  <c r="J6" i="7"/>
  <c r="K6" i="7"/>
  <c r="L6" i="7"/>
  <c r="M6" i="7"/>
  <c r="N6" i="7"/>
  <c r="G6" i="6"/>
  <c r="H6" i="6"/>
  <c r="I6" i="6"/>
  <c r="F6" i="6"/>
  <c r="D6" i="6"/>
  <c r="E6" i="6"/>
  <c r="C6" i="6"/>
  <c r="J4" i="6"/>
  <c r="L14" i="9" l="1"/>
  <c r="J6" i="6"/>
  <c r="O6" i="7"/>
  <c r="N4" i="3"/>
  <c r="N4" i="8"/>
  <c r="L11" i="2"/>
  <c r="O4" i="7"/>
  <c r="O4" i="3"/>
  <c r="O4" i="2"/>
  <c r="K13" i="7" l="1"/>
  <c r="J4" i="5" l="1"/>
  <c r="K4" i="4"/>
</calcChain>
</file>

<file path=xl/sharedStrings.xml><?xml version="1.0" encoding="utf-8"?>
<sst xmlns="http://schemas.openxmlformats.org/spreadsheetml/2006/main" count="186" uniqueCount="102">
  <si>
    <t>MIESIĄC</t>
  </si>
  <si>
    <t>ZUŻYCIE         kWh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</si>
  <si>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</si>
  <si>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</si>
  <si>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</si>
  <si>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</si>
  <si>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</si>
  <si>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</si>
  <si>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</si>
  <si>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</si>
  <si>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</si>
  <si>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</si>
  <si>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</si>
  <si>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</si>
  <si>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ZUŻYCIE                     kWh</t>
  </si>
  <si>
    <t>SUMA</t>
  </si>
  <si>
    <t>ZUŻYCIE                          kWh</t>
  </si>
  <si>
    <t xml:space="preserve">CZERWIEC LIPIEC </t>
  </si>
  <si>
    <t>Kolumna1</t>
  </si>
  <si>
    <t>Kolumna2</t>
  </si>
  <si>
    <t>Zespół Szkół Nr 2 im. Marii Skłodowskiej-Curie w Otwocku  ul. Pułaskiego 7 05-400 Otwock</t>
  </si>
  <si>
    <t>Specjalny Ośrodek Szkolno-Wychowawczy Nr 2 w Otwocku ul. Literacka 8 05-400 Otwock dla grupy taryfowej W-5.1</t>
  </si>
  <si>
    <t>Specjalny Ośrodek Szkolno-Wychowawczy Nr 2 w Otwocku ul. Literacka 8 05-400 Otwock dla grupy taryfowej W-3.6</t>
  </si>
  <si>
    <t>Liceum Ogólnokształcące Nr I im. K.I. Gałczyńskiego w Otwocku ul.Filipowicza 9 05-400 Otwock</t>
  </si>
  <si>
    <t>Powiatowa Poradnia Psychologiczno-Pedagogiczna w Otwocku ul.Majowa 17/19 05-402 Otwock</t>
  </si>
  <si>
    <t>Powiatowy Młodzieżowy Dom Kultury im. Michała Elwiro Andriollego w Otwocku ul.Poniatowskiego 10 05-400 Otwock</t>
  </si>
  <si>
    <t>Specjalny Ośrodek Szkolno-Wychowawczy Nr 1 im. Marii Konopnickiej w Otwocku ul.Majowa 17/19 05-402 Otwock</t>
  </si>
  <si>
    <r>
      <t xml:space="preserve">Młodzieżowy Ośrodek Socjoterapii  </t>
    </r>
    <r>
      <rPr>
        <b/>
        <u/>
        <sz val="18"/>
        <color theme="1"/>
        <rFont val="Calibri"/>
        <family val="2"/>
        <charset val="238"/>
      </rPr>
      <t>,,</t>
    </r>
    <r>
      <rPr>
        <b/>
        <u/>
        <sz val="18"/>
        <color theme="1"/>
        <rFont val="Calibri"/>
        <family val="2"/>
        <charset val="238"/>
        <scheme val="minor"/>
      </rPr>
      <t>Jędruś" w Józefowie ul.Główna 10 05-410 Józefów dla grupy taryfowej W-5.1</t>
    </r>
  </si>
  <si>
    <r>
      <t xml:space="preserve">Młodzieżowy Ośrodek Socjoterapii  </t>
    </r>
    <r>
      <rPr>
        <b/>
        <u/>
        <sz val="18"/>
        <color theme="1"/>
        <rFont val="Calibri"/>
        <family val="2"/>
        <charset val="238"/>
      </rPr>
      <t>,,</t>
    </r>
    <r>
      <rPr>
        <b/>
        <u/>
        <sz val="18"/>
        <color theme="1"/>
        <rFont val="Calibri"/>
        <family val="2"/>
        <charset val="238"/>
        <scheme val="minor"/>
      </rPr>
      <t>Jędruś" w Józefowie ul.Główna 10 05-410 Józefów dla grupy taryfowej W-3.6</t>
    </r>
  </si>
  <si>
    <t>26.07.2020-25.09.2020</t>
  </si>
  <si>
    <t>26.09.2020-16.11.2020</t>
  </si>
  <si>
    <t>17.11.2020-31.12.2020</t>
  </si>
  <si>
    <t>01.01.2021-22.01.2021</t>
  </si>
  <si>
    <t>22.01.2021-24.03.2021</t>
  </si>
  <si>
    <t>24.03.2021-22.05.2021</t>
  </si>
  <si>
    <t>22.05.2021-24.07.2021</t>
  </si>
  <si>
    <t>09.07.2020-29.09.2020</t>
  </si>
  <si>
    <t>30.09.2020-28.11.2020</t>
  </si>
  <si>
    <t>29.11.2020-31.12.2020</t>
  </si>
  <si>
    <t>01.01.2021-21.01.2021</t>
  </si>
  <si>
    <t>21.01.2021-24.03.2021</t>
  </si>
  <si>
    <t>24.03.2021-31.05.2021</t>
  </si>
  <si>
    <t>31.05.2021-28.07.2021</t>
  </si>
  <si>
    <t>29.06.2021-26.08.2021</t>
  </si>
  <si>
    <t>30.04.2021-29.06.2021</t>
  </si>
  <si>
    <t>23.02.2021- 30.04.2021</t>
  </si>
  <si>
    <t>01.01.2021- 23.02.2021</t>
  </si>
  <si>
    <t>17.12.2020- 31.12.2020</t>
  </si>
  <si>
    <t>30.10.2020- 16.12.2020</t>
  </si>
  <si>
    <t>29.08.2020- 29.10.2020</t>
  </si>
  <si>
    <t>30.07.2020-29.09.2020</t>
  </si>
  <si>
    <t>30.09.2020-24.11.2020</t>
  </si>
  <si>
    <t>25.11.2020-31.12.2020</t>
  </si>
  <si>
    <t>01.01.2021-18.01.2021</t>
  </si>
  <si>
    <t>19.01.2021-29.03.2021</t>
  </si>
  <si>
    <t>30.03.2021-31.05.2021</t>
  </si>
  <si>
    <t>01.06.2021-29.07.2021</t>
  </si>
  <si>
    <t>13.07.2020-17.09.2020</t>
  </si>
  <si>
    <t>18.09.2020-28.11.2020</t>
  </si>
  <si>
    <t>01.01.2021-12.01.2021</t>
  </si>
  <si>
    <t>12.01.2021-24.03.2021</t>
  </si>
  <si>
    <t>24.03.2021-20.05.2021</t>
  </si>
  <si>
    <t>20.05.2021-30.07.2021</t>
  </si>
  <si>
    <t>Oswiata</t>
  </si>
  <si>
    <t xml:space="preserve">Załącznik nr 2 </t>
  </si>
  <si>
    <t>lp.</t>
  </si>
  <si>
    <t>Nazwa Jednostki Adres miejsce i punkt odbioru</t>
  </si>
  <si>
    <t>Nr gazomierza</t>
  </si>
  <si>
    <t>Grupa taryfowa OSD</t>
  </si>
  <si>
    <t>szacunkowa wartość w okresie 12 miesiecy zamówienia</t>
  </si>
  <si>
    <t>Czas na jaki została zawarta umowa</t>
  </si>
  <si>
    <t>Nazwa OSD</t>
  </si>
  <si>
    <t>zwiekszenie szacunku w o %</t>
  </si>
  <si>
    <t>Młodzieżowy Ośrodek Socjoterapii „Jędruś” w Józefowie ul.Główna 10 05-410 Józefów</t>
  </si>
  <si>
    <t>12M2G65L72000149098</t>
  </si>
  <si>
    <t>W-5.1</t>
  </si>
  <si>
    <t>176  kWh/h</t>
  </si>
  <si>
    <t>czas określony do 31.12.2021r</t>
  </si>
  <si>
    <t>Polska Spółka Gazownictwa Oddział w Warszawie ul. Równoległa 4 a, 02-235 Warszawa</t>
  </si>
  <si>
    <t>17MUGG413001670998</t>
  </si>
  <si>
    <t>W-3.6</t>
  </si>
  <si>
    <t>110 kWh/h</t>
  </si>
  <si>
    <t>Specjalny Ośrodek Szkolno-Wychowawczy nr 1, ul. Majowa 17/19        05-400 Otwock</t>
  </si>
  <si>
    <t>CGT-DN50G65PN16-150115</t>
  </si>
  <si>
    <t>406 kWh/h</t>
  </si>
  <si>
    <t xml:space="preserve">Powiatowy Młodzieżowy Dom Kultury w Otwocku ul. Poniatowskiego 10   05-400 Otwock  </t>
  </si>
  <si>
    <t>04M5G613000001882</t>
  </si>
  <si>
    <t>Powiatowa Poradnia Psychologiczno-Pedagogiczna ul. Majowa 17/19      05-400 Otwock</t>
  </si>
  <si>
    <t>13M6G4L13000377385</t>
  </si>
  <si>
    <t>Liceum Ogólnokształcące  nr I  im. K.I Gałczyńskiego, w Otwocku ul. Filipowicza 9 05-400 Otwock</t>
  </si>
  <si>
    <t>12KBKG1028029238392</t>
  </si>
  <si>
    <t>Specjalny Ośrodek Szkolno-Wychowawczy Nr 2 Ul. Literacka 8 05-400 Otwock</t>
  </si>
  <si>
    <t>14M2G65L72000439667</t>
  </si>
  <si>
    <t>274 kWh/h</t>
  </si>
  <si>
    <t>11AG413025154506</t>
  </si>
  <si>
    <t>Zespół Szkół nr 2 im.MariiSkłodowskiwj Curie w otwocku ul. Pułaskiego 7, 05-400 Otwock</t>
  </si>
  <si>
    <t>18AG1628005969663</t>
  </si>
  <si>
    <t>263 kWh/h</t>
  </si>
  <si>
    <t>Szacunkowe zapotrzebowanie na paliwo gazowe w okresie 12 m-cy netto</t>
  </si>
  <si>
    <t>Moc umowna w kWh/h</t>
  </si>
  <si>
    <t>szacunkowa wartość w okresie 12 miesiecy zamówienia netto</t>
  </si>
  <si>
    <t>Szacunkowe zapotrzebowanie na paliwo gazowe w okresie 12 m-cy w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</si>
</sst>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&quot;zł&quot;"/>
    <numFmt numFmtId="166" formatCode="_-* #,##0.0\ _z_ł_-;\-* #,##0.0\ _z_ł_-;_-* &quot;-&quot;??\ _z_ł_-;_-@_-"/>
  </numFmts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164" fontId="4" fillId="2" borderId="5" xfId="1" applyFont="1" applyFill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2" borderId="0" xfId="0" applyFont="1" applyFill="1"/>
    <xf numFmtId="0" fontId="8" fillId="2" borderId="0" xfId="0" applyFont="1" applyFill="1" applyBorder="1"/>
    <xf numFmtId="0" fontId="10" fillId="0" borderId="3" xfId="0" applyFont="1" applyBorder="1" applyAlignment="1">
      <alignment horizontal="center" vertical="center"/>
    </xf>
    <xf numFmtId="164" fontId="4" fillId="2" borderId="2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64" fontId="4" fillId="2" borderId="16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2" fillId="2" borderId="15" xfId="1" applyFont="1" applyFill="1" applyBorder="1" applyAlignment="1">
      <alignment vertical="center"/>
    </xf>
    <xf numFmtId="164" fontId="12" fillId="2" borderId="13" xfId="1" applyFont="1" applyFill="1" applyBorder="1" applyAlignment="1">
      <alignment vertical="center"/>
    </xf>
    <xf numFmtId="164" fontId="12" fillId="2" borderId="4" xfId="0" applyNumberFormat="1" applyFont="1" applyFill="1" applyBorder="1" applyAlignment="1">
      <alignment vertical="center"/>
    </xf>
    <xf numFmtId="164" fontId="12" fillId="2" borderId="5" xfId="1" applyFont="1" applyFill="1" applyBorder="1" applyAlignment="1">
      <alignment vertical="center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164" fontId="14" fillId="2" borderId="14" xfId="1" applyFont="1" applyFill="1" applyBorder="1" applyAlignment="1">
      <alignment vertical="center"/>
    </xf>
    <xf numFmtId="164" fontId="12" fillId="2" borderId="14" xfId="1" applyFont="1" applyFill="1" applyBorder="1" applyAlignment="1">
      <alignment horizontal="center" vertical="center"/>
    </xf>
    <xf numFmtId="164" fontId="12" fillId="2" borderId="5" xfId="1" applyFont="1" applyFill="1" applyBorder="1" applyAlignment="1">
      <alignment horizontal="center" vertical="center"/>
    </xf>
    <xf numFmtId="164" fontId="12" fillId="2" borderId="2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12" fillId="2" borderId="7" xfId="1" applyFont="1" applyFill="1" applyBorder="1" applyAlignment="1">
      <alignment horizontal="center" vertical="center"/>
    </xf>
    <xf numFmtId="164" fontId="9" fillId="2" borderId="8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" fontId="18" fillId="0" borderId="21" xfId="0" applyNumberFormat="1" applyFont="1" applyBorder="1" applyAlignment="1">
      <alignment vertical="center" wrapText="1"/>
    </xf>
    <xf numFmtId="9" fontId="19" fillId="0" borderId="27" xfId="0" applyNumberFormat="1" applyFont="1" applyBorder="1" applyAlignment="1">
      <alignment vertical="center" wrapText="1"/>
    </xf>
    <xf numFmtId="1" fontId="19" fillId="0" borderId="5" xfId="0" applyNumberFormat="1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19" fillId="0" borderId="7" xfId="0" applyNumberFormat="1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5" xfId="0" applyNumberFormat="1" applyFont="1" applyBorder="1" applyAlignment="1">
      <alignment vertical="center" wrapText="1"/>
    </xf>
    <xf numFmtId="166" fontId="20" fillId="0" borderId="5" xfId="1" applyNumberFormat="1" applyFont="1" applyBorder="1" applyAlignment="1">
      <alignment vertical="center" wrapText="1"/>
    </xf>
    <xf numFmtId="164" fontId="20" fillId="0" borderId="5" xfId="1" applyFont="1" applyBorder="1" applyAlignment="1">
      <alignment vertical="center" wrapText="1"/>
    </xf>
    <xf numFmtId="0" fontId="21" fillId="0" borderId="0" xfId="0" applyFont="1"/>
    <xf numFmtId="0" fontId="17" fillId="0" borderId="2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146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3" displayName="Tabela13" ref="B3:N4" totalsRowShown="0" headerRowDxfId="145" dataDxfId="143" headerRowBorderDxfId="144" tableBorderDxfId="142" totalsRowBorderDxfId="141">
  <autoFilter ref="B3:N4" xr:uid="{00000000-0009-0000-0100-000002000000}"/>
  <tableColumns count="13">
    <tableColumn id="1" xr3:uid="{00000000-0010-0000-0000-000001000000}" name="MIESIĄC" dataDxfId="140"/>
    <tableColumn id="3" xr3:uid="{00000000-0010-0000-0000-000003000000}" name="WRZESIEŃ" dataDxfId="139" dataCellStyle="Dziesiętny"/>
    <tableColumn id="4" xr3:uid="{00000000-0010-0000-0000-000004000000}" name="PAŹDZIERNIK" dataDxfId="138" dataCellStyle="Dziesiętny"/>
    <tableColumn id="5" xr3:uid="{00000000-0010-0000-0000-000005000000}" name="LISTOPAD" dataDxfId="137" dataCellStyle="Dziesiętny"/>
    <tableColumn id="6" xr3:uid="{00000000-0010-0000-0000-000006000000}" name="GRUDZIEŃ" dataDxfId="136" dataCellStyle="Dziesiętny"/>
    <tableColumn id="7" xr3:uid="{00000000-0010-0000-0000-000007000000}" name="STYCZEŃ" dataDxfId="135" dataCellStyle="Dziesiętny"/>
    <tableColumn id="8" xr3:uid="{00000000-0010-0000-0000-000008000000}" name="LUTY" dataDxfId="134" dataCellStyle="Dziesiętny"/>
    <tableColumn id="9" xr3:uid="{00000000-0010-0000-0000-000009000000}" name="MARZEC" dataDxfId="133" dataCellStyle="Dziesiętny"/>
    <tableColumn id="10" xr3:uid="{00000000-0010-0000-0000-00000A000000}" name="KWIECIEŃ" dataDxfId="132" dataCellStyle="Dziesiętny"/>
    <tableColumn id="11" xr3:uid="{00000000-0010-0000-0000-00000B000000}" name="MAJ" dataDxfId="131" dataCellStyle="Dziesiętny"/>
    <tableColumn id="12" xr3:uid="{00000000-0010-0000-0000-00000C000000}" name="CZERWIEC" dataDxfId="130" dataCellStyle="Dziesiętny"/>
    <tableColumn id="14" xr3:uid="{00000000-0010-0000-0000-00000E000000}" name="LIPIEC" dataDxfId="129" dataCellStyle="Dziesiętny"/>
    <tableColumn id="13" xr3:uid="{00000000-0010-0000-0000-00000D000000}" name="SIERPIEŃ" dataDxfId="128" dataCellStyle="Dziesiętn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154" displayName="Tabela154" ref="D10:L11" totalsRowShown="0" headerRowDxfId="127" dataDxfId="125" headerRowBorderDxfId="126" tableBorderDxfId="124" totalsRowBorderDxfId="123">
  <autoFilter ref="D10:L11" xr:uid="{00000000-0009-0000-0100-000003000000}"/>
  <tableColumns count="9">
    <tableColumn id="1" xr3:uid="{00000000-0010-0000-0100-000001000000}" name="MIESIĄC" dataDxfId="122"/>
    <tableColumn id="9" xr3:uid="{00000000-0010-0000-0100-000009000000}" name="26.07.2020-25.09.2020" dataDxfId="121"/>
    <tableColumn id="7" xr3:uid="{00000000-0010-0000-0100-000007000000}" name="26.09.2020-16.11.2020" dataDxfId="120"/>
    <tableColumn id="6" xr3:uid="{00000000-0010-0000-0100-000006000000}" name="17.11.2020-31.12.2020" dataDxfId="119"/>
    <tableColumn id="4" xr3:uid="{00000000-0010-0000-0100-000004000000}" name="01.01.2021-22.01.2021" dataDxfId="118"/>
    <tableColumn id="3" xr3:uid="{00000000-0010-0000-0100-000003000000}" name="22.01.2021-24.03.2021" dataDxfId="117"/>
    <tableColumn id="2" xr3:uid="{00000000-0010-0000-0100-000002000000}" name="24.03.2021-22.05.2021" dataDxfId="116"/>
    <tableColumn id="5" xr3:uid="{00000000-0010-0000-0100-000005000000}" name="22.05.2021-24.07.2021" dataDxfId="115" dataCellStyle="Dziesiętny"/>
    <tableColumn id="14" xr3:uid="{00000000-0010-0000-0100-00000E000000}" name="SUMA" dataDxfId="114" dataCellStyle="Dziesiętny">
      <calculatedColumnFormula>SUM(Tabela154[26.07.2020-25.09.2020]+Tabela154[26.09.2020-16.11.2020]+Tabela154[17.11.2020-31.12.2020]+Tabela154[01.01.2021-22.01.2021]+Tabela154[22.01.2021-24.03.2021]+Tabela154[24.03.2021-22.05.2021]+Tabela154[22.05.2021-24.07.2021])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a136" displayName="Tabela136" ref="B3:O4" totalsRowShown="0" headerRowDxfId="113" dataDxfId="111" headerRowBorderDxfId="112" tableBorderDxfId="110" totalsRowBorderDxfId="109">
  <autoFilter ref="B3:O4" xr:uid="{00000000-0009-0000-0100-000005000000}"/>
  <tableColumns count="14">
    <tableColumn id="1" xr3:uid="{00000000-0010-0000-0200-000001000000}" name="MIESIĄC" dataDxfId="108"/>
    <tableColumn id="3" xr3:uid="{00000000-0010-0000-0200-000003000000}" name="WRZESIEŃ" dataDxfId="107" dataCellStyle="Dziesiętny"/>
    <tableColumn id="4" xr3:uid="{00000000-0010-0000-0200-000004000000}" name="PAŹDZIERNIK" dataDxfId="106" dataCellStyle="Dziesiętny"/>
    <tableColumn id="5" xr3:uid="{00000000-0010-0000-0200-000005000000}" name="LISTOPAD" dataDxfId="105" dataCellStyle="Dziesiętny"/>
    <tableColumn id="6" xr3:uid="{00000000-0010-0000-0200-000006000000}" name="GRUDZIEŃ" dataDxfId="104" dataCellStyle="Dziesiętny"/>
    <tableColumn id="7" xr3:uid="{00000000-0010-0000-0200-000007000000}" name="STYCZEŃ" dataDxfId="103" dataCellStyle="Dziesiętny"/>
    <tableColumn id="8" xr3:uid="{00000000-0010-0000-0200-000008000000}" name="LUTY" dataDxfId="102" dataCellStyle="Dziesiętny"/>
    <tableColumn id="9" xr3:uid="{00000000-0010-0000-0200-000009000000}" name="MARZEC" dataDxfId="101" dataCellStyle="Dziesiętny"/>
    <tableColumn id="10" xr3:uid="{00000000-0010-0000-0200-00000A000000}" name="KWIECIEŃ" dataDxfId="100" dataCellStyle="Dziesiętny"/>
    <tableColumn id="11" xr3:uid="{00000000-0010-0000-0200-00000B000000}" name="MAJ" dataDxfId="99" dataCellStyle="Dziesiętny"/>
    <tableColumn id="12" xr3:uid="{00000000-0010-0000-0200-00000C000000}" name="CZERWIEC" dataDxfId="98" dataCellStyle="Dziesiętny"/>
    <tableColumn id="13" xr3:uid="{00000000-0010-0000-0200-00000D000000}" name="LIPIEC" dataDxfId="97" dataCellStyle="Dziesiętny"/>
    <tableColumn id="15" xr3:uid="{00000000-0010-0000-0200-00000F000000}" name="SIERPIEŃ" dataDxfId="96" dataCellStyle="Dziesiętny">
      <calculatedColumnFormula>1108+3291</calculatedColumnFormula>
    </tableColumn>
    <tableColumn id="14" xr3:uid="{00000000-0010-0000-0200-00000E000000}" name="SUMA" dataDxfId="95" dataCellStyle="Dziesiętny">
      <calculatedColumnFormula>SUM(Tabela136[WRZESIEŃ]+Tabela136[PAŹDZIERNIK]+Tabela136[LISTOPAD]+Tabela136[GRUDZIEŃ]+Tabela136[STYCZEŃ]+Tabela136[LUTY]+Tabela136[MARZEC]+Tabela136[KWIECIEŃ]+Tabela136[MAJ]+Tabela136[CZERWIEC]+Tabela136[LIPIEC]+Tabela136[SIERPIEŃ])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ela1367" displayName="Tabela1367" ref="B3:K4" totalsRowShown="0" headerRowDxfId="94" dataDxfId="92" headerRowBorderDxfId="93" tableBorderDxfId="91" totalsRowBorderDxfId="90">
  <autoFilter ref="B3:K4" xr:uid="{00000000-0009-0000-0100-000006000000}"/>
  <tableColumns count="10">
    <tableColumn id="1" xr3:uid="{00000000-0010-0000-0300-000001000000}" name="MIESIĄC" dataDxfId="89"/>
    <tableColumn id="2" xr3:uid="{00000000-0010-0000-0300-000002000000}" name="CZERWIEC LIPIEC " dataDxfId="88" dataCellStyle="Dziesiętny"/>
    <tableColumn id="3" xr3:uid="{00000000-0010-0000-0300-000003000000}" name="09.07.2020-29.09.2020" dataDxfId="87" dataCellStyle="Dziesiętny"/>
    <tableColumn id="4" xr3:uid="{00000000-0010-0000-0300-000004000000}" name="30.09.2020-28.11.2020" dataDxfId="86" dataCellStyle="Dziesiętny"/>
    <tableColumn id="5" xr3:uid="{00000000-0010-0000-0300-000005000000}" name="29.11.2020-31.12.2020" dataDxfId="85" dataCellStyle="Dziesiętny"/>
    <tableColumn id="6" xr3:uid="{00000000-0010-0000-0300-000006000000}" name="01.01.2021-21.01.2021" dataDxfId="84" dataCellStyle="Dziesiętny"/>
    <tableColumn id="8" xr3:uid="{00000000-0010-0000-0300-000008000000}" name="21.01.2021-24.03.2021" dataDxfId="83" dataCellStyle="Dziesiętny"/>
    <tableColumn id="10" xr3:uid="{00000000-0010-0000-0300-00000A000000}" name="24.03.2021-31.05.2021" dataDxfId="82" dataCellStyle="Dziesiętny"/>
    <tableColumn id="12" xr3:uid="{00000000-0010-0000-0300-00000C000000}" name="31.05.2021-28.07.2021" dataDxfId="81" dataCellStyle="Dziesiętny"/>
    <tableColumn id="14" xr3:uid="{00000000-0010-0000-0300-00000E000000}" name="SUMA" dataDxfId="80" dataCellStyle="Dziesiętny">
      <calculatedColumnFormula>SUM(Tabela1367[[09.07.2020-29.09.2020]:[31.05.2021-28.07.2021]])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a13678" displayName="Tabela13678" ref="B3:J4" totalsRowShown="0" headerRowDxfId="79" dataDxfId="77" headerRowBorderDxfId="78" tableBorderDxfId="76" totalsRowBorderDxfId="75">
  <autoFilter ref="B3:J4" xr:uid="{00000000-0009-0000-0100-000007000000}"/>
  <tableColumns count="9">
    <tableColumn id="1" xr3:uid="{00000000-0010-0000-0400-000001000000}" name="MIESIĄC" dataDxfId="74"/>
    <tableColumn id="2" xr3:uid="{00000000-0010-0000-0400-000002000000}" name="29.08.2020- 29.10.2020" dataDxfId="73" dataCellStyle="Dziesiętny"/>
    <tableColumn id="3" xr3:uid="{00000000-0010-0000-0400-000003000000}" name="30.10.2020- 16.12.2020" dataDxfId="72" dataCellStyle="Dziesiętny"/>
    <tableColumn id="6" xr3:uid="{00000000-0010-0000-0400-000006000000}" name="17.12.2020- 31.12.2020" dataDxfId="71" dataCellStyle="Dziesiętny"/>
    <tableColumn id="8" xr3:uid="{00000000-0010-0000-0400-000008000000}" name="01.01.2021- 23.02.2021" dataDxfId="70" dataCellStyle="Dziesiętny"/>
    <tableColumn id="10" xr3:uid="{00000000-0010-0000-0400-00000A000000}" name="23.02.2021- 30.04.2021" dataDxfId="69" dataCellStyle="Dziesiętny"/>
    <tableColumn id="5" xr3:uid="{00000000-0010-0000-0400-000005000000}" name="30.04.2021-29.06.2021" dataDxfId="68" dataCellStyle="Dziesiętny"/>
    <tableColumn id="12" xr3:uid="{00000000-0010-0000-0400-00000C000000}" name="29.06.2021-26.08.2021" dataDxfId="67" dataCellStyle="Dziesiętny"/>
    <tableColumn id="14" xr3:uid="{00000000-0010-0000-0400-00000E000000}" name="SUMA" dataDxfId="66" dataCellStyle="Dziesiętny">
      <calculatedColumnFormula>SUM(Tabela13678[[29.08.2020- 29.10.2020]:[29.06.2021-26.08.2021]])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a136789" displayName="Tabela136789" ref="B3:J4" totalsRowShown="0" headerRowDxfId="65" dataDxfId="63" headerRowBorderDxfId="64" tableBorderDxfId="62" totalsRowBorderDxfId="61">
  <autoFilter ref="B3:J4" xr:uid="{00000000-0009-0000-0100-000008000000}"/>
  <tableColumns count="9">
    <tableColumn id="1" xr3:uid="{00000000-0010-0000-0500-000001000000}" name="MIESIĄC" dataDxfId="60"/>
    <tableColumn id="3" xr3:uid="{00000000-0010-0000-0500-000003000000}" name="13.07.2020-17.09.2020" dataDxfId="59" dataCellStyle="Dziesiętny"/>
    <tableColumn id="4" xr3:uid="{00000000-0010-0000-0500-000004000000}" name="18.09.2020-28.11.2020" dataDxfId="58" dataCellStyle="Dziesiętny"/>
    <tableColumn id="6" xr3:uid="{00000000-0010-0000-0500-000006000000}" name="29.11.2020-31.12.2020" dataDxfId="57" dataCellStyle="Dziesiętny"/>
    <tableColumn id="7" xr3:uid="{00000000-0010-0000-0500-000007000000}" name="01.01.2021-12.01.2021" dataDxfId="56" dataCellStyle="Dziesiętny"/>
    <tableColumn id="9" xr3:uid="{00000000-0010-0000-0500-000009000000}" name="12.01.2021-24.03.2021" dataDxfId="55" dataCellStyle="Dziesiętny"/>
    <tableColumn id="11" xr3:uid="{00000000-0010-0000-0500-00000B000000}" name="24.03.2021-20.05.2021" dataDxfId="54" dataCellStyle="Dziesiętny"/>
    <tableColumn id="2" xr3:uid="{00000000-0010-0000-0500-000002000000}" name="20.05.2021-30.07.2021" dataDxfId="53" dataCellStyle="Dziesiętny"/>
    <tableColumn id="15" xr3:uid="{00000000-0010-0000-0500-00000F000000}" name="SUMA" dataDxfId="52" dataCellStyle="Dziesiętny">
      <calculatedColumnFormula>SUM(Tabela136789[13.07.2020-17.09.2020]+Tabela136789[18.09.2020-28.11.2020]+Tabela136789[29.11.2020-31.12.2020]+Tabela136789[01.01.2021-12.01.2021]+Tabela136789[12.01.2021-24.03.2021]+Tabela136789[24.03.2021-20.05.2021]+Tabela136789[20.05.2021-30.07.2021])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a13678910" displayName="Tabela13678910" ref="B3:O4" totalsRowShown="0" headerRowDxfId="51" dataDxfId="49" headerRowBorderDxfId="50" tableBorderDxfId="48" totalsRowBorderDxfId="47">
  <autoFilter ref="B3:O4" xr:uid="{00000000-0009-0000-0100-000009000000}"/>
  <tableColumns count="14">
    <tableColumn id="1" xr3:uid="{00000000-0010-0000-0600-000001000000}" name="MIESIĄC" dataDxfId="46"/>
    <tableColumn id="3" xr3:uid="{00000000-0010-0000-0600-000003000000}" name="WRZESIEŃ" dataDxfId="45" dataCellStyle="Dziesiętny"/>
    <tableColumn id="4" xr3:uid="{00000000-0010-0000-0600-000004000000}" name="PAŹDZIERNIK" dataDxfId="44" dataCellStyle="Dziesiętny"/>
    <tableColumn id="5" xr3:uid="{00000000-0010-0000-0600-000005000000}" name="LISTOPAD" dataDxfId="43" dataCellStyle="Dziesiętny"/>
    <tableColumn id="6" xr3:uid="{00000000-0010-0000-0600-000006000000}" name="GRUDZIEŃ" dataDxfId="42" dataCellStyle="Dziesiętny"/>
    <tableColumn id="7" xr3:uid="{00000000-0010-0000-0600-000007000000}" name="STYCZEŃ" dataDxfId="41" dataCellStyle="Dziesiętny"/>
    <tableColumn id="8" xr3:uid="{00000000-0010-0000-0600-000008000000}" name="LUTY" dataDxfId="40" dataCellStyle="Dziesiętny"/>
    <tableColumn id="9" xr3:uid="{00000000-0010-0000-0600-000009000000}" name="MARZEC" dataDxfId="39" dataCellStyle="Dziesiętny"/>
    <tableColumn id="10" xr3:uid="{00000000-0010-0000-0600-00000A000000}" name="KWIECIEŃ" dataDxfId="38" dataCellStyle="Dziesiętny"/>
    <tableColumn id="11" xr3:uid="{00000000-0010-0000-0600-00000B000000}" name="MAJ" dataDxfId="37" dataCellStyle="Dziesiętny"/>
    <tableColumn id="12" xr3:uid="{00000000-0010-0000-0600-00000C000000}" name="CZERWIEC" dataDxfId="36" dataCellStyle="Dziesiętny"/>
    <tableColumn id="13" xr3:uid="{00000000-0010-0000-0600-00000D000000}" name="LIPIEC" dataDxfId="35" dataCellStyle="Dziesiętny"/>
    <tableColumn id="15" xr3:uid="{00000000-0010-0000-0600-00000F000000}" name="SIERPIEŃ" dataDxfId="34" dataCellStyle="Dziesiętny"/>
    <tableColumn id="14" xr3:uid="{00000000-0010-0000-0600-00000E000000}" name="SUMA" dataDxfId="33" dataCellStyle="Dziesiętny">
      <calculatedColumnFormula>SUM(Tabela13678910[WRZESIEŃ]+Tabela13678910[PAŹDZIERNIK]+Tabela13678910[LISTOPAD]+Tabela13678910[GRUDZIEŃ]+Tabela13678910[STYCZEŃ]+Tabela13678910[LUTY]+Tabela13678910[MARZEC]+Tabela13678910[KWIECIEŃ]+Tabela13678910[MAJ]+Tabela13678910[CZERWIEC]+Tabela13678910[LIPIEC]+Tabela13678910[SIERPIEŃ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ela136789101211" displayName="Tabela136789101211" ref="C12:K13" totalsRowShown="0" headerRowDxfId="32" dataDxfId="30" headerRowBorderDxfId="31" tableBorderDxfId="29" totalsRowBorderDxfId="28">
  <tableColumns count="9">
    <tableColumn id="1" xr3:uid="{00000000-0010-0000-0700-000001000000}" name="MIESIĄC" dataDxfId="27"/>
    <tableColumn id="5" xr3:uid="{00000000-0010-0000-0700-000005000000}" name="30.07.2020-29.09.2020" dataDxfId="26" dataCellStyle="Dziesiętny"/>
    <tableColumn id="8" xr3:uid="{00000000-0010-0000-0700-000008000000}" name="30.09.2020-24.11.2020" dataDxfId="25" dataCellStyle="Dziesiętny"/>
    <tableColumn id="10" xr3:uid="{00000000-0010-0000-0700-00000A000000}" name="25.11.2020-31.12.2020" dataDxfId="24" dataCellStyle="Dziesiętny"/>
    <tableColumn id="12" xr3:uid="{00000000-0010-0000-0700-00000C000000}" name="01.01.2021-18.01.2021" dataDxfId="23" dataCellStyle="Dziesiętny"/>
    <tableColumn id="14" xr3:uid="{00000000-0010-0000-0700-00000E000000}" name="19.01.2021-29.03.2021" dataDxfId="22" dataCellStyle="Dziesiętny"/>
    <tableColumn id="2" xr3:uid="{00000000-0010-0000-0700-000002000000}" name="30.03.2021-31.05.2021" dataDxfId="21" dataCellStyle="Dziesiętny"/>
    <tableColumn id="3" xr3:uid="{00000000-0010-0000-0700-000003000000}" name="01.06.2021-29.07.2021" dataDxfId="20" dataCellStyle="Dziesiętny"/>
    <tableColumn id="6" xr3:uid="{00000000-0010-0000-0700-000006000000}" name="SUMA" dataDxfId="19" dataCellStyle="Dziesiętny">
      <calculatedColumnFormula>SUM(Tabela136789101211[30.07.2020-29.09.2020]+Tabela136789101211[30.09.2020-24.11.2020]+Tabela136789101211[25.11.2020-31.12.2020]+Tabela136789101211[01.01.2021-18.01.2021]+Tabela136789101211[19.01.2021-29.03.2021]+Tabela136789101211[30.03.2021-31.05.2021]+Tabela136789101211[01.06.2021-29.07.2021]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8000000}" name="Tabela1362" displayName="Tabela1362" ref="A3:N4" totalsRowShown="0" headerRowDxfId="18" dataDxfId="16" headerRowBorderDxfId="17" tableBorderDxfId="15" totalsRowBorderDxfId="14">
  <autoFilter ref="A3:N4" xr:uid="{00000000-0009-0000-0100-000001000000}"/>
  <tableColumns count="14">
    <tableColumn id="1" xr3:uid="{00000000-0010-0000-0800-000001000000}" name="MIESIĄC" dataDxfId="13"/>
    <tableColumn id="5" xr3:uid="{00000000-0010-0000-0800-000005000000}" name="WRZESIEŃ" dataDxfId="12" dataCellStyle="Dziesiętny"/>
    <tableColumn id="6" xr3:uid="{00000000-0010-0000-0800-000006000000}" name="PAŹDZIERNIK" dataDxfId="11" dataCellStyle="Dziesiętny"/>
    <tableColumn id="7" xr3:uid="{00000000-0010-0000-0800-000007000000}" name="LISTOPAD" dataDxfId="10" dataCellStyle="Dziesiętny"/>
    <tableColumn id="8" xr3:uid="{00000000-0010-0000-0800-000008000000}" name="GRUDZIEŃ" dataDxfId="9" dataCellStyle="Dziesiętny"/>
    <tableColumn id="9" xr3:uid="{00000000-0010-0000-0800-000009000000}" name="STYCZEŃ" dataDxfId="8" dataCellStyle="Dziesiętny"/>
    <tableColumn id="3" xr3:uid="{00000000-0010-0000-0800-000003000000}" name="LUTY" dataDxfId="7" dataCellStyle="Dziesiętny"/>
    <tableColumn id="4" xr3:uid="{00000000-0010-0000-0800-000004000000}" name="MARZEC" dataDxfId="6" dataCellStyle="Dziesiętny"/>
    <tableColumn id="10" xr3:uid="{00000000-0010-0000-0800-00000A000000}" name="KWIECIEŃ" dataDxfId="5" dataCellStyle="Dziesiętny"/>
    <tableColumn id="11" xr3:uid="{00000000-0010-0000-0800-00000B000000}" name="MAJ" dataDxfId="4" dataCellStyle="Dziesiętny"/>
    <tableColumn id="12" xr3:uid="{00000000-0010-0000-0800-00000C000000}" name="CZERWIEC" dataDxfId="3" dataCellStyle="Dziesiętny"/>
    <tableColumn id="13" xr3:uid="{00000000-0010-0000-0800-00000D000000}" name="LIPIEC" dataDxfId="2" dataCellStyle="Dziesiętny"/>
    <tableColumn id="2" xr3:uid="{00000000-0010-0000-0800-000002000000}" name="SIERPIEŃ" dataDxfId="1" dataCellStyle="Dziesiętny"/>
    <tableColumn id="14" xr3:uid="{00000000-0010-0000-0800-00000E000000}" name="SUMA" dataDxfId="0" dataCellStyle="Dziesiętny">
      <calculatedColumnFormula>SUM(Tabela1362[[#This Row],[WRZESIEŃ]]+Tabela1362[[#This Row],[PAŹDZIERNIK]]+Tabela1362[[#This Row],[LISTOPAD]]+Tabela1362[[#This Row],[GRUDZIEŃ]]+Tabela1362[[#This Row],[STYCZEŃ]]+Tabela1362[[#This Row],[LUTY]]+Tabela1362[[#This Row],[MARZEC]]+Tabela1362[[#This Row],[KWIECIEŃ]]+Tabela1362[[#This Row],[MAJ]]+Tabela1362[[#This Row],[CZERWIEC]]+Tabela1362[[#This Row],[LIPIEC]]+Tabela1362[[#This Row],[SIERPIEŃ]])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C517-5A5A-4E6E-A1BE-8DA1F3A670EC}">
  <dimension ref="B3:M15"/>
  <sheetViews>
    <sheetView tabSelected="1" topLeftCell="A4" workbookViewId="0">
      <selection activeCell="L4" sqref="L4"/>
    </sheetView>
  </sheetViews>
  <sheetFormatPr defaultRowHeight="15"/>
  <cols>
    <col min="2" max="2" width="5.7109375" customWidth="1"/>
    <col min="4" max="4" width="13.28515625" customWidth="1"/>
    <col min="6" max="6" width="12" customWidth="1"/>
    <col min="8" max="8" width="10.42578125" customWidth="1"/>
    <col min="10" max="10" width="12.5703125" customWidth="1"/>
    <col min="12" max="12" width="14" customWidth="1"/>
    <col min="13" max="13" width="13.85546875" customWidth="1"/>
  </cols>
  <sheetData>
    <row r="3" spans="2:13" ht="15.75" thickBot="1">
      <c r="C3" t="s">
        <v>63</v>
      </c>
      <c r="K3" t="s">
        <v>64</v>
      </c>
    </row>
    <row r="4" spans="2:13" ht="115.5" thickBot="1">
      <c r="B4" s="48" t="s">
        <v>65</v>
      </c>
      <c r="C4" s="49" t="s">
        <v>66</v>
      </c>
      <c r="D4" s="49" t="s">
        <v>67</v>
      </c>
      <c r="E4" s="49" t="s">
        <v>68</v>
      </c>
      <c r="F4" s="49" t="s">
        <v>99</v>
      </c>
      <c r="G4" s="49" t="s">
        <v>101</v>
      </c>
      <c r="H4" s="49" t="s">
        <v>100</v>
      </c>
      <c r="I4" s="49" t="s">
        <v>70</v>
      </c>
      <c r="J4" s="50" t="s">
        <v>71</v>
      </c>
      <c r="K4" s="51" t="s">
        <v>72</v>
      </c>
      <c r="L4" s="49" t="s">
        <v>98</v>
      </c>
      <c r="M4" s="52" t="s">
        <v>69</v>
      </c>
    </row>
    <row r="5" spans="2:13" ht="68.25" customHeight="1" thickBot="1">
      <c r="B5" s="75">
        <v>1</v>
      </c>
      <c r="C5" s="77" t="s">
        <v>73</v>
      </c>
      <c r="D5" s="53" t="s">
        <v>74</v>
      </c>
      <c r="E5" s="54" t="s">
        <v>75</v>
      </c>
      <c r="F5" s="54" t="s">
        <v>76</v>
      </c>
      <c r="G5" s="54">
        <v>447745</v>
      </c>
      <c r="H5" s="55">
        <v>38511.599999999999</v>
      </c>
      <c r="I5" s="75" t="s">
        <v>77</v>
      </c>
      <c r="J5" s="80" t="s">
        <v>78</v>
      </c>
      <c r="K5" s="56">
        <v>0.05</v>
      </c>
      <c r="L5" s="57">
        <f>G5+(G5*K5)</f>
        <v>470132.25</v>
      </c>
      <c r="M5" s="58">
        <f>H5+(H5*K5)</f>
        <v>40437.18</v>
      </c>
    </row>
    <row r="6" spans="2:13" ht="68.25" customHeight="1" thickBot="1">
      <c r="B6" s="76"/>
      <c r="C6" s="78"/>
      <c r="D6" s="53" t="s">
        <v>79</v>
      </c>
      <c r="E6" s="54" t="s">
        <v>80</v>
      </c>
      <c r="F6" s="54" t="s">
        <v>81</v>
      </c>
      <c r="G6" s="54">
        <v>21157</v>
      </c>
      <c r="H6" s="55">
        <v>1527.89</v>
      </c>
      <c r="I6" s="79"/>
      <c r="J6" s="81"/>
      <c r="K6" s="56">
        <v>0.05</v>
      </c>
      <c r="L6" s="57">
        <f t="shared" ref="L6:L13" si="0">G6+(G6*K6)</f>
        <v>22214.85</v>
      </c>
      <c r="M6" s="58">
        <f t="shared" ref="M6:M13" si="1">H6+(H6*K6)</f>
        <v>1604.2845000000002</v>
      </c>
    </row>
    <row r="7" spans="2:13" ht="133.5" customHeight="1" thickBot="1">
      <c r="B7" s="59">
        <v>2</v>
      </c>
      <c r="C7" s="54" t="s">
        <v>82</v>
      </c>
      <c r="D7" s="54" t="s">
        <v>83</v>
      </c>
      <c r="E7" s="54" t="s">
        <v>75</v>
      </c>
      <c r="F7" s="60" t="s">
        <v>84</v>
      </c>
      <c r="G7" s="60">
        <v>428901</v>
      </c>
      <c r="H7" s="55">
        <v>37010.68</v>
      </c>
      <c r="I7" s="60" t="s">
        <v>77</v>
      </c>
      <c r="J7" s="61" t="s">
        <v>78</v>
      </c>
      <c r="K7" s="56">
        <v>0.05</v>
      </c>
      <c r="L7" s="57">
        <f t="shared" si="0"/>
        <v>450346.05</v>
      </c>
      <c r="M7" s="58">
        <f t="shared" si="1"/>
        <v>38861.214</v>
      </c>
    </row>
    <row r="8" spans="2:13" ht="138.75" customHeight="1" thickBot="1">
      <c r="B8" s="59">
        <v>3</v>
      </c>
      <c r="C8" s="54" t="s">
        <v>85</v>
      </c>
      <c r="D8" s="54" t="s">
        <v>86</v>
      </c>
      <c r="E8" s="54" t="s">
        <v>80</v>
      </c>
      <c r="F8" s="54" t="s">
        <v>81</v>
      </c>
      <c r="G8" s="60">
        <v>29473</v>
      </c>
      <c r="H8" s="55">
        <v>2609.16</v>
      </c>
      <c r="I8" s="60" t="s">
        <v>77</v>
      </c>
      <c r="J8" s="61" t="s">
        <v>78</v>
      </c>
      <c r="K8" s="56">
        <v>0.1</v>
      </c>
      <c r="L8" s="57">
        <f t="shared" si="0"/>
        <v>32420.3</v>
      </c>
      <c r="M8" s="58">
        <f t="shared" si="1"/>
        <v>2870.076</v>
      </c>
    </row>
    <row r="9" spans="2:13" ht="128.25" thickBot="1">
      <c r="B9" s="59">
        <v>4</v>
      </c>
      <c r="C9" s="54" t="s">
        <v>87</v>
      </c>
      <c r="D9" s="54" t="s">
        <v>88</v>
      </c>
      <c r="E9" s="54" t="s">
        <v>80</v>
      </c>
      <c r="F9" s="54" t="s">
        <v>81</v>
      </c>
      <c r="G9" s="60">
        <v>41398</v>
      </c>
      <c r="H9" s="55">
        <v>3548.7</v>
      </c>
      <c r="I9" s="60" t="s">
        <v>77</v>
      </c>
      <c r="J9" s="61" t="s">
        <v>78</v>
      </c>
      <c r="K9" s="56">
        <v>0.02</v>
      </c>
      <c r="L9" s="57">
        <f>G9+(G9*K9)</f>
        <v>42225.96</v>
      </c>
      <c r="M9" s="58">
        <f t="shared" si="1"/>
        <v>3619.674</v>
      </c>
    </row>
    <row r="10" spans="2:13" ht="141" thickBot="1">
      <c r="B10" s="59">
        <v>5</v>
      </c>
      <c r="C10" s="54" t="s">
        <v>89</v>
      </c>
      <c r="D10" s="54" t="s">
        <v>90</v>
      </c>
      <c r="E10" s="54" t="s">
        <v>80</v>
      </c>
      <c r="F10" s="54" t="s">
        <v>81</v>
      </c>
      <c r="G10" s="60">
        <v>24490</v>
      </c>
      <c r="H10" s="62">
        <v>2123.06</v>
      </c>
      <c r="I10" s="60" t="s">
        <v>77</v>
      </c>
      <c r="J10" s="61" t="s">
        <v>78</v>
      </c>
      <c r="K10" s="56">
        <v>0.1</v>
      </c>
      <c r="L10" s="57">
        <f t="shared" si="0"/>
        <v>26939</v>
      </c>
      <c r="M10" s="58">
        <f t="shared" si="1"/>
        <v>2335.366</v>
      </c>
    </row>
    <row r="11" spans="2:13" ht="77.25" customHeight="1" thickBot="1">
      <c r="B11" s="75">
        <v>6</v>
      </c>
      <c r="C11" s="77" t="s">
        <v>91</v>
      </c>
      <c r="D11" s="54" t="s">
        <v>92</v>
      </c>
      <c r="E11" s="54" t="s">
        <v>75</v>
      </c>
      <c r="F11" s="60" t="s">
        <v>93</v>
      </c>
      <c r="G11" s="60">
        <v>684180</v>
      </c>
      <c r="H11" s="63">
        <v>58913.82</v>
      </c>
      <c r="I11" s="60" t="s">
        <v>77</v>
      </c>
      <c r="J11" s="61" t="s">
        <v>78</v>
      </c>
      <c r="K11" s="56">
        <v>0.05</v>
      </c>
      <c r="L11" s="57">
        <f t="shared" si="0"/>
        <v>718389</v>
      </c>
      <c r="M11" s="58">
        <f t="shared" si="1"/>
        <v>61859.510999999999</v>
      </c>
    </row>
    <row r="12" spans="2:13" ht="77.25" customHeight="1" thickBot="1">
      <c r="B12" s="76"/>
      <c r="C12" s="82"/>
      <c r="D12" s="54" t="s">
        <v>94</v>
      </c>
      <c r="E12" s="54" t="s">
        <v>80</v>
      </c>
      <c r="F12" s="54" t="s">
        <v>81</v>
      </c>
      <c r="G12" s="60">
        <v>11284</v>
      </c>
      <c r="H12" s="60">
        <v>989.54</v>
      </c>
      <c r="I12" s="64" t="s">
        <v>77</v>
      </c>
      <c r="J12" s="65" t="s">
        <v>78</v>
      </c>
      <c r="K12" s="56">
        <v>0.05</v>
      </c>
      <c r="L12" s="57">
        <f>G12+(G12*K12)</f>
        <v>11848.2</v>
      </c>
      <c r="M12" s="58">
        <f t="shared" si="1"/>
        <v>1039.0170000000001</v>
      </c>
    </row>
    <row r="13" spans="2:13" ht="123.75" customHeight="1" thickBot="1">
      <c r="B13" s="59">
        <v>7</v>
      </c>
      <c r="C13" s="54" t="s">
        <v>95</v>
      </c>
      <c r="D13" s="54" t="s">
        <v>96</v>
      </c>
      <c r="E13" s="54" t="s">
        <v>75</v>
      </c>
      <c r="F13" s="60" t="s">
        <v>97</v>
      </c>
      <c r="G13" s="64">
        <v>295444</v>
      </c>
      <c r="H13" s="66">
        <v>25381.18</v>
      </c>
      <c r="I13" s="67" t="s">
        <v>77</v>
      </c>
      <c r="J13" s="67" t="s">
        <v>78</v>
      </c>
      <c r="K13" s="56">
        <v>0.05</v>
      </c>
      <c r="L13" s="68">
        <f t="shared" si="0"/>
        <v>310216.2</v>
      </c>
      <c r="M13" s="69">
        <f t="shared" si="1"/>
        <v>26650.239000000001</v>
      </c>
    </row>
    <row r="14" spans="2:13">
      <c r="B14" s="70"/>
      <c r="C14" s="70"/>
      <c r="D14" s="70"/>
      <c r="E14" s="70"/>
      <c r="F14" s="70"/>
      <c r="G14" s="58">
        <f>SUM(G5:G13)</f>
        <v>1984072</v>
      </c>
      <c r="H14" s="71">
        <f>SUM(H5:H13)</f>
        <v>170615.63</v>
      </c>
      <c r="I14" s="70"/>
      <c r="J14" s="70"/>
      <c r="K14" s="70"/>
      <c r="L14" s="72">
        <f>SUM(L5:L13)</f>
        <v>2084731.8099999998</v>
      </c>
      <c r="M14" s="73">
        <f>SUM(M5:M13)</f>
        <v>179276.56150000001</v>
      </c>
    </row>
    <row r="15" spans="2:13">
      <c r="L15" s="74"/>
      <c r="M15" s="74"/>
    </row>
  </sheetData>
  <mergeCells count="6">
    <mergeCell ref="B5:B6"/>
    <mergeCell ref="C5:C6"/>
    <mergeCell ref="I5:I6"/>
    <mergeCell ref="J5:J6"/>
    <mergeCell ref="B11:B12"/>
    <mergeCell ref="C11:C1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zoomScaleNormal="100" workbookViewId="0">
      <selection activeCell="F18" sqref="F18"/>
    </sheetView>
  </sheetViews>
  <sheetFormatPr defaultRowHeight="15"/>
  <cols>
    <col min="2" max="2" width="15.42578125" bestFit="1" customWidth="1"/>
    <col min="3" max="3" width="17.5703125" bestFit="1" customWidth="1"/>
    <col min="4" max="4" width="21" bestFit="1" customWidth="1"/>
    <col min="5" max="5" width="17" bestFit="1" customWidth="1"/>
    <col min="6" max="6" width="17.7109375" bestFit="1" customWidth="1"/>
    <col min="7" max="7" width="16.85546875" bestFit="1" customWidth="1"/>
    <col min="8" max="8" width="16.85546875" customWidth="1"/>
    <col min="9" max="10" width="16.85546875" bestFit="1" customWidth="1"/>
    <col min="11" max="11" width="17" bestFit="1" customWidth="1"/>
    <col min="12" max="12" width="16.85546875" bestFit="1" customWidth="1"/>
    <col min="13" max="13" width="17.28515625" bestFit="1" customWidth="1"/>
    <col min="14" max="14" width="16.85546875" bestFit="1" customWidth="1"/>
    <col min="15" max="15" width="18.42578125" bestFit="1" customWidth="1"/>
    <col min="16" max="16" width="20.85546875" customWidth="1"/>
  </cols>
  <sheetData>
    <row r="1" spans="1:16" ht="63" customHeight="1"/>
    <row r="2" spans="1:16" ht="50.1" customHeight="1" thickBot="1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5" customFormat="1" ht="60" customHeight="1">
      <c r="B3" s="22" t="s">
        <v>0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44" t="s">
        <v>13</v>
      </c>
      <c r="O3" s="24" t="s">
        <v>15</v>
      </c>
    </row>
    <row r="4" spans="1:16" s="5" customFormat="1" ht="60" customHeight="1" thickBot="1">
      <c r="B4" s="25" t="s">
        <v>16</v>
      </c>
      <c r="C4" s="29">
        <v>15933</v>
      </c>
      <c r="D4" s="29">
        <v>31564</v>
      </c>
      <c r="E4" s="29">
        <v>43652</v>
      </c>
      <c r="F4" s="29">
        <v>61516</v>
      </c>
      <c r="G4" s="30">
        <v>69133</v>
      </c>
      <c r="H4" s="30">
        <v>72252</v>
      </c>
      <c r="I4" s="30">
        <v>64832</v>
      </c>
      <c r="J4" s="30">
        <v>44360</v>
      </c>
      <c r="K4" s="30">
        <v>21626</v>
      </c>
      <c r="L4" s="30">
        <v>11798</v>
      </c>
      <c r="M4" s="30">
        <v>6098</v>
      </c>
      <c r="N4" s="35">
        <v>4981</v>
      </c>
      <c r="O4" s="26">
        <f>SUM(Tabela13[WRZESIEŃ]+Tabela13[PAŹDZIERNIK]+Tabela13[LISTOPAD]+Tabela13[GRUDZIEŃ]+Tabela13[STYCZEŃ]+Tabela13[LUTY]+Tabela13[MARZEC]+Tabela13[KWIECIEŃ]+Tabela13[MAJ]+Tabela13[CZERWIEC]+Tabela13[LIPIEC]+Tabela13[SIERPIEŃ])</f>
        <v>447745</v>
      </c>
    </row>
    <row r="9" spans="1:16" ht="50.1" customHeight="1">
      <c r="A9" s="83" t="s">
        <v>28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" s="5" customFormat="1" ht="60" customHeight="1">
      <c r="D10" s="3" t="s">
        <v>0</v>
      </c>
      <c r="E10" s="27" t="s">
        <v>29</v>
      </c>
      <c r="F10" s="27" t="s">
        <v>30</v>
      </c>
      <c r="G10" s="27" t="s">
        <v>31</v>
      </c>
      <c r="H10" s="27" t="s">
        <v>32</v>
      </c>
      <c r="I10" s="27" t="s">
        <v>33</v>
      </c>
      <c r="J10" s="27" t="s">
        <v>34</v>
      </c>
      <c r="K10" s="8" t="s">
        <v>35</v>
      </c>
      <c r="L10" s="4" t="s">
        <v>15</v>
      </c>
      <c r="M10" s="20"/>
      <c r="N10" s="20"/>
    </row>
    <row r="11" spans="1:16" s="5" customFormat="1" ht="39.950000000000003" customHeight="1">
      <c r="D11" s="6" t="s">
        <v>1</v>
      </c>
      <c r="E11" s="31">
        <v>0</v>
      </c>
      <c r="F11" s="31">
        <v>2387</v>
      </c>
      <c r="G11" s="31">
        <v>4370</v>
      </c>
      <c r="H11" s="31">
        <v>2402</v>
      </c>
      <c r="I11" s="31">
        <v>8356</v>
      </c>
      <c r="J11" s="31">
        <v>3642</v>
      </c>
      <c r="K11" s="32">
        <v>0</v>
      </c>
      <c r="L11" s="18">
        <f>SUM(Tabela154[26.07.2020-25.09.2020]+Tabela154[26.09.2020-16.11.2020]+Tabela154[17.11.2020-31.12.2020]+Tabela154[01.01.2021-22.01.2021]+Tabela154[22.01.2021-24.03.2021]+Tabela154[24.03.2021-22.05.2021]+Tabela154[22.05.2021-24.07.2021])</f>
        <v>21157</v>
      </c>
      <c r="M11" s="21"/>
      <c r="N11" s="21"/>
    </row>
  </sheetData>
  <mergeCells count="2">
    <mergeCell ref="A2:P2"/>
    <mergeCell ref="A9:P9"/>
  </mergeCells>
  <pageMargins left="0.7" right="0.7" top="0.75" bottom="0.75" header="0.3" footer="0.3"/>
  <pageSetup paperSize="9" scale="51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"/>
  <sheetViews>
    <sheetView zoomScaleNormal="100" workbookViewId="0">
      <selection activeCell="O9" sqref="B6:O9"/>
    </sheetView>
  </sheetViews>
  <sheetFormatPr defaultRowHeight="15"/>
  <cols>
    <col min="1" max="2" width="15.7109375" customWidth="1"/>
    <col min="3" max="3" width="21" bestFit="1" customWidth="1"/>
    <col min="4" max="4" width="17" bestFit="1" customWidth="1"/>
    <col min="5" max="6" width="18.42578125" bestFit="1" customWidth="1"/>
    <col min="7" max="7" width="16.85546875" bestFit="1" customWidth="1"/>
    <col min="8" max="8" width="18.42578125" bestFit="1" customWidth="1"/>
    <col min="9" max="9" width="18.140625" customWidth="1"/>
    <col min="10" max="10" width="16.85546875" bestFit="1" customWidth="1"/>
    <col min="11" max="11" width="17.28515625" bestFit="1" customWidth="1"/>
    <col min="12" max="12" width="17" customWidth="1"/>
    <col min="13" max="14" width="15.7109375" customWidth="1"/>
    <col min="15" max="15" width="18.42578125" bestFit="1" customWidth="1"/>
  </cols>
  <sheetData>
    <row r="1" spans="2:15" ht="75" customHeight="1"/>
    <row r="2" spans="2:15" s="9" customFormat="1" ht="50.1" customHeight="1">
      <c r="B2" s="13" t="s">
        <v>26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42"/>
      <c r="N2" s="42"/>
      <c r="O2" s="12"/>
    </row>
    <row r="3" spans="2:15" s="5" customFormat="1" ht="60" customHeight="1">
      <c r="B3" s="3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15</v>
      </c>
    </row>
    <row r="4" spans="2:15" s="5" customFormat="1" ht="39.950000000000003" customHeight="1">
      <c r="B4" s="6" t="s">
        <v>1</v>
      </c>
      <c r="C4" s="36">
        <v>6781</v>
      </c>
      <c r="D4" s="36">
        <v>29171</v>
      </c>
      <c r="E4" s="36">
        <v>36782</v>
      </c>
      <c r="F4" s="36">
        <v>80250</v>
      </c>
      <c r="G4" s="36">
        <v>74800</v>
      </c>
      <c r="H4" s="36">
        <v>75996</v>
      </c>
      <c r="I4" s="36">
        <v>57976</v>
      </c>
      <c r="J4" s="36">
        <v>44922</v>
      </c>
      <c r="K4" s="36">
        <v>13803</v>
      </c>
      <c r="L4" s="36">
        <v>1730</v>
      </c>
      <c r="M4" s="37">
        <v>2291</v>
      </c>
      <c r="N4" s="38">
        <f>1108+3291</f>
        <v>4399</v>
      </c>
      <c r="O4" s="39">
        <f>SUM(Tabela136[WRZESIEŃ]+Tabela136[PAŹDZIERNIK]+Tabela136[LISTOPAD]+Tabela136[GRUDZIEŃ]+Tabela136[STYCZEŃ]+Tabela136[LUTY]+Tabela136[MARZEC]+Tabela136[KWIECIEŃ]+Tabela136[MAJ]+Tabela136[CZERWIEC]+Tabela136[LIPIEC]+Tabela136[SIERPIEŃ])</f>
        <v>428901</v>
      </c>
    </row>
  </sheetData>
  <phoneticPr fontId="15" type="noConversion"/>
  <pageMargins left="0.7" right="0.7" top="0.75" bottom="0.75" header="0.3" footer="0.3"/>
  <pageSetup paperSize="9" scale="4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"/>
  <sheetViews>
    <sheetView zoomScaleNormal="100" workbookViewId="0">
      <selection activeCell="J9" sqref="J9"/>
    </sheetView>
  </sheetViews>
  <sheetFormatPr defaultRowHeight="15"/>
  <cols>
    <col min="2" max="2" width="12" customWidth="1"/>
    <col min="3" max="3" width="15.7109375" hidden="1" customWidth="1"/>
    <col min="4" max="4" width="15.7109375" customWidth="1"/>
    <col min="5" max="5" width="19" customWidth="1"/>
    <col min="6" max="10" width="15.7109375" customWidth="1"/>
    <col min="11" max="11" width="16.85546875" bestFit="1" customWidth="1"/>
    <col min="12" max="14" width="15.7109375" customWidth="1"/>
  </cols>
  <sheetData>
    <row r="1" spans="2:14" ht="76.5" customHeight="1"/>
    <row r="2" spans="2:14" ht="50.1" customHeight="1">
      <c r="B2" s="13" t="s">
        <v>25</v>
      </c>
      <c r="C2" s="43"/>
      <c r="D2" s="43"/>
      <c r="E2" s="43"/>
      <c r="F2" s="43"/>
      <c r="G2" s="43"/>
      <c r="H2" s="43"/>
      <c r="I2" s="43"/>
      <c r="J2" s="43"/>
      <c r="K2" s="43"/>
      <c r="L2" s="42"/>
      <c r="M2" s="42"/>
      <c r="N2" s="11"/>
    </row>
    <row r="3" spans="2:14" s="5" customFormat="1" ht="60" customHeight="1">
      <c r="B3" s="3" t="s">
        <v>0</v>
      </c>
      <c r="C3" s="8" t="s">
        <v>17</v>
      </c>
      <c r="D3" s="8" t="s">
        <v>36</v>
      </c>
      <c r="E3" s="8" t="s">
        <v>37</v>
      </c>
      <c r="F3" s="8" t="s">
        <v>38</v>
      </c>
      <c r="G3" s="8" t="s">
        <v>39</v>
      </c>
      <c r="H3" s="8" t="s">
        <v>40</v>
      </c>
      <c r="I3" s="8" t="s">
        <v>41</v>
      </c>
      <c r="J3" s="8" t="s">
        <v>42</v>
      </c>
      <c r="K3" s="4" t="s">
        <v>15</v>
      </c>
    </row>
    <row r="4" spans="2:14" s="5" customFormat="1" ht="39.950000000000003" customHeight="1">
      <c r="B4" s="6" t="s">
        <v>1</v>
      </c>
      <c r="C4" s="10"/>
      <c r="D4" s="37">
        <v>6776</v>
      </c>
      <c r="E4" s="37">
        <v>4593</v>
      </c>
      <c r="F4" s="37">
        <v>2849</v>
      </c>
      <c r="G4" s="37">
        <v>1635</v>
      </c>
      <c r="H4" s="37">
        <v>4876</v>
      </c>
      <c r="I4" s="37">
        <v>5125</v>
      </c>
      <c r="J4" s="37">
        <v>3619</v>
      </c>
      <c r="K4" s="39">
        <f>SUM(Tabela1367[[09.07.2020-29.09.2020]:[31.05.2021-28.07.2021]])</f>
        <v>29473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zoomScaleNormal="100" workbookViewId="0">
      <selection activeCell="O8" sqref="O8"/>
    </sheetView>
  </sheetViews>
  <sheetFormatPr defaultRowHeight="15"/>
  <cols>
    <col min="2" max="2" width="13.85546875" customWidth="1"/>
    <col min="3" max="3" width="19.85546875" customWidth="1"/>
    <col min="4" max="4" width="19.42578125" customWidth="1"/>
    <col min="5" max="5" width="18.28515625" bestFit="1" customWidth="1"/>
    <col min="6" max="6" width="17" customWidth="1"/>
    <col min="7" max="7" width="18.7109375" bestFit="1" customWidth="1"/>
    <col min="8" max="8" width="18.7109375" customWidth="1"/>
    <col min="9" max="9" width="15.7109375" customWidth="1"/>
    <col min="10" max="10" width="18.28515625" bestFit="1" customWidth="1"/>
  </cols>
  <sheetData>
    <row r="1" spans="1:11" ht="64.5" customHeight="1"/>
    <row r="2" spans="1:11" s="2" customFormat="1" ht="50.1" customHeight="1">
      <c r="A2" s="83" t="s">
        <v>24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5" customFormat="1" ht="60" customHeight="1">
      <c r="B3" s="3" t="s">
        <v>0</v>
      </c>
      <c r="C3" s="8" t="s">
        <v>49</v>
      </c>
      <c r="D3" s="8" t="s">
        <v>48</v>
      </c>
      <c r="E3" s="8" t="s">
        <v>47</v>
      </c>
      <c r="F3" s="8" t="s">
        <v>46</v>
      </c>
      <c r="G3" s="8" t="s">
        <v>45</v>
      </c>
      <c r="H3" s="8" t="s">
        <v>44</v>
      </c>
      <c r="I3" s="8" t="s">
        <v>43</v>
      </c>
      <c r="J3" s="4" t="s">
        <v>15</v>
      </c>
    </row>
    <row r="4" spans="1:11" s="5" customFormat="1" ht="39.950000000000003" customHeight="1">
      <c r="B4" s="6" t="s">
        <v>1</v>
      </c>
      <c r="C4" s="37">
        <v>3878</v>
      </c>
      <c r="D4" s="37">
        <v>8141</v>
      </c>
      <c r="E4" s="37">
        <v>1419</v>
      </c>
      <c r="F4" s="37">
        <v>14789</v>
      </c>
      <c r="G4" s="37">
        <v>11654</v>
      </c>
      <c r="H4" s="37">
        <v>1517</v>
      </c>
      <c r="I4" s="37">
        <v>0</v>
      </c>
      <c r="J4" s="39">
        <f>SUM(Tabela13678[[29.08.2020- 29.10.2020]:[29.06.2021-26.08.2021]])</f>
        <v>41398</v>
      </c>
    </row>
    <row r="6" spans="1:11">
      <c r="J6" s="46"/>
    </row>
    <row r="9" spans="1:11">
      <c r="F9" s="45"/>
      <c r="G9" s="45"/>
      <c r="H9" s="45"/>
    </row>
    <row r="11" spans="1:11">
      <c r="J11" s="45"/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6"/>
  <sheetViews>
    <sheetView topLeftCell="A4" zoomScaleNormal="100" workbookViewId="0">
      <selection activeCell="J7" sqref="J7"/>
    </sheetView>
  </sheetViews>
  <sheetFormatPr defaultRowHeight="15"/>
  <cols>
    <col min="2" max="2" width="18" customWidth="1"/>
    <col min="3" max="3" width="15.7109375" customWidth="1"/>
    <col min="4" max="4" width="16.42578125" customWidth="1"/>
    <col min="5" max="6" width="15.7109375" customWidth="1"/>
    <col min="7" max="7" width="15.28515625" customWidth="1"/>
    <col min="8" max="8" width="15.7109375" customWidth="1"/>
    <col min="9" max="9" width="19.7109375" bestFit="1" customWidth="1"/>
    <col min="10" max="10" width="17.28515625" bestFit="1" customWidth="1"/>
    <col min="11" max="11" width="20.7109375" customWidth="1"/>
    <col min="12" max="15" width="15.7109375" customWidth="1"/>
  </cols>
  <sheetData>
    <row r="1" spans="2:15" ht="116.25" customHeight="1"/>
    <row r="2" spans="2:15" ht="50.1" customHeight="1">
      <c r="B2" s="84" t="s">
        <v>23</v>
      </c>
      <c r="C2" s="84"/>
      <c r="D2" s="84"/>
      <c r="E2" s="84"/>
      <c r="F2" s="84"/>
      <c r="G2" s="84"/>
      <c r="H2" s="84"/>
      <c r="I2" s="84"/>
      <c r="J2" s="84"/>
      <c r="K2" s="84"/>
      <c r="L2" s="1"/>
      <c r="M2" s="1"/>
      <c r="N2" s="1"/>
      <c r="O2" s="1"/>
    </row>
    <row r="3" spans="2:15" s="5" customFormat="1" ht="60" customHeight="1">
      <c r="B3" s="3" t="s">
        <v>0</v>
      </c>
      <c r="C3" s="8" t="s">
        <v>57</v>
      </c>
      <c r="D3" s="8" t="s">
        <v>58</v>
      </c>
      <c r="E3" s="8" t="s">
        <v>38</v>
      </c>
      <c r="F3" s="8" t="s">
        <v>59</v>
      </c>
      <c r="G3" s="8" t="s">
        <v>60</v>
      </c>
      <c r="H3" s="8" t="s">
        <v>61</v>
      </c>
      <c r="I3" s="8" t="s">
        <v>62</v>
      </c>
      <c r="J3" s="4" t="s">
        <v>15</v>
      </c>
    </row>
    <row r="4" spans="2:15" s="5" customFormat="1" ht="39.950000000000003" customHeight="1">
      <c r="B4" s="6" t="s">
        <v>14</v>
      </c>
      <c r="C4" s="37">
        <v>4906</v>
      </c>
      <c r="D4" s="37">
        <v>4379</v>
      </c>
      <c r="E4" s="37">
        <v>0</v>
      </c>
      <c r="F4" s="37">
        <v>0</v>
      </c>
      <c r="G4" s="37">
        <v>0</v>
      </c>
      <c r="H4" s="37">
        <v>0</v>
      </c>
      <c r="I4" s="38">
        <v>15205</v>
      </c>
      <c r="J4" s="39">
        <f>SUM(Tabela136789[13.07.2020-17.09.2020]+Tabela136789[18.09.2020-28.11.2020]+Tabela136789[29.11.2020-31.12.2020]+Tabela136789[01.01.2021-12.01.2021]+Tabela136789[12.01.2021-24.03.2021]+Tabela136789[24.03.2021-20.05.2021]+Tabela136789[20.05.2021-30.07.2021])</f>
        <v>24490</v>
      </c>
    </row>
    <row r="5" spans="2:15">
      <c r="C5" s="33"/>
      <c r="D5" s="33"/>
      <c r="E5" s="33"/>
      <c r="F5" s="33"/>
      <c r="G5" s="33"/>
      <c r="H5" s="33"/>
      <c r="I5" s="33"/>
    </row>
    <row r="6" spans="2:15">
      <c r="C6" s="47">
        <f>SUM(Tabela136789[13.07.2020-17.09.2020]*0.09773)</f>
        <v>479.46337999999997</v>
      </c>
      <c r="D6" s="47">
        <f>SUM(Tabela136789[18.09.2020-28.11.2020]*0.09773)</f>
        <v>427.95967000000002</v>
      </c>
      <c r="E6" s="47">
        <f>SUM(Tabela136789[29.11.2020-31.12.2020]*0.09773)</f>
        <v>0</v>
      </c>
      <c r="F6" s="47">
        <f>SUM(Tabela136789[01.01.2021-12.01.2021]*0.07995)</f>
        <v>0</v>
      </c>
      <c r="G6" s="47">
        <f>SUM(Tabela136789[12.01.2021-24.03.2021]*0.07995)</f>
        <v>0</v>
      </c>
      <c r="H6" s="47">
        <f>SUM(Tabela136789[24.03.2021-20.05.2021]*0.07995)</f>
        <v>0</v>
      </c>
      <c r="I6" s="47">
        <f>SUM(Tabela136789[20.05.2021-30.07.2021]*0.07995)</f>
        <v>1215.6397499999998</v>
      </c>
      <c r="J6" s="47">
        <f>+SUM(C6+D6+E6+F6+G6+H6+I6)</f>
        <v>2123.0627999999997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15"/>
  <sheetViews>
    <sheetView zoomScaleNormal="100" workbookViewId="0">
      <selection activeCell="A6" sqref="A6:XFD6"/>
    </sheetView>
  </sheetViews>
  <sheetFormatPr defaultRowHeight="15"/>
  <cols>
    <col min="2" max="2" width="12.140625" customWidth="1"/>
    <col min="3" max="3" width="19.5703125" customWidth="1"/>
    <col min="4" max="4" width="16.7109375" customWidth="1"/>
    <col min="5" max="5" width="17.5703125" customWidth="1"/>
    <col min="6" max="6" width="19" customWidth="1"/>
    <col min="7" max="7" width="18.7109375" bestFit="1" customWidth="1"/>
    <col min="8" max="8" width="18.42578125" bestFit="1" customWidth="1"/>
    <col min="9" max="9" width="18.42578125" customWidth="1"/>
    <col min="10" max="10" width="18.28515625" customWidth="1"/>
    <col min="11" max="11" width="16.85546875" bestFit="1" customWidth="1"/>
    <col min="12" max="12" width="17.28515625" bestFit="1" customWidth="1"/>
    <col min="13" max="13" width="18.42578125" bestFit="1" customWidth="1"/>
    <col min="14" max="15" width="18.42578125" customWidth="1"/>
    <col min="16" max="16" width="20.140625" customWidth="1"/>
    <col min="17" max="17" width="18.42578125" bestFit="1" customWidth="1"/>
  </cols>
  <sheetData>
    <row r="1" spans="2:16" ht="69.95" customHeight="1"/>
    <row r="2" spans="2:16" ht="50.1" customHeight="1">
      <c r="B2" s="83" t="s">
        <v>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2:16" s="5" customFormat="1" ht="60" customHeight="1">
      <c r="B3" s="3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15</v>
      </c>
    </row>
    <row r="4" spans="2:16" s="5" customFormat="1" ht="39.950000000000003" customHeight="1">
      <c r="B4" s="6" t="s">
        <v>1</v>
      </c>
      <c r="C4" s="36">
        <v>23587</v>
      </c>
      <c r="D4" s="36">
        <v>60509</v>
      </c>
      <c r="E4" s="36">
        <v>64734</v>
      </c>
      <c r="F4" s="36">
        <v>88157</v>
      </c>
      <c r="G4" s="36">
        <v>98028</v>
      </c>
      <c r="H4" s="36">
        <v>101583</v>
      </c>
      <c r="I4" s="36">
        <v>89673</v>
      </c>
      <c r="J4" s="36">
        <v>66276</v>
      </c>
      <c r="K4" s="36">
        <v>36530</v>
      </c>
      <c r="L4" s="36">
        <v>19405</v>
      </c>
      <c r="M4" s="37">
        <v>17946</v>
      </c>
      <c r="N4" s="38">
        <v>17752</v>
      </c>
      <c r="O4" s="39">
        <f>SUM(Tabela13678910[WRZESIEŃ]+Tabela13678910[PAŹDZIERNIK]+Tabela13678910[LISTOPAD]+Tabela13678910[GRUDZIEŃ]+Tabela13678910[STYCZEŃ]+Tabela13678910[LUTY]+Tabela13678910[MARZEC]+Tabela13678910[KWIECIEŃ]+Tabela13678910[MAJ]+Tabela13678910[CZERWIEC]+Tabela13678910[LIPIEC]+Tabela13678910[SIERPIEŃ])</f>
        <v>684180</v>
      </c>
    </row>
    <row r="5" spans="2:16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6" hidden="1">
      <c r="C6" s="47">
        <f>SUM(Tabela13678910[WRZESIEŃ]*0.09773)</f>
        <v>2305.15751</v>
      </c>
      <c r="D6" s="47">
        <f>SUM(Tabela13678910[PAŹDZIERNIK]*0.09773)</f>
        <v>5913.54457</v>
      </c>
      <c r="E6" s="47">
        <f>SUM(Tabela13678910[LISTOPAD]*0.09773)</f>
        <v>6326.4538199999997</v>
      </c>
      <c r="F6" s="47">
        <f>SUM(Tabela13678910[GRUDZIEŃ]*0.09773)</f>
        <v>8615.5836099999997</v>
      </c>
      <c r="G6" s="47">
        <f>SUM(Tabela13678910[STYCZEŃ]*0.07995)</f>
        <v>7837.3385999999991</v>
      </c>
      <c r="H6" s="47">
        <f>SUM(Tabela13678910[LUTY]*0.07995)</f>
        <v>8121.5608499999989</v>
      </c>
      <c r="I6" s="47">
        <f>SUM(Tabela13678910[MARZEC]*0.07995)</f>
        <v>7169.3563499999991</v>
      </c>
      <c r="J6" s="47">
        <f>SUM(Tabela13678910[KWIECIEŃ]*0.07995)</f>
        <v>5298.7661999999991</v>
      </c>
      <c r="K6" s="47">
        <f>SUM(Tabela13678910[MAJ]*0.07995)</f>
        <v>2920.5735</v>
      </c>
      <c r="L6" s="47">
        <f>SUM(Tabela13678910[CZERWIEC]*0.07995)</f>
        <v>1551.4297499999998</v>
      </c>
      <c r="M6" s="47">
        <f>SUM(Tabela13678910[LIPIEC]*0.07995)</f>
        <v>1434.7827</v>
      </c>
      <c r="N6" s="47">
        <f>SUM(Tabela13678910[SIERPIEŃ]*0.07995)</f>
        <v>1419.2723999999998</v>
      </c>
      <c r="O6" s="47">
        <f>SUM(C6+D6+E6+F6+G6+H6+I6+J6+K6+L6+M6+N6)</f>
        <v>58913.819860000003</v>
      </c>
    </row>
    <row r="11" spans="2:16" ht="50.1" customHeight="1">
      <c r="B11" s="83" t="s">
        <v>22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19"/>
      <c r="O11" s="34"/>
    </row>
    <row r="12" spans="2:16" s="5" customFormat="1" ht="68.25" customHeight="1">
      <c r="C12" s="3" t="s">
        <v>0</v>
      </c>
      <c r="D12" s="8" t="s">
        <v>50</v>
      </c>
      <c r="E12" s="8" t="s">
        <v>51</v>
      </c>
      <c r="F12" s="8" t="s">
        <v>52</v>
      </c>
      <c r="G12" s="8" t="s">
        <v>53</v>
      </c>
      <c r="H12" s="8" t="s">
        <v>54</v>
      </c>
      <c r="I12" s="8" t="s">
        <v>55</v>
      </c>
      <c r="J12" s="8" t="s">
        <v>56</v>
      </c>
      <c r="K12" s="17" t="s">
        <v>15</v>
      </c>
      <c r="L12" s="16" t="s">
        <v>18</v>
      </c>
      <c r="M12" s="16"/>
      <c r="N12" s="14" t="s">
        <v>19</v>
      </c>
      <c r="O12" s="14"/>
    </row>
    <row r="13" spans="2:16" s="5" customFormat="1" ht="39.950000000000003" customHeight="1">
      <c r="C13" s="7" t="s">
        <v>1</v>
      </c>
      <c r="D13" s="40">
        <v>1609</v>
      </c>
      <c r="E13" s="40">
        <v>1629</v>
      </c>
      <c r="F13" s="40">
        <v>1677</v>
      </c>
      <c r="G13" s="40">
        <v>406</v>
      </c>
      <c r="H13" s="40">
        <v>2973</v>
      </c>
      <c r="I13" s="40">
        <v>2237</v>
      </c>
      <c r="J13" s="40">
        <v>753</v>
      </c>
      <c r="K13" s="41">
        <f>SUM(Tabela136789101211[30.07.2020-29.09.2020]+Tabela136789101211[30.09.2020-24.11.2020]+Tabela136789101211[25.11.2020-31.12.2020]+Tabela136789101211[01.01.2021-18.01.2021]+Tabela136789101211[19.01.2021-29.03.2021]+Tabela136789101211[30.03.2021-31.05.2021]+Tabela136789101211[01.06.2021-29.07.2021])</f>
        <v>11284</v>
      </c>
      <c r="L13" s="16"/>
      <c r="M13" s="16"/>
      <c r="N13" s="14"/>
      <c r="O13" s="14"/>
    </row>
    <row r="14" spans="2:16">
      <c r="M14" s="15"/>
      <c r="N14" s="15"/>
      <c r="O14" s="15"/>
    </row>
    <row r="15" spans="2:16">
      <c r="D15" s="47"/>
      <c r="E15" s="47"/>
      <c r="F15" s="47"/>
      <c r="G15" s="47"/>
      <c r="H15" s="47"/>
      <c r="I15" s="47"/>
      <c r="J15" s="47"/>
      <c r="K15" s="47"/>
    </row>
  </sheetData>
  <mergeCells count="2">
    <mergeCell ref="B11:M11"/>
    <mergeCell ref="B2:P2"/>
  </mergeCells>
  <pageMargins left="0.7" right="0.7" top="0.75" bottom="0.75" header="0.3" footer="0.3"/>
  <pageSetup paperSize="9" scale="5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"/>
  <sheetViews>
    <sheetView workbookViewId="0">
      <selection activeCell="H16" sqref="H16"/>
    </sheetView>
  </sheetViews>
  <sheetFormatPr defaultRowHeight="15"/>
  <cols>
    <col min="1" max="1" width="15.42578125" bestFit="1" customWidth="1"/>
    <col min="2" max="2" width="17.5703125" bestFit="1" customWidth="1"/>
    <col min="3" max="3" width="18.85546875" customWidth="1"/>
    <col min="4" max="4" width="17" bestFit="1" customWidth="1"/>
    <col min="5" max="5" width="17.7109375" bestFit="1" customWidth="1"/>
    <col min="6" max="6" width="18.5703125" customWidth="1"/>
    <col min="7" max="7" width="17" bestFit="1" customWidth="1"/>
    <col min="8" max="8" width="16.85546875" bestFit="1" customWidth="1"/>
    <col min="9" max="9" width="16.85546875" customWidth="1"/>
    <col min="10" max="11" width="15.85546875" customWidth="1"/>
    <col min="12" max="14" width="18.42578125" bestFit="1" customWidth="1"/>
  </cols>
  <sheetData>
    <row r="1" spans="1:14" ht="75" customHeight="1"/>
    <row r="2" spans="1:14" s="9" customFormat="1" ht="50.1" customHeight="1">
      <c r="A2" s="83" t="s">
        <v>20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28"/>
      <c r="N2" s="12"/>
    </row>
    <row r="3" spans="1:14" s="5" customFormat="1" ht="60" customHeight="1">
      <c r="A3" s="3" t="s">
        <v>0</v>
      </c>
      <c r="B3" s="4" t="s">
        <v>2</v>
      </c>
      <c r="C3" s="4" t="s">
        <v>3</v>
      </c>
      <c r="D3" s="4" t="s">
        <v>4</v>
      </c>
      <c r="E3" s="4" t="s">
        <v>5</v>
      </c>
      <c r="F3" s="8" t="s">
        <v>6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15</v>
      </c>
    </row>
    <row r="4" spans="1:14" s="5" customFormat="1" ht="39.950000000000003" customHeight="1">
      <c r="A4" s="6" t="s">
        <v>1</v>
      </c>
      <c r="B4" s="36">
        <v>2291</v>
      </c>
      <c r="C4" s="36">
        <v>6593</v>
      </c>
      <c r="D4" s="36">
        <v>38888</v>
      </c>
      <c r="E4" s="36">
        <v>51240</v>
      </c>
      <c r="F4" s="36">
        <v>58454</v>
      </c>
      <c r="G4" s="36">
        <v>53681</v>
      </c>
      <c r="H4" s="36">
        <v>41981</v>
      </c>
      <c r="I4" s="36">
        <v>27625</v>
      </c>
      <c r="J4" s="36">
        <v>9026</v>
      </c>
      <c r="K4" s="36">
        <v>2011</v>
      </c>
      <c r="L4" s="37">
        <v>1729</v>
      </c>
      <c r="M4" s="38">
        <v>1925</v>
      </c>
      <c r="N4" s="39">
        <f>SUM(Tabela1362[[#This Row],[WRZESIEŃ]]+Tabela1362[[#This Row],[PAŹDZIERNIK]]+Tabela1362[[#This Row],[LISTOPAD]]+Tabela1362[[#This Row],[GRUDZIEŃ]]+Tabela1362[[#This Row],[STYCZEŃ]]+Tabela1362[[#This Row],[LUTY]]+Tabela1362[[#This Row],[MARZEC]]+Tabela1362[[#This Row],[KWIECIEŃ]]+Tabela1362[[#This Row],[MAJ]]+Tabela1362[[#This Row],[CZERWIEC]]+Tabela1362[[#This Row],[LIPIEC]]+Tabela1362[[#This Row],[SIERPIEŃ]])</f>
        <v>295444</v>
      </c>
    </row>
  </sheetData>
  <mergeCells count="1">
    <mergeCell ref="A2:L2"/>
  </mergeCells>
  <phoneticPr fontId="15" type="noConversion"/>
  <pageMargins left="0.7" right="0.7" top="0.75" bottom="0.75" header="0.3" footer="0.3"/>
  <pageSetup paperSize="9" scale="6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Arkusz1</vt:lpstr>
      <vt:lpstr>MOS</vt:lpstr>
      <vt:lpstr>SOSW NR1</vt:lpstr>
      <vt:lpstr>PMDK</vt:lpstr>
      <vt:lpstr>PPPP</vt:lpstr>
      <vt:lpstr>LO</vt:lpstr>
      <vt:lpstr>SOSW NR2</vt:lpstr>
      <vt:lpstr>ZS2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WiniarskaA</dc:creator>
  <cp:lastModifiedBy>Baran Małgorzata</cp:lastModifiedBy>
  <cp:lastPrinted>2021-10-13T12:32:46Z</cp:lastPrinted>
  <dcterms:created xsi:type="dcterms:W3CDTF">2017-09-13T10:17:46Z</dcterms:created>
  <dcterms:modified xsi:type="dcterms:W3CDTF">2021-10-13T12:32:48Z</dcterms:modified>
</cp:coreProperties>
</file>