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16875" windowHeight="8145"/>
  </bookViews>
  <sheets>
    <sheet name="Zał.1" sheetId="60" r:id="rId1"/>
    <sheet name="Zał. 2 " sheetId="43" r:id="rId2"/>
  </sheets>
  <externalReferences>
    <externalReference r:id="rId3"/>
    <externalReference r:id="rId4"/>
    <externalReference r:id="rId5"/>
    <externalReference r:id="rId6"/>
  </externalReferences>
  <definedNames>
    <definedName name="IdWzor" localSheetId="0">[1]DaneZrodlowe!$N$3</definedName>
    <definedName name="IdWzor">[2]DaneZrodlowe!$N$3</definedName>
    <definedName name="KwartalRb">[3]definicja!$B$5</definedName>
    <definedName name="_xlnm.Print_Area" localSheetId="0">Zał.1!$A$1:$U$110</definedName>
    <definedName name="Ostatni_rok_analizy" localSheetId="0">[1]WPF_Analiza!$M$1</definedName>
    <definedName name="Ostatni_rok_analizy">[4]WPF_Analiza!$L$1</definedName>
    <definedName name="Rok_bazowy">[3]DaneZrodlowe!$O$1</definedName>
    <definedName name="RokBazowy" localSheetId="0">[1]DaneZrodlowe!$N$1</definedName>
    <definedName name="RokBazowy">[4]DaneZrodlowe!$N$1</definedName>
    <definedName name="RokMaxProg" localSheetId="0">[1]DaneZrodlowe!$N$2</definedName>
    <definedName name="RokMaxProg">[4]DaneZrodlowe!$Q$1</definedName>
    <definedName name="RokRb">[3]definicja!$B$4</definedName>
    <definedName name="_xlnm.Print_Titles" localSheetId="1">'Zał. 2 '!$4:$5</definedName>
    <definedName name="_xlnm.Print_Titles" localSheetId="0">Zał.1!$A:$B,Zał.1!$2:$3</definedName>
    <definedName name="version" localSheetId="0">[1]definicja!$D$1</definedName>
    <definedName name="version">[4]definicja!$D$1</definedName>
    <definedName name="WydatkiPar">[3]definicja!$H$5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Zał.1!$A$2:$U$110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F39" i="43" l="1"/>
  <c r="G39" i="43"/>
  <c r="U110" i="60" l="1"/>
  <c r="T110" i="60"/>
  <c r="S110" i="60"/>
  <c r="R110" i="60"/>
  <c r="Q110" i="60"/>
  <c r="P110" i="60"/>
  <c r="O110" i="60"/>
  <c r="N110" i="60"/>
  <c r="M110" i="60"/>
  <c r="L110" i="60"/>
  <c r="K110" i="60"/>
  <c r="J110" i="60"/>
  <c r="I110" i="60"/>
  <c r="H110" i="60"/>
  <c r="G110" i="60"/>
  <c r="U109" i="60"/>
  <c r="T109" i="60"/>
  <c r="S109" i="60"/>
  <c r="R109" i="60"/>
  <c r="Q109" i="60"/>
  <c r="P109" i="60"/>
  <c r="O109" i="60"/>
  <c r="N109" i="60"/>
  <c r="M109" i="60"/>
  <c r="L109" i="60"/>
  <c r="K109" i="60"/>
  <c r="J109" i="60"/>
  <c r="I109" i="60"/>
  <c r="H109" i="60"/>
  <c r="G109" i="60"/>
  <c r="U108" i="60"/>
  <c r="T108" i="60"/>
  <c r="S108" i="60"/>
  <c r="R108" i="60"/>
  <c r="Q108" i="60"/>
  <c r="P108" i="60"/>
  <c r="O108" i="60"/>
  <c r="N108" i="60"/>
  <c r="M108" i="60"/>
  <c r="L108" i="60"/>
  <c r="K108" i="60"/>
  <c r="J108" i="60"/>
  <c r="I108" i="60"/>
  <c r="H108" i="60"/>
  <c r="G108" i="60"/>
  <c r="F108" i="60"/>
  <c r="E108" i="60"/>
  <c r="D108" i="60"/>
  <c r="C108" i="60"/>
  <c r="U106" i="60"/>
  <c r="T106" i="60"/>
  <c r="S106" i="60"/>
  <c r="R106" i="60"/>
  <c r="Q106" i="60"/>
  <c r="P106" i="60"/>
  <c r="O106" i="60"/>
  <c r="N106" i="60"/>
  <c r="M106" i="60"/>
  <c r="L106" i="60"/>
  <c r="K106" i="60"/>
  <c r="J106" i="60"/>
  <c r="I106" i="60"/>
  <c r="H106" i="60"/>
  <c r="G106" i="60"/>
  <c r="F106" i="60"/>
  <c r="E106" i="60"/>
  <c r="D106" i="60"/>
  <c r="C106" i="60"/>
  <c r="U105" i="60"/>
  <c r="T105" i="60"/>
  <c r="S105" i="60"/>
  <c r="R105" i="60"/>
  <c r="Q105" i="60"/>
  <c r="P105" i="60"/>
  <c r="O105" i="60"/>
  <c r="N105" i="60"/>
  <c r="M105" i="60"/>
  <c r="L105" i="60"/>
  <c r="K105" i="60"/>
  <c r="J105" i="60"/>
  <c r="I105" i="60"/>
  <c r="H105" i="60"/>
  <c r="G105" i="60"/>
  <c r="F105" i="60"/>
  <c r="E105" i="60"/>
  <c r="D105" i="60"/>
  <c r="C105" i="60"/>
  <c r="U104" i="60"/>
  <c r="T104" i="60"/>
  <c r="S104" i="60"/>
  <c r="R104" i="60"/>
  <c r="Q104" i="60"/>
  <c r="P104" i="60"/>
  <c r="O104" i="60"/>
  <c r="N104" i="60"/>
  <c r="M104" i="60"/>
  <c r="L104" i="60"/>
  <c r="K104" i="60"/>
  <c r="J104" i="60"/>
  <c r="I104" i="60"/>
  <c r="H104" i="60"/>
  <c r="G104" i="60"/>
  <c r="F104" i="60"/>
  <c r="E104" i="60"/>
  <c r="D104" i="60"/>
  <c r="C104" i="60"/>
  <c r="U102" i="60"/>
  <c r="T102" i="60"/>
  <c r="S102" i="60"/>
  <c r="R102" i="60"/>
  <c r="Q102" i="60"/>
  <c r="P102" i="60"/>
  <c r="O102" i="60"/>
  <c r="N102" i="60"/>
  <c r="M102" i="60"/>
  <c r="L102" i="60"/>
  <c r="K102" i="60"/>
  <c r="J102" i="60"/>
  <c r="I102" i="60"/>
  <c r="H102" i="60"/>
  <c r="G102" i="60"/>
  <c r="F102" i="60"/>
  <c r="E102" i="60"/>
  <c r="D102" i="60"/>
  <c r="C102" i="60"/>
  <c r="U101" i="60"/>
  <c r="T101" i="60"/>
  <c r="S101" i="60"/>
  <c r="R101" i="60"/>
  <c r="Q101" i="60"/>
  <c r="P101" i="60"/>
  <c r="O101" i="60"/>
  <c r="N101" i="60"/>
  <c r="M101" i="60"/>
  <c r="L101" i="60"/>
  <c r="K101" i="60"/>
  <c r="J101" i="60"/>
  <c r="I101" i="60"/>
  <c r="H101" i="60"/>
  <c r="G101" i="60"/>
  <c r="F101" i="60"/>
  <c r="E101" i="60"/>
  <c r="D101" i="60"/>
  <c r="C101" i="60"/>
  <c r="U100" i="60"/>
  <c r="T100" i="60"/>
  <c r="S100" i="60"/>
  <c r="R100" i="60"/>
  <c r="Q100" i="60"/>
  <c r="P100" i="60"/>
  <c r="O100" i="60"/>
  <c r="N100" i="60"/>
  <c r="M100" i="60"/>
  <c r="L100" i="60"/>
  <c r="K100" i="60"/>
  <c r="J100" i="60"/>
  <c r="I100" i="60"/>
  <c r="H100" i="60"/>
  <c r="G100" i="60"/>
  <c r="F100" i="60"/>
  <c r="E100" i="60"/>
  <c r="D100" i="60"/>
  <c r="C100" i="60"/>
  <c r="U99" i="60"/>
  <c r="T99" i="60"/>
  <c r="S99" i="60"/>
  <c r="R99" i="60"/>
  <c r="Q99" i="60"/>
  <c r="P99" i="60"/>
  <c r="O99" i="60"/>
  <c r="N99" i="60"/>
  <c r="M99" i="60"/>
  <c r="L99" i="60"/>
  <c r="K99" i="60"/>
  <c r="J99" i="60"/>
  <c r="I99" i="60"/>
  <c r="H99" i="60"/>
  <c r="G99" i="60"/>
  <c r="F99" i="60"/>
  <c r="E99" i="60"/>
  <c r="D99" i="60"/>
  <c r="C99" i="60"/>
  <c r="U98" i="60"/>
  <c r="T98" i="60"/>
  <c r="S98" i="60"/>
  <c r="R98" i="60"/>
  <c r="Q98" i="60"/>
  <c r="P98" i="60"/>
  <c r="O98" i="60"/>
  <c r="N98" i="60"/>
  <c r="M98" i="60"/>
  <c r="L98" i="60"/>
  <c r="K98" i="60"/>
  <c r="J98" i="60"/>
  <c r="I98" i="60"/>
  <c r="H98" i="60"/>
  <c r="G98" i="60"/>
  <c r="F98" i="60"/>
  <c r="E98" i="60"/>
  <c r="D98" i="60"/>
  <c r="C98" i="60"/>
  <c r="U97" i="60"/>
  <c r="T97" i="60"/>
  <c r="S97" i="60"/>
  <c r="R97" i="60"/>
  <c r="Q97" i="60"/>
  <c r="P97" i="60"/>
  <c r="O97" i="60"/>
  <c r="N97" i="60"/>
  <c r="M97" i="60"/>
  <c r="L97" i="60"/>
  <c r="K97" i="60"/>
  <c r="J97" i="60"/>
  <c r="I97" i="60"/>
  <c r="H97" i="60"/>
  <c r="G97" i="60"/>
  <c r="F97" i="60"/>
  <c r="E97" i="60"/>
  <c r="D97" i="60"/>
  <c r="C97" i="60"/>
  <c r="U96" i="60"/>
  <c r="T96" i="60"/>
  <c r="S96" i="60"/>
  <c r="R96" i="60"/>
  <c r="Q96" i="60"/>
  <c r="P96" i="60"/>
  <c r="O96" i="60"/>
  <c r="N96" i="60"/>
  <c r="M96" i="60"/>
  <c r="L96" i="60"/>
  <c r="K96" i="60"/>
  <c r="J96" i="60"/>
  <c r="I96" i="60"/>
  <c r="H96" i="60"/>
  <c r="G96" i="60"/>
  <c r="F96" i="60"/>
  <c r="E96" i="60"/>
  <c r="D96" i="60"/>
  <c r="C96" i="60"/>
  <c r="U95" i="60"/>
  <c r="T95" i="60"/>
  <c r="S95" i="60"/>
  <c r="R95" i="60"/>
  <c r="Q95" i="60"/>
  <c r="P95" i="60"/>
  <c r="O95" i="60"/>
  <c r="N95" i="60"/>
  <c r="M95" i="60"/>
  <c r="L95" i="60"/>
  <c r="K95" i="60"/>
  <c r="J95" i="60"/>
  <c r="I95" i="60"/>
  <c r="H95" i="60"/>
  <c r="G95" i="60"/>
  <c r="F95" i="60"/>
  <c r="E95" i="60"/>
  <c r="D95" i="60"/>
  <c r="C95" i="60"/>
  <c r="U94" i="60"/>
  <c r="T94" i="60"/>
  <c r="S94" i="60"/>
  <c r="R94" i="60"/>
  <c r="Q94" i="60"/>
  <c r="P94" i="60"/>
  <c r="O94" i="60"/>
  <c r="N94" i="60"/>
  <c r="M94" i="60"/>
  <c r="L94" i="60"/>
  <c r="K94" i="60"/>
  <c r="J94" i="60"/>
  <c r="I94" i="60"/>
  <c r="H94" i="60"/>
  <c r="G94" i="60"/>
  <c r="F94" i="60"/>
  <c r="E94" i="60"/>
  <c r="D94" i="60"/>
  <c r="C94" i="60"/>
  <c r="U93" i="60"/>
  <c r="T93" i="60"/>
  <c r="S93" i="60"/>
  <c r="R93" i="60"/>
  <c r="Q93" i="60"/>
  <c r="P93" i="60"/>
  <c r="O93" i="60"/>
  <c r="N93" i="60"/>
  <c r="M93" i="60"/>
  <c r="L93" i="60"/>
  <c r="K93" i="60"/>
  <c r="J93" i="60"/>
  <c r="I93" i="60"/>
  <c r="H93" i="60"/>
  <c r="G93" i="60"/>
  <c r="F93" i="60"/>
  <c r="E93" i="60"/>
  <c r="D93" i="60"/>
  <c r="C93" i="60"/>
  <c r="U92" i="60"/>
  <c r="T92" i="60"/>
  <c r="S92" i="60"/>
  <c r="R92" i="60"/>
  <c r="Q92" i="60"/>
  <c r="P92" i="60"/>
  <c r="O92" i="60"/>
  <c r="N92" i="60"/>
  <c r="M92" i="60"/>
  <c r="L92" i="60"/>
  <c r="K92" i="60"/>
  <c r="J92" i="60"/>
  <c r="I92" i="60"/>
  <c r="H92" i="60"/>
  <c r="G92" i="60"/>
  <c r="F92" i="60"/>
  <c r="E92" i="60"/>
  <c r="D92" i="60"/>
  <c r="C92" i="60"/>
  <c r="U91" i="60"/>
  <c r="T91" i="60"/>
  <c r="S91" i="60"/>
  <c r="R91" i="60"/>
  <c r="Q91" i="60"/>
  <c r="P91" i="60"/>
  <c r="O91" i="60"/>
  <c r="N91" i="60"/>
  <c r="M91" i="60"/>
  <c r="L91" i="60"/>
  <c r="K91" i="60"/>
  <c r="J91" i="60"/>
  <c r="I91" i="60"/>
  <c r="H91" i="60"/>
  <c r="G91" i="60"/>
  <c r="F91" i="60"/>
  <c r="E91" i="60"/>
  <c r="D91" i="60"/>
  <c r="C91" i="60"/>
  <c r="U90" i="60"/>
  <c r="T90" i="60"/>
  <c r="S90" i="60"/>
  <c r="R90" i="60"/>
  <c r="Q90" i="60"/>
  <c r="P90" i="60"/>
  <c r="O90" i="60"/>
  <c r="N90" i="60"/>
  <c r="M90" i="60"/>
  <c r="L90" i="60"/>
  <c r="K90" i="60"/>
  <c r="J90" i="60"/>
  <c r="I90" i="60"/>
  <c r="H90" i="60"/>
  <c r="G90" i="60"/>
  <c r="F90" i="60"/>
  <c r="E90" i="60"/>
  <c r="D90" i="60"/>
  <c r="C90" i="60"/>
  <c r="U89" i="60"/>
  <c r="T89" i="60"/>
  <c r="S89" i="60"/>
  <c r="R89" i="60"/>
  <c r="Q89" i="60"/>
  <c r="P89" i="60"/>
  <c r="O89" i="60"/>
  <c r="N89" i="60"/>
  <c r="M89" i="60"/>
  <c r="L89" i="60"/>
  <c r="K89" i="60"/>
  <c r="J89" i="60"/>
  <c r="I89" i="60"/>
  <c r="H89" i="60"/>
  <c r="G89" i="60"/>
  <c r="F89" i="60"/>
  <c r="E89" i="60"/>
  <c r="D89" i="60"/>
  <c r="C89" i="60"/>
  <c r="U88" i="60"/>
  <c r="T88" i="60"/>
  <c r="S88" i="60"/>
  <c r="R88" i="60"/>
  <c r="Q88" i="60"/>
  <c r="P88" i="60"/>
  <c r="O88" i="60"/>
  <c r="N88" i="60"/>
  <c r="M88" i="60"/>
  <c r="L88" i="60"/>
  <c r="K88" i="60"/>
  <c r="J88" i="60"/>
  <c r="I88" i="60"/>
  <c r="H88" i="60"/>
  <c r="G88" i="60"/>
  <c r="F88" i="60"/>
  <c r="E88" i="60"/>
  <c r="D88" i="60"/>
  <c r="C88" i="60"/>
  <c r="U87" i="60"/>
  <c r="T87" i="60"/>
  <c r="S87" i="60"/>
  <c r="R87" i="60"/>
  <c r="Q87" i="60"/>
  <c r="P87" i="60"/>
  <c r="O87" i="60"/>
  <c r="N87" i="60"/>
  <c r="M87" i="60"/>
  <c r="L87" i="60"/>
  <c r="K87" i="60"/>
  <c r="J87" i="60"/>
  <c r="I87" i="60"/>
  <c r="H87" i="60"/>
  <c r="F87" i="60"/>
  <c r="E87" i="60"/>
  <c r="D87" i="60"/>
  <c r="C87" i="60"/>
  <c r="U86" i="60"/>
  <c r="T86" i="60"/>
  <c r="S86" i="60"/>
  <c r="R86" i="60"/>
  <c r="Q86" i="60"/>
  <c r="P86" i="60"/>
  <c r="O86" i="60"/>
  <c r="N86" i="60"/>
  <c r="M86" i="60"/>
  <c r="L86" i="60"/>
  <c r="K86" i="60"/>
  <c r="J86" i="60"/>
  <c r="I86" i="60"/>
  <c r="H86" i="60"/>
  <c r="G86" i="60"/>
  <c r="F86" i="60"/>
  <c r="E86" i="60"/>
  <c r="D86" i="60"/>
  <c r="C86" i="60"/>
  <c r="U85" i="60"/>
  <c r="T85" i="60"/>
  <c r="S85" i="60"/>
  <c r="R85" i="60"/>
  <c r="Q85" i="60"/>
  <c r="P85" i="60"/>
  <c r="O85" i="60"/>
  <c r="N85" i="60"/>
  <c r="M85" i="60"/>
  <c r="L85" i="60"/>
  <c r="K85" i="60"/>
  <c r="J85" i="60"/>
  <c r="I85" i="60"/>
  <c r="H85" i="60"/>
  <c r="F85" i="60"/>
  <c r="E85" i="60"/>
  <c r="D85" i="60"/>
  <c r="C85" i="60"/>
  <c r="U83" i="60"/>
  <c r="T83" i="60"/>
  <c r="S83" i="60"/>
  <c r="R83" i="60"/>
  <c r="Q83" i="60"/>
  <c r="P83" i="60"/>
  <c r="O83" i="60"/>
  <c r="N83" i="60"/>
  <c r="M83" i="60"/>
  <c r="L83" i="60"/>
  <c r="K83" i="60"/>
  <c r="J83" i="60"/>
  <c r="I83" i="60"/>
  <c r="H83" i="60"/>
  <c r="G83" i="60"/>
  <c r="F83" i="60"/>
  <c r="E83" i="60"/>
  <c r="D83" i="60"/>
  <c r="C83" i="60"/>
  <c r="U82" i="60"/>
  <c r="T82" i="60"/>
  <c r="S82" i="60"/>
  <c r="R82" i="60"/>
  <c r="Q82" i="60"/>
  <c r="P82" i="60"/>
  <c r="O82" i="60"/>
  <c r="N82" i="60"/>
  <c r="M82" i="60"/>
  <c r="L82" i="60"/>
  <c r="K82" i="60"/>
  <c r="J82" i="60"/>
  <c r="I82" i="60"/>
  <c r="H82" i="60"/>
  <c r="G82" i="60"/>
  <c r="F82" i="60"/>
  <c r="E82" i="60"/>
  <c r="D82" i="60"/>
  <c r="C82" i="60"/>
  <c r="U81" i="60"/>
  <c r="T81" i="60"/>
  <c r="S81" i="60"/>
  <c r="R81" i="60"/>
  <c r="Q81" i="60"/>
  <c r="P81" i="60"/>
  <c r="O81" i="60"/>
  <c r="N81" i="60"/>
  <c r="M81" i="60"/>
  <c r="L81" i="60"/>
  <c r="K81" i="60"/>
  <c r="J81" i="60"/>
  <c r="I81" i="60"/>
  <c r="H81" i="60"/>
  <c r="G81" i="60"/>
  <c r="F81" i="60"/>
  <c r="E81" i="60"/>
  <c r="D81" i="60"/>
  <c r="C81" i="60"/>
  <c r="U80" i="60"/>
  <c r="T80" i="60"/>
  <c r="S80" i="60"/>
  <c r="R80" i="60"/>
  <c r="Q80" i="60"/>
  <c r="P80" i="60"/>
  <c r="O80" i="60"/>
  <c r="N80" i="60"/>
  <c r="M80" i="60"/>
  <c r="L80" i="60"/>
  <c r="K80" i="60"/>
  <c r="J80" i="60"/>
  <c r="I80" i="60"/>
  <c r="H80" i="60"/>
  <c r="G80" i="60"/>
  <c r="F80" i="60"/>
  <c r="E80" i="60"/>
  <c r="D80" i="60"/>
  <c r="C80" i="60"/>
  <c r="U79" i="60"/>
  <c r="T79" i="60"/>
  <c r="S79" i="60"/>
  <c r="R79" i="60"/>
  <c r="Q79" i="60"/>
  <c r="P79" i="60"/>
  <c r="O79" i="60"/>
  <c r="N79" i="60"/>
  <c r="M79" i="60"/>
  <c r="L79" i="60"/>
  <c r="K79" i="60"/>
  <c r="J79" i="60"/>
  <c r="I79" i="60"/>
  <c r="H79" i="60"/>
  <c r="G79" i="60"/>
  <c r="F79" i="60"/>
  <c r="E79" i="60"/>
  <c r="D79" i="60"/>
  <c r="C79" i="60"/>
  <c r="U78" i="60"/>
  <c r="T78" i="60"/>
  <c r="S78" i="60"/>
  <c r="R78" i="60"/>
  <c r="Q78" i="60"/>
  <c r="P78" i="60"/>
  <c r="O78" i="60"/>
  <c r="N78" i="60"/>
  <c r="M78" i="60"/>
  <c r="L78" i="60"/>
  <c r="K78" i="60"/>
  <c r="J78" i="60"/>
  <c r="I78" i="60"/>
  <c r="H78" i="60"/>
  <c r="G78" i="60"/>
  <c r="F78" i="60"/>
  <c r="E78" i="60"/>
  <c r="D78" i="60"/>
  <c r="C78" i="60"/>
  <c r="U77" i="60"/>
  <c r="T77" i="60"/>
  <c r="S77" i="60"/>
  <c r="R77" i="60"/>
  <c r="Q77" i="60"/>
  <c r="P77" i="60"/>
  <c r="O77" i="60"/>
  <c r="N77" i="60"/>
  <c r="M77" i="60"/>
  <c r="L77" i="60"/>
  <c r="K77" i="60"/>
  <c r="J77" i="60"/>
  <c r="I77" i="60"/>
  <c r="H77" i="60"/>
  <c r="G77" i="60"/>
  <c r="F77" i="60"/>
  <c r="E77" i="60"/>
  <c r="D77" i="60"/>
  <c r="C77" i="60"/>
  <c r="U76" i="60"/>
  <c r="T76" i="60"/>
  <c r="S76" i="60"/>
  <c r="R76" i="60"/>
  <c r="Q76" i="60"/>
  <c r="P76" i="60"/>
  <c r="O76" i="60"/>
  <c r="N76" i="60"/>
  <c r="M76" i="60"/>
  <c r="L76" i="60"/>
  <c r="K76" i="60"/>
  <c r="J76" i="60"/>
  <c r="I76" i="60"/>
  <c r="H76" i="60"/>
  <c r="G76" i="60"/>
  <c r="F76" i="60"/>
  <c r="E76" i="60"/>
  <c r="D76" i="60"/>
  <c r="C76" i="60"/>
  <c r="U75" i="60"/>
  <c r="T75" i="60"/>
  <c r="S75" i="60"/>
  <c r="R75" i="60"/>
  <c r="Q75" i="60"/>
  <c r="P75" i="60"/>
  <c r="O75" i="60"/>
  <c r="N75" i="60"/>
  <c r="M75" i="60"/>
  <c r="L75" i="60"/>
  <c r="K75" i="60"/>
  <c r="J75" i="60"/>
  <c r="I75" i="60"/>
  <c r="H75" i="60"/>
  <c r="G75" i="60"/>
  <c r="F75" i="60"/>
  <c r="E75" i="60"/>
  <c r="D75" i="60"/>
  <c r="C75" i="60"/>
  <c r="U74" i="60"/>
  <c r="T74" i="60"/>
  <c r="S74" i="60"/>
  <c r="R74" i="60"/>
  <c r="Q74" i="60"/>
  <c r="P74" i="60"/>
  <c r="O74" i="60"/>
  <c r="N74" i="60"/>
  <c r="M74" i="60"/>
  <c r="L74" i="60"/>
  <c r="K74" i="60"/>
  <c r="J74" i="60"/>
  <c r="I74" i="60"/>
  <c r="H74" i="60"/>
  <c r="G74" i="60"/>
  <c r="F74" i="60"/>
  <c r="E74" i="60"/>
  <c r="D74" i="60"/>
  <c r="C74" i="60"/>
  <c r="U73" i="60"/>
  <c r="T73" i="60"/>
  <c r="S73" i="60"/>
  <c r="R73" i="60"/>
  <c r="Q73" i="60"/>
  <c r="P73" i="60"/>
  <c r="O73" i="60"/>
  <c r="N73" i="60"/>
  <c r="M73" i="60"/>
  <c r="L73" i="60"/>
  <c r="K73" i="60"/>
  <c r="J73" i="60"/>
  <c r="I73" i="60"/>
  <c r="H73" i="60"/>
  <c r="G73" i="60"/>
  <c r="F73" i="60"/>
  <c r="E73" i="60"/>
  <c r="D73" i="60"/>
  <c r="C73" i="60"/>
  <c r="U72" i="60"/>
  <c r="T72" i="60"/>
  <c r="S72" i="60"/>
  <c r="R72" i="60"/>
  <c r="Q72" i="60"/>
  <c r="P72" i="60"/>
  <c r="O72" i="60"/>
  <c r="N72" i="60"/>
  <c r="M72" i="60"/>
  <c r="L72" i="60"/>
  <c r="K72" i="60"/>
  <c r="J72" i="60"/>
  <c r="I72" i="60"/>
  <c r="H72" i="60"/>
  <c r="G72" i="60"/>
  <c r="F72" i="60"/>
  <c r="E72" i="60"/>
  <c r="D72" i="60"/>
  <c r="C72" i="60"/>
  <c r="U68" i="60"/>
  <c r="T68" i="60"/>
  <c r="S68" i="60"/>
  <c r="R68" i="60"/>
  <c r="Q68" i="60"/>
  <c r="P68" i="60"/>
  <c r="O68" i="60"/>
  <c r="N68" i="60"/>
  <c r="M68" i="60"/>
  <c r="L68" i="60"/>
  <c r="K68" i="60"/>
  <c r="J68" i="60"/>
  <c r="I68" i="60"/>
  <c r="H68" i="60"/>
  <c r="G68" i="60"/>
  <c r="U67" i="60"/>
  <c r="T67" i="60"/>
  <c r="S67" i="60"/>
  <c r="R67" i="60"/>
  <c r="Q67" i="60"/>
  <c r="P67" i="60"/>
  <c r="O67" i="60"/>
  <c r="N67" i="60"/>
  <c r="M67" i="60"/>
  <c r="L67" i="60"/>
  <c r="K67" i="60"/>
  <c r="J67" i="60"/>
  <c r="I67" i="60"/>
  <c r="H67" i="60"/>
  <c r="G67" i="60"/>
  <c r="U64" i="60"/>
  <c r="T64" i="60"/>
  <c r="S64" i="60"/>
  <c r="R64" i="60"/>
  <c r="Q64" i="60"/>
  <c r="P64" i="60"/>
  <c r="O64" i="60"/>
  <c r="N64" i="60"/>
  <c r="M64" i="60"/>
  <c r="L64" i="60"/>
  <c r="K64" i="60"/>
  <c r="J64" i="60"/>
  <c r="I64" i="60"/>
  <c r="H64" i="60"/>
  <c r="G64" i="60"/>
  <c r="U63" i="60"/>
  <c r="T63" i="60"/>
  <c r="S63" i="60"/>
  <c r="R63" i="60"/>
  <c r="Q63" i="60"/>
  <c r="P63" i="60"/>
  <c r="O63" i="60"/>
  <c r="N63" i="60"/>
  <c r="M63" i="60"/>
  <c r="L63" i="60"/>
  <c r="K63" i="60"/>
  <c r="J63" i="60"/>
  <c r="I63" i="60"/>
  <c r="H63" i="60"/>
  <c r="G63" i="60"/>
  <c r="U62" i="60"/>
  <c r="T62" i="60"/>
  <c r="S62" i="60"/>
  <c r="R62" i="60"/>
  <c r="Q62" i="60"/>
  <c r="P62" i="60"/>
  <c r="O62" i="60"/>
  <c r="N62" i="60"/>
  <c r="M62" i="60"/>
  <c r="L62" i="60"/>
  <c r="K62" i="60"/>
  <c r="J62" i="60"/>
  <c r="I62" i="60"/>
  <c r="H62" i="60"/>
  <c r="G62" i="60"/>
  <c r="F62" i="60"/>
  <c r="E62" i="60"/>
  <c r="D62" i="60"/>
  <c r="C62" i="60"/>
  <c r="U61" i="60"/>
  <c r="T61" i="60"/>
  <c r="S61" i="60"/>
  <c r="R61" i="60"/>
  <c r="Q61" i="60"/>
  <c r="P61" i="60"/>
  <c r="O61" i="60"/>
  <c r="N61" i="60"/>
  <c r="M61" i="60"/>
  <c r="L61" i="60"/>
  <c r="K61" i="60"/>
  <c r="J61" i="60"/>
  <c r="I61" i="60"/>
  <c r="H61" i="60"/>
  <c r="G61" i="60"/>
  <c r="F61" i="60"/>
  <c r="E61" i="60"/>
  <c r="D61" i="60"/>
  <c r="C61" i="60"/>
  <c r="U60" i="60"/>
  <c r="T60" i="60"/>
  <c r="S60" i="60"/>
  <c r="R60" i="60"/>
  <c r="Q60" i="60"/>
  <c r="P60" i="60"/>
  <c r="O60" i="60"/>
  <c r="N60" i="60"/>
  <c r="M60" i="60"/>
  <c r="L60" i="60"/>
  <c r="K60" i="60"/>
  <c r="J60" i="60"/>
  <c r="I60" i="60"/>
  <c r="H60" i="60"/>
  <c r="G60" i="60"/>
  <c r="F60" i="60"/>
  <c r="E60" i="60"/>
  <c r="D60" i="60"/>
  <c r="C60" i="60"/>
  <c r="U59" i="60"/>
  <c r="T59" i="60"/>
  <c r="S59" i="60"/>
  <c r="R59" i="60"/>
  <c r="Q59" i="60"/>
  <c r="P59" i="60"/>
  <c r="O59" i="60"/>
  <c r="N59" i="60"/>
  <c r="M59" i="60"/>
  <c r="L59" i="60"/>
  <c r="K59" i="60"/>
  <c r="J59" i="60"/>
  <c r="I59" i="60"/>
  <c r="H59" i="60"/>
  <c r="G59" i="60"/>
  <c r="U58" i="60"/>
  <c r="T58" i="60"/>
  <c r="S58" i="60"/>
  <c r="R58" i="60"/>
  <c r="Q58" i="60"/>
  <c r="P58" i="60"/>
  <c r="O58" i="60"/>
  <c r="N58" i="60"/>
  <c r="M58" i="60"/>
  <c r="L58" i="60"/>
  <c r="K58" i="60"/>
  <c r="J58" i="60"/>
  <c r="I58" i="60"/>
  <c r="H58" i="60"/>
  <c r="G58" i="60"/>
  <c r="U57" i="60"/>
  <c r="U66" i="60" s="1"/>
  <c r="T57" i="60"/>
  <c r="S57" i="60"/>
  <c r="S66" i="60" s="1"/>
  <c r="R57" i="60"/>
  <c r="R66" i="60" s="1"/>
  <c r="Q57" i="60"/>
  <c r="Q66" i="60" s="1"/>
  <c r="P57" i="60"/>
  <c r="O57" i="60"/>
  <c r="O66" i="60" s="1"/>
  <c r="N57" i="60"/>
  <c r="N66" i="60" s="1"/>
  <c r="M57" i="60"/>
  <c r="M66" i="60" s="1"/>
  <c r="L57" i="60"/>
  <c r="K57" i="60"/>
  <c r="K66" i="60" s="1"/>
  <c r="J57" i="60"/>
  <c r="J66" i="60" s="1"/>
  <c r="I57" i="60"/>
  <c r="I66" i="60" s="1"/>
  <c r="H57" i="60"/>
  <c r="G57" i="60"/>
  <c r="G66" i="60" s="1"/>
  <c r="U55" i="60"/>
  <c r="T55" i="60"/>
  <c r="S55" i="60"/>
  <c r="R55" i="60"/>
  <c r="Q55" i="60"/>
  <c r="P55" i="60"/>
  <c r="O55" i="60"/>
  <c r="N55" i="60"/>
  <c r="M55" i="60"/>
  <c r="L55" i="60"/>
  <c r="K55" i="60"/>
  <c r="J55" i="60"/>
  <c r="I55" i="60"/>
  <c r="H55" i="60"/>
  <c r="G55" i="60"/>
  <c r="F55" i="60"/>
  <c r="E55" i="60"/>
  <c r="D55" i="60"/>
  <c r="C55" i="60"/>
  <c r="U54" i="60"/>
  <c r="T54" i="60"/>
  <c r="S54" i="60"/>
  <c r="R54" i="60"/>
  <c r="Q54" i="60"/>
  <c r="P54" i="60"/>
  <c r="O54" i="60"/>
  <c r="N54" i="60"/>
  <c r="M54" i="60"/>
  <c r="L54" i="60"/>
  <c r="K54" i="60"/>
  <c r="J54" i="60"/>
  <c r="I54" i="60"/>
  <c r="H54" i="60"/>
  <c r="G54" i="60"/>
  <c r="F54" i="60"/>
  <c r="E54" i="60"/>
  <c r="D54" i="60"/>
  <c r="C54" i="60"/>
  <c r="U52" i="60"/>
  <c r="T52" i="60"/>
  <c r="S52" i="60"/>
  <c r="R52" i="60"/>
  <c r="Q52" i="60"/>
  <c r="P52" i="60"/>
  <c r="O52" i="60"/>
  <c r="N52" i="60"/>
  <c r="M52" i="60"/>
  <c r="L52" i="60"/>
  <c r="K52" i="60"/>
  <c r="J52" i="60"/>
  <c r="I52" i="60"/>
  <c r="H52" i="60"/>
  <c r="G52" i="60"/>
  <c r="F52" i="60"/>
  <c r="E52" i="60"/>
  <c r="D52" i="60"/>
  <c r="C52" i="60"/>
  <c r="U51" i="60"/>
  <c r="T51" i="60"/>
  <c r="S51" i="60"/>
  <c r="R51" i="60"/>
  <c r="Q51" i="60"/>
  <c r="P51" i="60"/>
  <c r="O51" i="60"/>
  <c r="N51" i="60"/>
  <c r="M51" i="60"/>
  <c r="L51" i="60"/>
  <c r="K51" i="60"/>
  <c r="J51" i="60"/>
  <c r="I51" i="60"/>
  <c r="H51" i="60"/>
  <c r="G51" i="60"/>
  <c r="F51" i="60"/>
  <c r="E51" i="60"/>
  <c r="D51" i="60"/>
  <c r="C51" i="60"/>
  <c r="U50" i="60"/>
  <c r="T50" i="60"/>
  <c r="S50" i="60"/>
  <c r="R50" i="60"/>
  <c r="Q50" i="60"/>
  <c r="P50" i="60"/>
  <c r="O50" i="60"/>
  <c r="N50" i="60"/>
  <c r="M50" i="60"/>
  <c r="L50" i="60"/>
  <c r="K50" i="60"/>
  <c r="J50" i="60"/>
  <c r="I50" i="60"/>
  <c r="H50" i="60"/>
  <c r="G50" i="60"/>
  <c r="F50" i="60"/>
  <c r="E50" i="60"/>
  <c r="D50" i="60"/>
  <c r="C50" i="60"/>
  <c r="U49" i="60"/>
  <c r="T49" i="60"/>
  <c r="S49" i="60"/>
  <c r="R49" i="60"/>
  <c r="Q49" i="60"/>
  <c r="P49" i="60"/>
  <c r="O49" i="60"/>
  <c r="N49" i="60"/>
  <c r="M49" i="60"/>
  <c r="L49" i="60"/>
  <c r="K49" i="60"/>
  <c r="J49" i="60"/>
  <c r="I49" i="60"/>
  <c r="H49" i="60"/>
  <c r="G49" i="60"/>
  <c r="F49" i="60"/>
  <c r="E49" i="60"/>
  <c r="D49" i="60"/>
  <c r="C49" i="60"/>
  <c r="U48" i="60"/>
  <c r="T48" i="60"/>
  <c r="S48" i="60"/>
  <c r="R48" i="60"/>
  <c r="Q48" i="60"/>
  <c r="P48" i="60"/>
  <c r="O48" i="60"/>
  <c r="N48" i="60"/>
  <c r="M48" i="60"/>
  <c r="L48" i="60"/>
  <c r="K48" i="60"/>
  <c r="J48" i="60"/>
  <c r="I48" i="60"/>
  <c r="H48" i="60"/>
  <c r="G48" i="60"/>
  <c r="F48" i="60"/>
  <c r="E48" i="60"/>
  <c r="D48" i="60"/>
  <c r="C48" i="60"/>
  <c r="U47" i="60"/>
  <c r="T47" i="60"/>
  <c r="S47" i="60"/>
  <c r="R47" i="60"/>
  <c r="Q47" i="60"/>
  <c r="P47" i="60"/>
  <c r="O47" i="60"/>
  <c r="N47" i="60"/>
  <c r="M47" i="60"/>
  <c r="L47" i="60"/>
  <c r="K47" i="60"/>
  <c r="J47" i="60"/>
  <c r="I47" i="60"/>
  <c r="H47" i="60"/>
  <c r="G47" i="60"/>
  <c r="F47" i="60"/>
  <c r="E47" i="60"/>
  <c r="D47" i="60"/>
  <c r="C47" i="60"/>
  <c r="U46" i="60"/>
  <c r="T46" i="60"/>
  <c r="S46" i="60"/>
  <c r="R46" i="60"/>
  <c r="Q46" i="60"/>
  <c r="P46" i="60"/>
  <c r="O46" i="60"/>
  <c r="N46" i="60"/>
  <c r="M46" i="60"/>
  <c r="L46" i="60"/>
  <c r="K46" i="60"/>
  <c r="J46" i="60"/>
  <c r="I46" i="60"/>
  <c r="H46" i="60"/>
  <c r="G46" i="60"/>
  <c r="F46" i="60"/>
  <c r="E46" i="60"/>
  <c r="D46" i="60"/>
  <c r="C46" i="60"/>
  <c r="U45" i="60"/>
  <c r="T45" i="60"/>
  <c r="S45" i="60"/>
  <c r="R45" i="60"/>
  <c r="Q45" i="60"/>
  <c r="P45" i="60"/>
  <c r="O45" i="60"/>
  <c r="N45" i="60"/>
  <c r="M45" i="60"/>
  <c r="L45" i="60"/>
  <c r="K45" i="60"/>
  <c r="J45" i="60"/>
  <c r="I45" i="60"/>
  <c r="H45" i="60"/>
  <c r="G45" i="60"/>
  <c r="F45" i="60"/>
  <c r="E45" i="60"/>
  <c r="D45" i="60"/>
  <c r="C45" i="60"/>
  <c r="U44" i="60"/>
  <c r="T44" i="60"/>
  <c r="S44" i="60"/>
  <c r="R44" i="60"/>
  <c r="Q44" i="60"/>
  <c r="P44" i="60"/>
  <c r="O44" i="60"/>
  <c r="N44" i="60"/>
  <c r="M44" i="60"/>
  <c r="L44" i="60"/>
  <c r="K44" i="60"/>
  <c r="J44" i="60"/>
  <c r="I44" i="60"/>
  <c r="H44" i="60"/>
  <c r="G44" i="60"/>
  <c r="F44" i="60"/>
  <c r="E44" i="60"/>
  <c r="D44" i="60"/>
  <c r="C44" i="60"/>
  <c r="U43" i="60"/>
  <c r="T43" i="60"/>
  <c r="S43" i="60"/>
  <c r="R43" i="60"/>
  <c r="Q43" i="60"/>
  <c r="P43" i="60"/>
  <c r="O43" i="60"/>
  <c r="N43" i="60"/>
  <c r="M43" i="60"/>
  <c r="L43" i="60"/>
  <c r="K43" i="60"/>
  <c r="J43" i="60"/>
  <c r="I43" i="60"/>
  <c r="H43" i="60"/>
  <c r="G43" i="60"/>
  <c r="F43" i="60"/>
  <c r="E43" i="60"/>
  <c r="D43" i="60"/>
  <c r="C43" i="60"/>
  <c r="U42" i="60"/>
  <c r="T42" i="60"/>
  <c r="S42" i="60"/>
  <c r="R42" i="60"/>
  <c r="Q42" i="60"/>
  <c r="P42" i="60"/>
  <c r="O42" i="60"/>
  <c r="N42" i="60"/>
  <c r="M42" i="60"/>
  <c r="L42" i="60"/>
  <c r="K42" i="60"/>
  <c r="J42" i="60"/>
  <c r="I42" i="60"/>
  <c r="H42" i="60"/>
  <c r="G42" i="60"/>
  <c r="F42" i="60"/>
  <c r="E42" i="60"/>
  <c r="D42" i="60"/>
  <c r="C42" i="60"/>
  <c r="U41" i="60"/>
  <c r="T41" i="60"/>
  <c r="S41" i="60"/>
  <c r="R41" i="60"/>
  <c r="Q41" i="60"/>
  <c r="P41" i="60"/>
  <c r="O41" i="60"/>
  <c r="N41" i="60"/>
  <c r="M41" i="60"/>
  <c r="L41" i="60"/>
  <c r="K41" i="60"/>
  <c r="J41" i="60"/>
  <c r="I41" i="60"/>
  <c r="H41" i="60"/>
  <c r="G41" i="60"/>
  <c r="F41" i="60"/>
  <c r="E41" i="60"/>
  <c r="D41" i="60"/>
  <c r="C41" i="60"/>
  <c r="U40" i="60"/>
  <c r="T40" i="60"/>
  <c r="S40" i="60"/>
  <c r="R40" i="60"/>
  <c r="Q40" i="60"/>
  <c r="P40" i="60"/>
  <c r="O40" i="60"/>
  <c r="N40" i="60"/>
  <c r="M40" i="60"/>
  <c r="L40" i="60"/>
  <c r="K40" i="60"/>
  <c r="J40" i="60"/>
  <c r="I40" i="60"/>
  <c r="H40" i="60"/>
  <c r="G40" i="60"/>
  <c r="F40" i="60"/>
  <c r="E40" i="60"/>
  <c r="D40" i="60"/>
  <c r="C40" i="60"/>
  <c r="U39" i="60"/>
  <c r="T39" i="60"/>
  <c r="S39" i="60"/>
  <c r="R39" i="60"/>
  <c r="Q39" i="60"/>
  <c r="P39" i="60"/>
  <c r="O39" i="60"/>
  <c r="N39" i="60"/>
  <c r="M39" i="60"/>
  <c r="L39" i="60"/>
  <c r="K39" i="60"/>
  <c r="J39" i="60"/>
  <c r="I39" i="60"/>
  <c r="H39" i="60"/>
  <c r="G39" i="60"/>
  <c r="F39" i="60"/>
  <c r="E39" i="60"/>
  <c r="D39" i="60"/>
  <c r="C39" i="60"/>
  <c r="U38" i="60"/>
  <c r="T38" i="60"/>
  <c r="S38" i="60"/>
  <c r="R38" i="60"/>
  <c r="Q38" i="60"/>
  <c r="P38" i="60"/>
  <c r="O38" i="60"/>
  <c r="N38" i="60"/>
  <c r="M38" i="60"/>
  <c r="L38" i="60"/>
  <c r="K38" i="60"/>
  <c r="J38" i="60"/>
  <c r="I38" i="60"/>
  <c r="H38" i="60"/>
  <c r="G38" i="60"/>
  <c r="F38" i="60"/>
  <c r="E38" i="60"/>
  <c r="D38" i="60"/>
  <c r="C38" i="60"/>
  <c r="U37" i="60"/>
  <c r="T37" i="60"/>
  <c r="S37" i="60"/>
  <c r="R37" i="60"/>
  <c r="Q37" i="60"/>
  <c r="P37" i="60"/>
  <c r="O37" i="60"/>
  <c r="N37" i="60"/>
  <c r="M37" i="60"/>
  <c r="L37" i="60"/>
  <c r="K37" i="60"/>
  <c r="J37" i="60"/>
  <c r="I37" i="60"/>
  <c r="H37" i="60"/>
  <c r="G37" i="60"/>
  <c r="F37" i="60"/>
  <c r="E37" i="60"/>
  <c r="D37" i="60"/>
  <c r="C37" i="60"/>
  <c r="U36" i="60"/>
  <c r="T36" i="60"/>
  <c r="S36" i="60"/>
  <c r="R36" i="60"/>
  <c r="Q36" i="60"/>
  <c r="P36" i="60"/>
  <c r="O36" i="60"/>
  <c r="N36" i="60"/>
  <c r="M36" i="60"/>
  <c r="L36" i="60"/>
  <c r="K36" i="60"/>
  <c r="J36" i="60"/>
  <c r="I36" i="60"/>
  <c r="H36" i="60"/>
  <c r="G36" i="60"/>
  <c r="F36" i="60"/>
  <c r="E36" i="60"/>
  <c r="D36" i="60"/>
  <c r="C36" i="60"/>
  <c r="U35" i="60"/>
  <c r="T35" i="60"/>
  <c r="S35" i="60"/>
  <c r="R35" i="60"/>
  <c r="Q35" i="60"/>
  <c r="P35" i="60"/>
  <c r="O35" i="60"/>
  <c r="N35" i="60"/>
  <c r="M35" i="60"/>
  <c r="L35" i="60"/>
  <c r="K35" i="60"/>
  <c r="J35" i="60"/>
  <c r="I35" i="60"/>
  <c r="H35" i="60"/>
  <c r="G35" i="60"/>
  <c r="F35" i="60"/>
  <c r="E35" i="60"/>
  <c r="D35" i="60"/>
  <c r="C35" i="60"/>
  <c r="U34" i="60"/>
  <c r="T34" i="60"/>
  <c r="S34" i="60"/>
  <c r="R34" i="60"/>
  <c r="Q34" i="60"/>
  <c r="P34" i="60"/>
  <c r="O34" i="60"/>
  <c r="N34" i="60"/>
  <c r="M34" i="60"/>
  <c r="L34" i="60"/>
  <c r="K34" i="60"/>
  <c r="J34" i="60"/>
  <c r="I34" i="60"/>
  <c r="H34" i="60"/>
  <c r="G34" i="60"/>
  <c r="F34" i="60"/>
  <c r="E34" i="60"/>
  <c r="D34" i="60"/>
  <c r="C34" i="60"/>
  <c r="U33" i="60"/>
  <c r="T33" i="60"/>
  <c r="S33" i="60"/>
  <c r="R33" i="60"/>
  <c r="Q33" i="60"/>
  <c r="P33" i="60"/>
  <c r="O33" i="60"/>
  <c r="N33" i="60"/>
  <c r="M33" i="60"/>
  <c r="L33" i="60"/>
  <c r="K33" i="60"/>
  <c r="J33" i="60"/>
  <c r="I33" i="60"/>
  <c r="H33" i="60"/>
  <c r="G33" i="60"/>
  <c r="F33" i="60"/>
  <c r="E33" i="60"/>
  <c r="D33" i="60"/>
  <c r="C33" i="60"/>
  <c r="U32" i="60"/>
  <c r="T32" i="60"/>
  <c r="S32" i="60"/>
  <c r="R32" i="60"/>
  <c r="Q32" i="60"/>
  <c r="P32" i="60"/>
  <c r="O32" i="60"/>
  <c r="N32" i="60"/>
  <c r="M32" i="60"/>
  <c r="L32" i="60"/>
  <c r="K32" i="60"/>
  <c r="J32" i="60"/>
  <c r="I32" i="60"/>
  <c r="H32" i="60"/>
  <c r="G32" i="60"/>
  <c r="F32" i="60"/>
  <c r="E32" i="60"/>
  <c r="D32" i="60"/>
  <c r="C32" i="60"/>
  <c r="U31" i="60"/>
  <c r="T31" i="60"/>
  <c r="S31" i="60"/>
  <c r="R31" i="60"/>
  <c r="Q31" i="60"/>
  <c r="P31" i="60"/>
  <c r="O31" i="60"/>
  <c r="N31" i="60"/>
  <c r="M31" i="60"/>
  <c r="L31" i="60"/>
  <c r="K31" i="60"/>
  <c r="J31" i="60"/>
  <c r="I31" i="60"/>
  <c r="H31" i="60"/>
  <c r="G31" i="60"/>
  <c r="F31" i="60"/>
  <c r="E31" i="60"/>
  <c r="D31" i="60"/>
  <c r="C31" i="60"/>
  <c r="U30" i="60"/>
  <c r="T30" i="60"/>
  <c r="S30" i="60"/>
  <c r="R30" i="60"/>
  <c r="Q30" i="60"/>
  <c r="P30" i="60"/>
  <c r="O30" i="60"/>
  <c r="N30" i="60"/>
  <c r="M30" i="60"/>
  <c r="L30" i="60"/>
  <c r="K30" i="60"/>
  <c r="J30" i="60"/>
  <c r="I30" i="60"/>
  <c r="H30" i="60"/>
  <c r="G30" i="60"/>
  <c r="F30" i="60"/>
  <c r="E30" i="60"/>
  <c r="D30" i="60"/>
  <c r="C30" i="60"/>
  <c r="U29" i="60"/>
  <c r="T29" i="60"/>
  <c r="S29" i="60"/>
  <c r="R29" i="60"/>
  <c r="Q29" i="60"/>
  <c r="P29" i="60"/>
  <c r="O29" i="60"/>
  <c r="N29" i="60"/>
  <c r="M29" i="60"/>
  <c r="L29" i="60"/>
  <c r="K29" i="60"/>
  <c r="J29" i="60"/>
  <c r="I29" i="60"/>
  <c r="H29" i="60"/>
  <c r="G29" i="60"/>
  <c r="F29" i="60"/>
  <c r="E29" i="60"/>
  <c r="D29" i="60"/>
  <c r="C29" i="60"/>
  <c r="U28" i="60"/>
  <c r="T28" i="60"/>
  <c r="S28" i="60"/>
  <c r="R28" i="60"/>
  <c r="Q28" i="60"/>
  <c r="P28" i="60"/>
  <c r="O28" i="60"/>
  <c r="N28" i="60"/>
  <c r="M28" i="60"/>
  <c r="L28" i="60"/>
  <c r="K28" i="60"/>
  <c r="J28" i="60"/>
  <c r="I28" i="60"/>
  <c r="H28" i="60"/>
  <c r="G28" i="60"/>
  <c r="F28" i="60"/>
  <c r="E28" i="60"/>
  <c r="D28" i="60"/>
  <c r="C28" i="60"/>
  <c r="U27" i="60"/>
  <c r="T27" i="60"/>
  <c r="S27" i="60"/>
  <c r="R27" i="60"/>
  <c r="Q27" i="60"/>
  <c r="P27" i="60"/>
  <c r="O27" i="60"/>
  <c r="N27" i="60"/>
  <c r="M27" i="60"/>
  <c r="L27" i="60"/>
  <c r="K27" i="60"/>
  <c r="J27" i="60"/>
  <c r="I27" i="60"/>
  <c r="H27" i="60"/>
  <c r="G27" i="60"/>
  <c r="F27" i="60"/>
  <c r="E27" i="60"/>
  <c r="D27" i="60"/>
  <c r="C27" i="60"/>
  <c r="U26" i="60"/>
  <c r="T26" i="60"/>
  <c r="S26" i="60"/>
  <c r="R26" i="60"/>
  <c r="Q26" i="60"/>
  <c r="P26" i="60"/>
  <c r="O26" i="60"/>
  <c r="N26" i="60"/>
  <c r="M26" i="60"/>
  <c r="L26" i="60"/>
  <c r="K26" i="60"/>
  <c r="J26" i="60"/>
  <c r="I26" i="60"/>
  <c r="H26" i="60"/>
  <c r="G26" i="60"/>
  <c r="F26" i="60"/>
  <c r="E26" i="60"/>
  <c r="D26" i="60"/>
  <c r="C26" i="60"/>
  <c r="U25" i="60"/>
  <c r="T25" i="60"/>
  <c r="S25" i="60"/>
  <c r="R25" i="60"/>
  <c r="Q25" i="60"/>
  <c r="P25" i="60"/>
  <c r="O25" i="60"/>
  <c r="N25" i="60"/>
  <c r="M25" i="60"/>
  <c r="L25" i="60"/>
  <c r="K25" i="60"/>
  <c r="J25" i="60"/>
  <c r="I25" i="60"/>
  <c r="H25" i="60"/>
  <c r="G25" i="60"/>
  <c r="F25" i="60"/>
  <c r="E25" i="60"/>
  <c r="D25" i="60"/>
  <c r="C25" i="60"/>
  <c r="U24" i="60"/>
  <c r="T24" i="60"/>
  <c r="S24" i="60"/>
  <c r="R24" i="60"/>
  <c r="Q24" i="60"/>
  <c r="P24" i="60"/>
  <c r="O24" i="60"/>
  <c r="N24" i="60"/>
  <c r="M24" i="60"/>
  <c r="L24" i="60"/>
  <c r="K24" i="60"/>
  <c r="J24" i="60"/>
  <c r="I24" i="60"/>
  <c r="H24" i="60"/>
  <c r="G24" i="60"/>
  <c r="F24" i="60"/>
  <c r="E24" i="60"/>
  <c r="D24" i="60"/>
  <c r="C24" i="60"/>
  <c r="U23" i="60"/>
  <c r="T23" i="60"/>
  <c r="S23" i="60"/>
  <c r="R23" i="60"/>
  <c r="Q23" i="60"/>
  <c r="P23" i="60"/>
  <c r="O23" i="60"/>
  <c r="N23" i="60"/>
  <c r="M23" i="60"/>
  <c r="L23" i="60"/>
  <c r="K23" i="60"/>
  <c r="J23" i="60"/>
  <c r="I23" i="60"/>
  <c r="H23" i="60"/>
  <c r="G23" i="60"/>
  <c r="F23" i="60"/>
  <c r="E23" i="60"/>
  <c r="D23" i="60"/>
  <c r="C23" i="60"/>
  <c r="U22" i="60"/>
  <c r="T22" i="60"/>
  <c r="S22" i="60"/>
  <c r="R22" i="60"/>
  <c r="Q22" i="60"/>
  <c r="P22" i="60"/>
  <c r="O22" i="60"/>
  <c r="N22" i="60"/>
  <c r="M22" i="60"/>
  <c r="L22" i="60"/>
  <c r="K22" i="60"/>
  <c r="J22" i="60"/>
  <c r="I22" i="60"/>
  <c r="H22" i="60"/>
  <c r="G22" i="60"/>
  <c r="F22" i="60"/>
  <c r="E22" i="60"/>
  <c r="D22" i="60"/>
  <c r="C22" i="60"/>
  <c r="U21" i="60"/>
  <c r="T21" i="60"/>
  <c r="S21" i="60"/>
  <c r="R21" i="60"/>
  <c r="Q21" i="60"/>
  <c r="P21" i="60"/>
  <c r="O21" i="60"/>
  <c r="N21" i="60"/>
  <c r="M21" i="60"/>
  <c r="L21" i="60"/>
  <c r="K21" i="60"/>
  <c r="J21" i="60"/>
  <c r="I21" i="60"/>
  <c r="H21" i="60"/>
  <c r="G21" i="60"/>
  <c r="F21" i="60"/>
  <c r="E21" i="60"/>
  <c r="D21" i="60"/>
  <c r="C21" i="60"/>
  <c r="U20" i="60"/>
  <c r="T20" i="60"/>
  <c r="S20" i="60"/>
  <c r="R20" i="60"/>
  <c r="Q20" i="60"/>
  <c r="P20" i="60"/>
  <c r="O20" i="60"/>
  <c r="N20" i="60"/>
  <c r="M20" i="60"/>
  <c r="L20" i="60"/>
  <c r="K20" i="60"/>
  <c r="J20" i="60"/>
  <c r="I20" i="60"/>
  <c r="H20" i="60"/>
  <c r="G20" i="60"/>
  <c r="F20" i="60"/>
  <c r="E20" i="60"/>
  <c r="D20" i="60"/>
  <c r="C20" i="60"/>
  <c r="U19" i="60"/>
  <c r="T19" i="60"/>
  <c r="S19" i="60"/>
  <c r="R19" i="60"/>
  <c r="Q19" i="60"/>
  <c r="P19" i="60"/>
  <c r="O19" i="60"/>
  <c r="N19" i="60"/>
  <c r="M19" i="60"/>
  <c r="L19" i="60"/>
  <c r="K19" i="60"/>
  <c r="J19" i="60"/>
  <c r="I19" i="60"/>
  <c r="H19" i="60"/>
  <c r="G19" i="60"/>
  <c r="F19" i="60"/>
  <c r="E19" i="60"/>
  <c r="D19" i="60"/>
  <c r="C19" i="60"/>
  <c r="U18" i="60"/>
  <c r="T18" i="60"/>
  <c r="S18" i="60"/>
  <c r="R18" i="60"/>
  <c r="Q18" i="60"/>
  <c r="P18" i="60"/>
  <c r="O18" i="60"/>
  <c r="N18" i="60"/>
  <c r="M18" i="60"/>
  <c r="L18" i="60"/>
  <c r="K18" i="60"/>
  <c r="J18" i="60"/>
  <c r="I18" i="60"/>
  <c r="H18" i="60"/>
  <c r="G18" i="60"/>
  <c r="F18" i="60"/>
  <c r="E18" i="60"/>
  <c r="D18" i="60"/>
  <c r="C18" i="60"/>
  <c r="U17" i="60"/>
  <c r="T17" i="60"/>
  <c r="S17" i="60"/>
  <c r="R17" i="60"/>
  <c r="Q17" i="60"/>
  <c r="P17" i="60"/>
  <c r="O17" i="60"/>
  <c r="N17" i="60"/>
  <c r="M17" i="60"/>
  <c r="L17" i="60"/>
  <c r="K17" i="60"/>
  <c r="J17" i="60"/>
  <c r="I17" i="60"/>
  <c r="H17" i="60"/>
  <c r="G17" i="60"/>
  <c r="F17" i="60"/>
  <c r="E17" i="60"/>
  <c r="D17" i="60"/>
  <c r="C17" i="60"/>
  <c r="U16" i="60"/>
  <c r="T16" i="60"/>
  <c r="S16" i="60"/>
  <c r="R16" i="60"/>
  <c r="Q16" i="60"/>
  <c r="P16" i="60"/>
  <c r="O16" i="60"/>
  <c r="N16" i="60"/>
  <c r="M16" i="60"/>
  <c r="L16" i="60"/>
  <c r="K16" i="60"/>
  <c r="J16" i="60"/>
  <c r="I16" i="60"/>
  <c r="H16" i="60"/>
  <c r="G16" i="60"/>
  <c r="F16" i="60"/>
  <c r="E16" i="60"/>
  <c r="D16" i="60"/>
  <c r="C16" i="60"/>
  <c r="U15" i="60"/>
  <c r="T15" i="60"/>
  <c r="S15" i="60"/>
  <c r="R15" i="60"/>
  <c r="Q15" i="60"/>
  <c r="P15" i="60"/>
  <c r="O15" i="60"/>
  <c r="N15" i="60"/>
  <c r="M15" i="60"/>
  <c r="L15" i="60"/>
  <c r="K15" i="60"/>
  <c r="J15" i="60"/>
  <c r="I15" i="60"/>
  <c r="H15" i="60"/>
  <c r="G15" i="60"/>
  <c r="F15" i="60"/>
  <c r="E15" i="60"/>
  <c r="D15" i="60"/>
  <c r="C15" i="60"/>
  <c r="U14" i="60"/>
  <c r="T14" i="60"/>
  <c r="S14" i="60"/>
  <c r="R14" i="60"/>
  <c r="Q14" i="60"/>
  <c r="P14" i="60"/>
  <c r="O14" i="60"/>
  <c r="N14" i="60"/>
  <c r="M14" i="60"/>
  <c r="L14" i="60"/>
  <c r="K14" i="60"/>
  <c r="J14" i="60"/>
  <c r="I14" i="60"/>
  <c r="H14" i="60"/>
  <c r="G14" i="60"/>
  <c r="F14" i="60"/>
  <c r="E14" i="60"/>
  <c r="D14" i="60"/>
  <c r="C14" i="60"/>
  <c r="U13" i="60"/>
  <c r="T13" i="60"/>
  <c r="S13" i="60"/>
  <c r="R13" i="60"/>
  <c r="Q13" i="60"/>
  <c r="P13" i="60"/>
  <c r="O13" i="60"/>
  <c r="N13" i="60"/>
  <c r="M13" i="60"/>
  <c r="L13" i="60"/>
  <c r="K13" i="60"/>
  <c r="J13" i="60"/>
  <c r="I13" i="60"/>
  <c r="H13" i="60"/>
  <c r="G13" i="60"/>
  <c r="F13" i="60"/>
  <c r="E13" i="60"/>
  <c r="D13" i="60"/>
  <c r="C13" i="60"/>
  <c r="U12" i="60"/>
  <c r="T12" i="60"/>
  <c r="S12" i="60"/>
  <c r="R12" i="60"/>
  <c r="Q12" i="60"/>
  <c r="P12" i="60"/>
  <c r="O12" i="60"/>
  <c r="N12" i="60"/>
  <c r="M12" i="60"/>
  <c r="L12" i="60"/>
  <c r="K12" i="60"/>
  <c r="J12" i="60"/>
  <c r="I12" i="60"/>
  <c r="H12" i="60"/>
  <c r="G12" i="60"/>
  <c r="F12" i="60"/>
  <c r="E12" i="60"/>
  <c r="D12" i="60"/>
  <c r="C12" i="60"/>
  <c r="U11" i="60"/>
  <c r="T11" i="60"/>
  <c r="S11" i="60"/>
  <c r="R11" i="60"/>
  <c r="Q11" i="60"/>
  <c r="P11" i="60"/>
  <c r="O11" i="60"/>
  <c r="N11" i="60"/>
  <c r="M11" i="60"/>
  <c r="L11" i="60"/>
  <c r="K11" i="60"/>
  <c r="J11" i="60"/>
  <c r="I11" i="60"/>
  <c r="H11" i="60"/>
  <c r="G11" i="60"/>
  <c r="F11" i="60"/>
  <c r="E11" i="60"/>
  <c r="D11" i="60"/>
  <c r="C11" i="60"/>
  <c r="U10" i="60"/>
  <c r="T10" i="60"/>
  <c r="S10" i="60"/>
  <c r="R10" i="60"/>
  <c r="Q10" i="60"/>
  <c r="P10" i="60"/>
  <c r="O10" i="60"/>
  <c r="N10" i="60"/>
  <c r="M10" i="60"/>
  <c r="L10" i="60"/>
  <c r="K10" i="60"/>
  <c r="J10" i="60"/>
  <c r="I10" i="60"/>
  <c r="H10" i="60"/>
  <c r="G10" i="60"/>
  <c r="F10" i="60"/>
  <c r="E10" i="60"/>
  <c r="D10" i="60"/>
  <c r="C10" i="60"/>
  <c r="U9" i="60"/>
  <c r="T9" i="60"/>
  <c r="S9" i="60"/>
  <c r="R9" i="60"/>
  <c r="Q9" i="60"/>
  <c r="P9" i="60"/>
  <c r="O9" i="60"/>
  <c r="N9" i="60"/>
  <c r="M9" i="60"/>
  <c r="L9" i="60"/>
  <c r="K9" i="60"/>
  <c r="J9" i="60"/>
  <c r="I9" i="60"/>
  <c r="H9" i="60"/>
  <c r="G9" i="60"/>
  <c r="F9" i="60"/>
  <c r="E9" i="60"/>
  <c r="D9" i="60"/>
  <c r="C9" i="60"/>
  <c r="U8" i="60"/>
  <c r="T8" i="60"/>
  <c r="S8" i="60"/>
  <c r="R8" i="60"/>
  <c r="Q8" i="60"/>
  <c r="P8" i="60"/>
  <c r="O8" i="60"/>
  <c r="N8" i="60"/>
  <c r="M8" i="60"/>
  <c r="L8" i="60"/>
  <c r="K8" i="60"/>
  <c r="J8" i="60"/>
  <c r="I8" i="60"/>
  <c r="H8" i="60"/>
  <c r="G8" i="60"/>
  <c r="F8" i="60"/>
  <c r="E8" i="60"/>
  <c r="D8" i="60"/>
  <c r="C8" i="60"/>
  <c r="U7" i="60"/>
  <c r="T7" i="60"/>
  <c r="S7" i="60"/>
  <c r="R7" i="60"/>
  <c r="Q7" i="60"/>
  <c r="P7" i="60"/>
  <c r="O7" i="60"/>
  <c r="N7" i="60"/>
  <c r="M7" i="60"/>
  <c r="L7" i="60"/>
  <c r="K7" i="60"/>
  <c r="J7" i="60"/>
  <c r="I7" i="60"/>
  <c r="H7" i="60"/>
  <c r="G7" i="60"/>
  <c r="F7" i="60"/>
  <c r="E7" i="60"/>
  <c r="D7" i="60"/>
  <c r="C7" i="60"/>
  <c r="U6" i="60"/>
  <c r="T6" i="60"/>
  <c r="S6" i="60"/>
  <c r="R6" i="60"/>
  <c r="Q6" i="60"/>
  <c r="P6" i="60"/>
  <c r="O6" i="60"/>
  <c r="N6" i="60"/>
  <c r="M6" i="60"/>
  <c r="L6" i="60"/>
  <c r="K6" i="60"/>
  <c r="J6" i="60"/>
  <c r="I6" i="60"/>
  <c r="H6" i="60"/>
  <c r="G6" i="60"/>
  <c r="F6" i="60"/>
  <c r="E6" i="60"/>
  <c r="D6" i="60"/>
  <c r="C6" i="60"/>
  <c r="U5" i="60"/>
  <c r="T5" i="60"/>
  <c r="S5" i="60"/>
  <c r="R5" i="60"/>
  <c r="Q5" i="60"/>
  <c r="P5" i="60"/>
  <c r="O5" i="60"/>
  <c r="N5" i="60"/>
  <c r="M5" i="60"/>
  <c r="L5" i="60"/>
  <c r="K5" i="60"/>
  <c r="J5" i="60"/>
  <c r="I5" i="60"/>
  <c r="H5" i="60"/>
  <c r="G5" i="60"/>
  <c r="F5" i="60"/>
  <c r="E5" i="60"/>
  <c r="D5" i="60"/>
  <c r="C5" i="60"/>
  <c r="U4" i="60"/>
  <c r="T4" i="60"/>
  <c r="S4" i="60"/>
  <c r="R4" i="60"/>
  <c r="Q4" i="60"/>
  <c r="P4" i="60"/>
  <c r="O4" i="60"/>
  <c r="N4" i="60"/>
  <c r="M4" i="60"/>
  <c r="L4" i="60"/>
  <c r="K4" i="60"/>
  <c r="J4" i="60"/>
  <c r="I4" i="60"/>
  <c r="H4" i="60"/>
  <c r="G4" i="60"/>
  <c r="F4" i="60"/>
  <c r="E4" i="60"/>
  <c r="D4" i="60"/>
  <c r="C4" i="60"/>
  <c r="G3" i="60"/>
  <c r="F3" i="60" s="1"/>
  <c r="E3" i="60" s="1"/>
  <c r="D3" i="60" s="1"/>
  <c r="C3" i="60" s="1"/>
  <c r="G2" i="60"/>
  <c r="H66" i="60" l="1"/>
  <c r="L66" i="60"/>
  <c r="P66" i="60"/>
  <c r="T66" i="60"/>
  <c r="G70" i="60"/>
  <c r="K70" i="60"/>
  <c r="O70" i="60"/>
  <c r="S70" i="60"/>
  <c r="H70" i="60"/>
  <c r="L70" i="60"/>
  <c r="P70" i="60"/>
  <c r="T70" i="60"/>
  <c r="I70" i="60"/>
  <c r="M70" i="60"/>
  <c r="Q70" i="60"/>
  <c r="U70" i="60"/>
  <c r="H3" i="60"/>
  <c r="I3" i="60" s="1"/>
  <c r="J3" i="60" s="1"/>
  <c r="K3" i="60" s="1"/>
  <c r="L3" i="60" s="1"/>
  <c r="M3" i="60" s="1"/>
  <c r="N3" i="60" s="1"/>
  <c r="O3" i="60" s="1"/>
  <c r="P3" i="60" s="1"/>
  <c r="Q3" i="60" s="1"/>
  <c r="R3" i="60" s="1"/>
  <c r="S3" i="60" s="1"/>
  <c r="T3" i="60" s="1"/>
  <c r="U3" i="60" s="1"/>
  <c r="J70" i="60"/>
  <c r="N70" i="60"/>
  <c r="R70" i="60"/>
  <c r="G65" i="60"/>
  <c r="K65" i="60"/>
  <c r="O65" i="60"/>
  <c r="S65" i="60"/>
  <c r="G69" i="60"/>
  <c r="K69" i="60"/>
  <c r="O69" i="60"/>
  <c r="S69" i="60"/>
  <c r="H65" i="60"/>
  <c r="L65" i="60"/>
  <c r="P65" i="60"/>
  <c r="T65" i="60"/>
  <c r="H69" i="60"/>
  <c r="L69" i="60"/>
  <c r="P69" i="60"/>
  <c r="T69" i="60"/>
  <c r="I65" i="60"/>
  <c r="M65" i="60"/>
  <c r="Q65" i="60"/>
  <c r="U65" i="60"/>
  <c r="I69" i="60"/>
  <c r="M69" i="60"/>
  <c r="Q69" i="60"/>
  <c r="U69" i="60"/>
  <c r="J65" i="60"/>
  <c r="N65" i="60"/>
  <c r="R65" i="60"/>
  <c r="J69" i="60"/>
  <c r="N69" i="60"/>
  <c r="R69" i="60"/>
  <c r="F36" i="43"/>
  <c r="G36" i="43"/>
  <c r="F37" i="43" l="1"/>
  <c r="G37" i="43"/>
  <c r="F22" i="43" l="1"/>
  <c r="G22" i="43"/>
  <c r="H22" i="43" l="1"/>
  <c r="G81" i="43" l="1"/>
  <c r="F54" i="43" l="1"/>
  <c r="F80" i="43" l="1"/>
  <c r="F79" i="43"/>
  <c r="F78" i="43"/>
  <c r="F57" i="43"/>
  <c r="F55" i="43"/>
  <c r="F52" i="43"/>
  <c r="F46" i="43"/>
  <c r="F43" i="43"/>
  <c r="F42" i="43"/>
  <c r="F40" i="43"/>
  <c r="F35" i="43"/>
  <c r="F34" i="43"/>
  <c r="F21" i="43" l="1"/>
  <c r="G21" i="43"/>
  <c r="H21" i="43"/>
  <c r="I21" i="43"/>
  <c r="J21" i="43"/>
  <c r="K21" i="43"/>
  <c r="L21" i="43"/>
  <c r="M21" i="43"/>
  <c r="N21" i="43"/>
  <c r="O23" i="43"/>
  <c r="G34" i="43" l="1"/>
  <c r="F67" i="43"/>
  <c r="F81" i="43"/>
  <c r="G79" i="43"/>
  <c r="F77" i="43"/>
  <c r="G77" i="43"/>
  <c r="F56" i="43" l="1"/>
  <c r="G42" i="43"/>
  <c r="F53" i="43"/>
  <c r="G53" i="43"/>
  <c r="O17" i="43" l="1"/>
  <c r="H13" i="43" l="1"/>
  <c r="G13" i="43"/>
  <c r="H12" i="43"/>
  <c r="G12" i="43"/>
  <c r="G62" i="43" l="1"/>
  <c r="F62" i="43" l="1"/>
  <c r="G20" i="43" l="1"/>
  <c r="G18" i="43"/>
  <c r="F32" i="43" l="1"/>
  <c r="O81" i="43" l="1"/>
  <c r="O80" i="43" l="1"/>
  <c r="F58" i="43" l="1"/>
  <c r="G52" i="43" l="1"/>
  <c r="H60" i="43" l="1"/>
  <c r="G60" i="43"/>
  <c r="F30" i="43" l="1"/>
  <c r="G30" i="43"/>
  <c r="G40" i="43" l="1"/>
  <c r="O68" i="43" l="1"/>
  <c r="O66" i="43" l="1"/>
  <c r="O64" i="43"/>
  <c r="O55" i="43"/>
  <c r="O54" i="43"/>
  <c r="O53" i="43"/>
  <c r="O50" i="43"/>
  <c r="O35" i="43"/>
  <c r="O36" i="43"/>
  <c r="O37" i="43"/>
  <c r="O39" i="43"/>
  <c r="O40" i="43"/>
  <c r="O41" i="43"/>
  <c r="O42" i="43"/>
  <c r="O43" i="43"/>
  <c r="O44" i="43"/>
  <c r="O45" i="43"/>
  <c r="O46" i="43"/>
  <c r="O47" i="43"/>
  <c r="O48" i="43"/>
  <c r="O49" i="43"/>
  <c r="O51" i="43"/>
  <c r="O52" i="43"/>
  <c r="O56" i="43"/>
  <c r="O57" i="43"/>
  <c r="O58" i="43"/>
  <c r="O60" i="43"/>
  <c r="O61" i="43"/>
  <c r="O62" i="43"/>
  <c r="O63" i="43"/>
  <c r="O65" i="43"/>
  <c r="O67" i="43"/>
  <c r="O69" i="43"/>
  <c r="O70" i="43"/>
  <c r="O71" i="43"/>
  <c r="O72" i="43"/>
  <c r="O73" i="43"/>
  <c r="O74" i="43"/>
  <c r="O75" i="43"/>
  <c r="O76" i="43"/>
  <c r="O77" i="43"/>
  <c r="O78" i="43"/>
  <c r="O79" i="43"/>
  <c r="O82" i="43"/>
  <c r="O34" i="43"/>
  <c r="H33" i="43"/>
  <c r="I33" i="43"/>
  <c r="J33" i="43"/>
  <c r="K33" i="43"/>
  <c r="L33" i="43"/>
  <c r="M33" i="43"/>
  <c r="N33" i="43"/>
  <c r="F18" i="43" l="1"/>
  <c r="F82" i="43" l="1"/>
  <c r="F66" i="43" l="1"/>
  <c r="G59" i="43"/>
  <c r="O59" i="43" s="1"/>
  <c r="F59" i="43"/>
  <c r="F50" i="43"/>
  <c r="F41" i="43"/>
  <c r="F33" i="43" s="1"/>
  <c r="G38" i="43"/>
  <c r="O32" i="43"/>
  <c r="G31" i="43"/>
  <c r="O31" i="43" s="1"/>
  <c r="O30" i="43"/>
  <c r="H29" i="43"/>
  <c r="H28" i="43" s="1"/>
  <c r="G29" i="43"/>
  <c r="G28" i="43" s="1"/>
  <c r="F29" i="43"/>
  <c r="F28" i="43" s="1"/>
  <c r="N28" i="43"/>
  <c r="N27" i="43" s="1"/>
  <c r="M28" i="43"/>
  <c r="L28" i="43"/>
  <c r="K28" i="43"/>
  <c r="J28" i="43"/>
  <c r="I28" i="43"/>
  <c r="O24" i="43"/>
  <c r="N24" i="43"/>
  <c r="M24" i="43"/>
  <c r="L24" i="43"/>
  <c r="K24" i="43"/>
  <c r="J24" i="43"/>
  <c r="I24" i="43"/>
  <c r="H24" i="43"/>
  <c r="G24" i="43"/>
  <c r="F24" i="43"/>
  <c r="O20" i="43"/>
  <c r="F20" i="43"/>
  <c r="F11" i="43" s="1"/>
  <c r="O19" i="43"/>
  <c r="O18" i="43"/>
  <c r="O16" i="43"/>
  <c r="O15" i="43"/>
  <c r="O14" i="43"/>
  <c r="O13" i="43"/>
  <c r="O12" i="43"/>
  <c r="O11" i="43" s="1"/>
  <c r="N11" i="43"/>
  <c r="M11" i="43"/>
  <c r="M10" i="43" s="1"/>
  <c r="L11" i="43"/>
  <c r="K11" i="43"/>
  <c r="K10" i="43" s="1"/>
  <c r="J11" i="43"/>
  <c r="I11" i="43"/>
  <c r="H11" i="43"/>
  <c r="G11" i="43"/>
  <c r="N9" i="43"/>
  <c r="L8" i="43" l="1"/>
  <c r="F27" i="43"/>
  <c r="L10" i="43"/>
  <c r="O38" i="43"/>
  <c r="O33" i="43" s="1"/>
  <c r="G33" i="43"/>
  <c r="G27" i="43" s="1"/>
  <c r="G10" i="43"/>
  <c r="O22" i="43"/>
  <c r="O21" i="43" s="1"/>
  <c r="H10" i="43"/>
  <c r="I10" i="43"/>
  <c r="H9" i="43"/>
  <c r="L9" i="43"/>
  <c r="K9" i="43"/>
  <c r="F10" i="43"/>
  <c r="J10" i="43"/>
  <c r="N10" i="43"/>
  <c r="N7" i="43" s="1"/>
  <c r="I9" i="43"/>
  <c r="M9" i="43"/>
  <c r="F9" i="43"/>
  <c r="O29" i="43"/>
  <c r="O28" i="43" s="1"/>
  <c r="J9" i="43"/>
  <c r="L27" i="43"/>
  <c r="M27" i="43"/>
  <c r="M7" i="43" s="1"/>
  <c r="I27" i="43"/>
  <c r="J27" i="43"/>
  <c r="K27" i="43"/>
  <c r="K7" i="43" s="1"/>
  <c r="H27" i="43"/>
  <c r="H8" i="43"/>
  <c r="I8" i="43"/>
  <c r="K8" i="43"/>
  <c r="M8" i="43"/>
  <c r="F8" i="43"/>
  <c r="J8" i="43"/>
  <c r="N8" i="43"/>
  <c r="G9" i="43" l="1"/>
  <c r="L7" i="43"/>
  <c r="J7" i="43"/>
  <c r="I7" i="43"/>
  <c r="O10" i="43"/>
  <c r="H7" i="43"/>
  <c r="G7" i="43"/>
  <c r="O8" i="43"/>
  <c r="F7" i="43"/>
  <c r="O27" i="43"/>
  <c r="G8" i="43"/>
  <c r="O9" i="43"/>
  <c r="O7" i="43" l="1"/>
</calcChain>
</file>

<file path=xl/sharedStrings.xml><?xml version="1.0" encoding="utf-8"?>
<sst xmlns="http://schemas.openxmlformats.org/spreadsheetml/2006/main" count="601" uniqueCount="366">
  <si>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</si>
  <si>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</si>
  <si>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</si>
  <si>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</si>
  <si>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</si>
  <si>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</si>
  <si>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</si>
  <si>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</si>
  <si>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</si>
  <si>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</si>
  <si>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</si>
  <si>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</si>
  <si>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</si>
  <si>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</si>
  <si>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</si>
  <si>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</si>
  <si>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</si>
  <si>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Zespół Szkół Ekonomiczno-Gastronomicznych</t>
  </si>
  <si>
    <t>1.1.1.4</t>
  </si>
  <si>
    <t>1.1.1.5</t>
  </si>
  <si>
    <t>Poprawa funkcjonowania osób niesamodzielnych z terenu powiatu otwockiego poprzez uruchomienie usług socjalnych świadczonych w formie wsparcia dziennego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</si>
  <si>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</si>
  <si>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</si>
  <si>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</si>
  <si>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</si>
  <si>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</si>
  <si>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</si>
  <si>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</si>
  <si>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</si>
  <si>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</si>
  <si>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</si>
  <si>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</si>
  <si>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</si>
  <si>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</si>
  <si>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</si>
  <si>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</si>
  <si>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</si>
  <si>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</si>
  <si>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</si>
  <si>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</si>
  <si>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1.3.2.3</t>
  </si>
  <si>
    <t>Przebudowa i rozbudowa budynku w Otwocku przy ul. Komunardów wraz z towarzyszącą infrastrukturą na potrzeby siedziby Starostwa i jednostek organizacyjnych powiatu</t>
  </si>
  <si>
    <t>1.3.2.5</t>
  </si>
  <si>
    <t>1.3.2.6</t>
  </si>
  <si>
    <t>1.3.2.7</t>
  </si>
  <si>
    <t>1.3.2.8</t>
  </si>
  <si>
    <t>Przebudowa sygnalizacji świetlnej na skrzyżowaniu dróg powiatowych Nr 2765W - ul. Kołłątaja i Nr 2763W - ul. Majowej w Otwocku</t>
  </si>
  <si>
    <t>1.3.2.9</t>
  </si>
  <si>
    <t>1.3.2.10</t>
  </si>
  <si>
    <t>Budowa drogi powiatowej Nr 1311W w Natolinie</t>
  </si>
  <si>
    <t>1.3.2.11</t>
  </si>
  <si>
    <t>1.3.2.12</t>
  </si>
  <si>
    <t>Modernizacja drogi powiatowej Nr 2737W Anielinek-Sępochów-Rudno</t>
  </si>
  <si>
    <t>1.3.2.13</t>
  </si>
  <si>
    <t>1.3.2.14</t>
  </si>
  <si>
    <t>1.3.2.15</t>
  </si>
  <si>
    <t>1.3.2.16</t>
  </si>
  <si>
    <t>1.3.2.17</t>
  </si>
  <si>
    <t>1.3.2.18</t>
  </si>
  <si>
    <t>Modernizacja drogi powiatowej Nr 2739W w Radachówce</t>
  </si>
  <si>
    <t>1.3.2.19</t>
  </si>
  <si>
    <t>1.3.2.20</t>
  </si>
  <si>
    <t>1.3.2.21</t>
  </si>
  <si>
    <t>1.3.2.22</t>
  </si>
  <si>
    <t>1.3.2.23</t>
  </si>
  <si>
    <t>1.3.2.24</t>
  </si>
  <si>
    <t>1.3.2.25</t>
  </si>
  <si>
    <t>Modernizacja drogi powiatowej Nr 1303W we wsi Śniadków Dolny</t>
  </si>
  <si>
    <t>1.3.2.26</t>
  </si>
  <si>
    <t xml:space="preserve">Dom Pomocy Społecznej "Wrzos" </t>
  </si>
  <si>
    <t>1.3.2.27</t>
  </si>
  <si>
    <t>1.3.2.28</t>
  </si>
  <si>
    <t>Modernizacja drogi powiatowej Nr 2706W Glinianka - Poręby</t>
  </si>
  <si>
    <t>1.3.2.30</t>
  </si>
  <si>
    <t>Budowa chodnika w drodze powiatowej Nr 2745W w miejscowości Kąty</t>
  </si>
  <si>
    <t>Modernizacja drogi powiatowej Nr 2745W w Antoninku</t>
  </si>
  <si>
    <t>Modernizacja drogi powiatowej Nr 2744W w Ponurzycy</t>
  </si>
  <si>
    <t>Modernizacja drogi powiatowej Nr 2751W Sobienie Kiełczewskie-Zuzanów-Czarnowiec</t>
  </si>
  <si>
    <t>Modernizacja drogi powiatowej Nr 2752W Władysławów-Zambrzyków Stary-Sobienie Kiełczewskie</t>
  </si>
  <si>
    <t>Modernizacja drogi powiatowej Nr 2746W Grabianka - Górki - Osieck</t>
  </si>
  <si>
    <t>Modernizacja drogi powiatowej Nr 1302W Piwonin - Wysoczyn - Szymanowice</t>
  </si>
  <si>
    <t>1.3.2.31</t>
  </si>
  <si>
    <t>1.3.2.32</t>
  </si>
  <si>
    <t>1.3.2.33</t>
  </si>
  <si>
    <t>1.3.2.34</t>
  </si>
  <si>
    <t>Przebudowa drogi powiatowej Nr 2245 W m. Dobrzyniec, gmina Kołbiel</t>
  </si>
  <si>
    <t>1.1.1.2</t>
  </si>
  <si>
    <t>1.1.1.3</t>
  </si>
  <si>
    <t>1.1.1.6</t>
  </si>
  <si>
    <t>1.3.2.35</t>
  </si>
  <si>
    <t>1.1.1.7</t>
  </si>
  <si>
    <t>1.1.1.8</t>
  </si>
  <si>
    <t>Podniesienie jakości kształcenia zawodowego w Zespole Szkół nr 2 w Otwocku</t>
  </si>
  <si>
    <t>Podniesienie jakości kształcenia zawodowego w Zespole Szkół Ekonomiczno-Gastronomicznych w Otwocku</t>
  </si>
  <si>
    <t>Zespół Szkół Nr 2</t>
  </si>
  <si>
    <t>1.3.2.36</t>
  </si>
  <si>
    <t>1.3.2.37</t>
  </si>
  <si>
    <t>1.3.2.38</t>
  </si>
  <si>
    <t>1.3.2.39</t>
  </si>
  <si>
    <t>1.3.2.40</t>
  </si>
  <si>
    <t>Aktywna integracja w powiecie otwockim</t>
  </si>
  <si>
    <t>1.3.2.41</t>
  </si>
  <si>
    <t>1.3.2.42</t>
  </si>
  <si>
    <t>1.3.1.3</t>
  </si>
  <si>
    <t>Wypracowanie i pilotażowe wdrożenie modelu kompleksowej rehabilitacji umożliwiającej podjęcie lub powrót do pracy</t>
  </si>
  <si>
    <t>Mobilni w Europie</t>
  </si>
  <si>
    <t>Przebudowa drogi powiatowej Nr 2724W Karczew - Janów</t>
  </si>
  <si>
    <t xml:space="preserve">Przebudowa drogi powiatowej Nr 2722W – ul. Głównej w Pogorzeli </t>
  </si>
  <si>
    <t xml:space="preserve">Zarząd Dróg Powiatowych </t>
  </si>
  <si>
    <t>Przebudowa drogi powiatowej Nr 2715W – ul. Brzozowej w Pogorzeli</t>
  </si>
  <si>
    <t>Przebudowa mostu w drodze powiatowej Nr 2722W w Pogorzeli</t>
  </si>
  <si>
    <t>Budowa chodnika na drodze powiatowej Nr 2733W – ul. Żurawinowa w Zabieżkach</t>
  </si>
  <si>
    <t>Rozbudowa drogi powiatowej Nr 2765W ul. Staszica i ul. Kołłątaja w Otwocku na odcinku od ul. Karczewskiej do mostu na rzece Świder</t>
  </si>
  <si>
    <t xml:space="preserve">Budowa ciągu pieszo-rowerowego w ul. Warszawskiej i Jana Pawła II w Otwocku na odc. od ul. Willowej do ul. Majowej </t>
  </si>
  <si>
    <t xml:space="preserve">Budowa chodnika przy drodze powiatowej Nr 2743W w miejsc. Człekówka od drogi krajowej nr 50 do istniejącego chodnika </t>
  </si>
  <si>
    <t>Budowa chodnika w drodze powiatowej Nr 2743W w miejsc. Chrząszczówka</t>
  </si>
  <si>
    <t xml:space="preserve">Modernizacja drogi powiatowej Nr 2736W w miejsc. Teresin </t>
  </si>
  <si>
    <t xml:space="preserve">Rozbudowa drogi powiatowej Nr 1302W Piwonin - Wysoczyn - Szymanowice </t>
  </si>
  <si>
    <t>Rozbudowa drogi powiatowej Nr 2711W Czarnówka - Rzakta</t>
  </si>
  <si>
    <t xml:space="preserve">Budowa chodnika w drodze powiatowej Nr 2709W w  Bolesławowie </t>
  </si>
  <si>
    <t>Nauczyciele przyszłości</t>
  </si>
  <si>
    <t xml:space="preserve">Rozbudowa skrzyżowania drogi powiatowej Nr 2709W - ulicy Napoleońskiej z drogą powiatową Nr 2710W - ulicą Łąkową na pograniczu miejscowości Lipowo i Glinianka w gminie Wiązowna </t>
  </si>
  <si>
    <t>1.3.2.43</t>
  </si>
  <si>
    <t>1.3.2.44</t>
  </si>
  <si>
    <t>1.3.2.45</t>
  </si>
  <si>
    <t>1.3.2.46</t>
  </si>
  <si>
    <t>1.3.2.47</t>
  </si>
  <si>
    <t>1.1.1.9</t>
  </si>
  <si>
    <t>Bardziej aktywny dzięki sztuce współczesnej</t>
  </si>
  <si>
    <t>Specjalny                    Ośrodek Szkolno - Wychowawczy Nr 1</t>
  </si>
  <si>
    <t>1.3.2.4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</si>
  <si>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</si>
  <si>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1.1.2.1</t>
  </si>
  <si>
    <t>1.3.1.4</t>
  </si>
  <si>
    <t>Utrzymanie ciągłości projektu pn. " Poprawa funkcjonowania osób niesamodzielnych z terenu powiatu otwockiego poprzez uruchomienie usług socjalnych świadczonych w formie wsparcia dziennego"</t>
  </si>
  <si>
    <t>Limity wydatków w poszczególnych latach</t>
  </si>
  <si>
    <t>Regionalne partnerstwo samorządów Mazowsza dla aktywizacji społeczeństwa informacyjnego w zakresie                                               e-administracji i geoinformacji</t>
  </si>
  <si>
    <t>Przebudowa mostów przez rzekę Świder w ciągu drogi powiatowej Nr 2737W w miejsc. Sępochów</t>
  </si>
  <si>
    <t xml:space="preserve">Budowa Domu Pomocy Społecznej "Wrzos" </t>
  </si>
  <si>
    <t>Wykaz przedsięwzięć wieloletnich 2021</t>
  </si>
  <si>
    <t>Rodzinne drogowskazy</t>
  </si>
  <si>
    <t>Rewitalizacja parkingu przed budynkiem Liceum Ogólnokształcącego Nr I w Otwocku</t>
  </si>
  <si>
    <t>Liceum Ogólnoksztacące Nr I w Otwocku</t>
  </si>
  <si>
    <t>Budowa chodników w drogach powiatowych na terenie gminy Wiązowna - Majdan   ul. Widoczna</t>
  </si>
  <si>
    <t>Starostwo                                     Powiatowe</t>
  </si>
  <si>
    <t>1.3.2.29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</si>
  <si>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</si>
  <si>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</si>
  <si>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</si>
  <si>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</si>
  <si>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</si>
  <si>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</si>
  <si>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</si>
  <si>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</si>
  <si>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</si>
  <si>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</si>
  <si>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</si>
  <si>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</si>
  <si>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</si>
  <si>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</si>
  <si>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</si>
  <si>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</si>
  <si>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</si>
  <si>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</si>
  <si>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</si>
  <si>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</si>
  <si>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</si>
  <si>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</si>
  <si>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</si>
  <si>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</si>
  <si>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</si>
  <si>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</si>
  <si>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</si>
  <si>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</si>
  <si>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</si>
  <si>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</si>
  <si>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</si>
  <si>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</si>
  <si>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</si>
  <si>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</si>
  <si>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</si>
  <si>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</si>
  <si>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</si>
  <si>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</si>
  <si>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</si>
  <si>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</si>
  <si>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</si>
  <si>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</si>
  <si>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</si>
  <si>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</si>
  <si>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</si>
  <si>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</si>
  <si>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</si>
  <si>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</si>
  <si>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</si>
  <si>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</si>
  <si>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</si>
  <si>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</si>
  <si>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</si>
  <si>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</si>
  <si>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</si>
  <si>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</si>
  <si>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</si>
  <si>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</si>
  <si>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</si>
  <si>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</si>
  <si>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</si>
  <si>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</si>
  <si>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</si>
  <si>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</si>
  <si>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</si>
  <si>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</si>
  <si>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</si>
  <si>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</si>
  <si>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</si>
  <si>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</si>
  <si>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</si>
  <si>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</si>
  <si>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</si>
  <si>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</si>
  <si>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</si>
  <si>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</si>
  <si>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</si>
  <si>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</si>
  <si>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</si>
  <si>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</si>
  <si>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</si>
  <si>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</si>
  <si>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</si>
  <si>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</si>
  <si>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</si>
  <si>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</si>
  <si>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</si>
  <si>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</si>
  <si>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</si>
  <si>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</si>
  <si>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</si>
  <si>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</si>
  <si>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</si>
  <si>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</si>
  <si>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</si>
  <si>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</si>
  <si>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</si>
  <si>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</si>
  <si>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</si>
  <si>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</si>
  <si>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</si>
  <si>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</si>
  <si>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8.1_vROD_2020</t>
  </si>
  <si>
    <t>8.1_vROD_2026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</si>
  <si>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</si>
  <si>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</si>
  <si>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</si>
  <si>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</si>
  <si>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</si>
  <si>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</si>
  <si>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8.3.1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</si>
  <si>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</si>
  <si>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</si>
  <si>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</si>
  <si>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</si>
  <si>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</si>
  <si>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art15zoc_ZD</t>
  </si>
  <si>
    <t xml:space="preserve">Relacja kwoty długu do dochodów ogółem </t>
  </si>
  <si>
    <t>art15zoc_8.1_ROD</t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</si>
  <si>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 xml:space="preserve"> przypadających na dany rok)</t>
    </r>
  </si>
  <si>
    <t>art15zoc_8.4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</si>
  <si>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plan 3 kwartałów roku poprzedzającego rok budżetowy</t>
    </r>
  </si>
  <si>
    <t>art15zoc_8.4.1</t>
  </si>
  <si>
    <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9"/>
        <color indexed="8"/>
        <rFont val="Times New Roman"/>
        <family val="1"/>
        <charset val="238"/>
      </rPr>
      <t>bez art. 15zob ust. 1</t>
    </r>
    <r>
      <rPr>
        <sz val="9"/>
        <color indexed="8"/>
        <rFont val="Times New Roman"/>
        <family val="1"/>
        <charset val="238"/>
      </rPr>
      <t>, obliczonego w oparciu o wykonanie roku poprzedzającego rok budżetowy</t>
    </r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</si>
  <si>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</si>
  <si>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</si>
  <si>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</si>
  <si>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</si>
  <si>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</si>
  <si>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</si>
  <si>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</si>
  <si>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</si>
  <si>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</si>
  <si>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</si>
  <si>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</si>
  <si>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</si>
  <si>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</si>
  <si>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</si>
  <si>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</si>
  <si>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</si>
  <si>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</si>
  <si>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</si>
  <si>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</si>
  <si>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</si>
  <si>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</si>
  <si>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</si>
  <si>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</si>
  <si>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</si>
  <si>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</si>
  <si>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</si>
  <si>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</si>
  <si>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</si>
  <si>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</si>
  <si>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</si>
  <si>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</si>
  <si>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</si>
  <si>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</si>
  <si>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</si>
  <si>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</si>
  <si>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</si>
  <si>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</si>
  <si>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</si>
  <si>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</si>
  <si>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</si>
  <si>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</si>
  <si>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</si>
  <si>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</si>
  <si>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</si>
  <si>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</si>
  <si>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</si>
  <si>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</si>
  <si>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</si>
  <si>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</si>
  <si>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</si>
  <si>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</si>
  <si>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</si>
  <si>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</si>
  <si>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</si>
  <si>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</si>
  <si>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</si>
  <si>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</si>
  <si>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 xml:space="preserve"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 </t>
  </si>
  <si>
    <t>10.11</t>
  </si>
  <si>
    <t>Wydatki bieżące podlegające ustawowemu wyłączeniu z limitu spłaty zobowiązań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</si>
  <si>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</si>
  <si>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</si>
  <si>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</si>
  <si>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</si>
  <si>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</si>
  <si>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</si>
  <si>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</si>
  <si>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</si>
  <si>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</si>
  <si>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</si>
  <si>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</si>
  <si>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</si>
  <si>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</si>
  <si>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</si>
  <si>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Przebudowa drogi powiatowej Nr 2759W – ul. Poniatowskiego w Otwocku wraz  z wykonaniem odwodnienia na wysokości Zakładu Ubezpieczeń Społecznych</t>
  </si>
  <si>
    <t>Remont i prace konserwatorskie schodów w Liceum Ogólnokształcącym Nr Iw Otwocku</t>
  </si>
  <si>
    <t>Modernizacja drogi powiatowej w Glinkach</t>
  </si>
  <si>
    <t>1.3.2.48</t>
  </si>
  <si>
    <t>1.3.2.49</t>
  </si>
  <si>
    <t>Wykonanie nakładki asfaltobetonowej na drodze powiatowej            Nr 2726W przez Sobiekursk</t>
  </si>
  <si>
    <t>Wykonanie nakładki asflatobetonowej na drodze powiatowej        Nr 2741W w Kołbieli</t>
  </si>
  <si>
    <t>Wykonanie nakładki asfaltobetonowej na drodze powiatowej          Nr 2739W w Gadce na odcinku od drogi krajowej  Nr 17 do miejscowości Gadka</t>
  </si>
  <si>
    <t>Rozbudowa dróg powiatowych Nr 2715W ul. Armii Krajowej i  Nr 2759W ul. Narutowicza z droga gminną ul. Armii Krajowej w Otwocku</t>
  </si>
  <si>
    <t>Wykonanie nakładki asfaltowej na drodze powiatowej                    Nr 2747W  -  Nowe Kościeliska</t>
  </si>
  <si>
    <t xml:space="preserve">Przedłużenie ul. Narutowicza w Otwocku na odcinku od ul. Andriollego w Otwocku do ul. Ciepłowniczej w Karczewie i dalej  do drogi wojewódzkiej   nr 801 </t>
  </si>
  <si>
    <t>Rozbudowa skrzyżowania dróg powiatowych Nr 2765W                 ul. Karczewskiej i Nr 2760W  ul.  Batorego i ul. Matejki w Otwocku</t>
  </si>
  <si>
    <t>Wykonanie nakładki asfaltobetonowej na drodze powiatowej         Nr 2728W w Ostrówcu</t>
  </si>
  <si>
    <t>Modernizacja drogi powiatowej Nr 2729W Kępa Gliniecka - Otwock Wielki - Otwock Mały - Karczew od drogi krajowej            Nr 50 w kierunku wsi Glinki</t>
  </si>
  <si>
    <t>Budowa chodnika w drodze powiatowej Nr 2729W -                        ul. Częstochowskiej w Karczewie</t>
  </si>
  <si>
    <t xml:space="preserve">Termomodernizacja  budynku użyteczności  publicznej przy         ul. Górnej 13   w Otwocku </t>
  </si>
  <si>
    <t>1.1.1.10</t>
  </si>
  <si>
    <t>Szkoła otwarta na świat</t>
  </si>
  <si>
    <t>Specjalny                    Ośrodek Szkolno - Wychowawczy Nr 2</t>
  </si>
  <si>
    <t>1.1.2.2</t>
  </si>
  <si>
    <t>Wydatki na programy, projekty lub zadania związane z programami realizowanymi z udziałem środków, o których mowa w art. 5 ust. 1 pkt 2 i 3 ustawy z dnia 27 sierpnia 2009 r. o finansach publicznych (tekst jedn. Dz. U.  z  2021 r. poz. 305), z tego:</t>
  </si>
  <si>
    <t>Rozwój elektronicznej administracji w samorządach województwa mazowieckiego wspomagającej niwelowanie dwudzielności potencjału województwa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</si>
</sst>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#,##0.00_ ;[Red]\-#,##0.00\ 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i/>
      <sz val="10"/>
      <color rgb="FFFF0000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6">
    <xf numFmtId="0" fontId="0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59" fillId="0" borderId="0"/>
    <xf numFmtId="9" fontId="60" fillId="0" borderId="0" applyFont="0" applyFill="0" applyBorder="0" applyAlignment="0" applyProtection="0"/>
    <xf numFmtId="0" fontId="57" fillId="0" borderId="0"/>
    <xf numFmtId="0" fontId="56" fillId="0" borderId="0"/>
    <xf numFmtId="0" fontId="55" fillId="0" borderId="0"/>
    <xf numFmtId="0" fontId="54" fillId="0" borderId="0"/>
    <xf numFmtId="0" fontId="61" fillId="0" borderId="0" applyNumberFormat="0" applyFill="0" applyBorder="0" applyAlignment="0" applyProtection="0">
      <alignment vertical="top"/>
    </xf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6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60" fillId="35" borderId="0" applyNumberFormat="0" applyBorder="0" applyAlignment="0" applyProtection="0"/>
    <xf numFmtId="0" fontId="24" fillId="12" borderId="0" applyNumberFormat="0" applyBorder="0" applyAlignment="0" applyProtection="0"/>
    <xf numFmtId="0" fontId="60" fillId="36" borderId="0" applyNumberFormat="0" applyBorder="0" applyAlignment="0" applyProtection="0"/>
    <xf numFmtId="0" fontId="24" fillId="16" borderId="0" applyNumberFormat="0" applyBorder="0" applyAlignment="0" applyProtection="0"/>
    <xf numFmtId="0" fontId="60" fillId="37" borderId="0" applyNumberFormat="0" applyBorder="0" applyAlignment="0" applyProtection="0"/>
    <xf numFmtId="0" fontId="24" fillId="20" borderId="0" applyNumberFormat="0" applyBorder="0" applyAlignment="0" applyProtection="0"/>
    <xf numFmtId="0" fontId="60" fillId="38" borderId="0" applyNumberFormat="0" applyBorder="0" applyAlignment="0" applyProtection="0"/>
    <xf numFmtId="0" fontId="24" fillId="24" borderId="0" applyNumberFormat="0" applyBorder="0" applyAlignment="0" applyProtection="0"/>
    <xf numFmtId="0" fontId="60" fillId="39" borderId="0" applyNumberFormat="0" applyBorder="0" applyAlignment="0" applyProtection="0"/>
    <xf numFmtId="0" fontId="24" fillId="28" borderId="0" applyNumberFormat="0" applyBorder="0" applyAlignment="0" applyProtection="0"/>
    <xf numFmtId="0" fontId="60" fillId="40" borderId="0" applyNumberFormat="0" applyBorder="0" applyAlignment="0" applyProtection="0"/>
    <xf numFmtId="0" fontId="24" fillId="32" borderId="0" applyNumberFormat="0" applyBorder="0" applyAlignment="0" applyProtection="0"/>
    <xf numFmtId="0" fontId="60" fillId="41" borderId="0" applyNumberFormat="0" applyBorder="0" applyAlignment="0" applyProtection="0"/>
    <xf numFmtId="0" fontId="24" fillId="13" borderId="0" applyNumberFormat="0" applyBorder="0" applyAlignment="0" applyProtection="0"/>
    <xf numFmtId="0" fontId="60" fillId="42" borderId="0" applyNumberFormat="0" applyBorder="0" applyAlignment="0" applyProtection="0"/>
    <xf numFmtId="0" fontId="24" fillId="17" borderId="0" applyNumberFormat="0" applyBorder="0" applyAlignment="0" applyProtection="0"/>
    <xf numFmtId="0" fontId="60" fillId="43" borderId="0" applyNumberFormat="0" applyBorder="0" applyAlignment="0" applyProtection="0"/>
    <xf numFmtId="0" fontId="24" fillId="21" borderId="0" applyNumberFormat="0" applyBorder="0" applyAlignment="0" applyProtection="0"/>
    <xf numFmtId="0" fontId="60" fillId="38" borderId="0" applyNumberFormat="0" applyBorder="0" applyAlignment="0" applyProtection="0"/>
    <xf numFmtId="0" fontId="24" fillId="25" borderId="0" applyNumberFormat="0" applyBorder="0" applyAlignment="0" applyProtection="0"/>
    <xf numFmtId="0" fontId="60" fillId="41" borderId="0" applyNumberFormat="0" applyBorder="0" applyAlignment="0" applyProtection="0"/>
    <xf numFmtId="0" fontId="24" fillId="29" borderId="0" applyNumberFormat="0" applyBorder="0" applyAlignment="0" applyProtection="0"/>
    <xf numFmtId="0" fontId="60" fillId="44" borderId="0" applyNumberFormat="0" applyBorder="0" applyAlignment="0" applyProtection="0"/>
    <xf numFmtId="0" fontId="24" fillId="33" borderId="0" applyNumberFormat="0" applyBorder="0" applyAlignment="0" applyProtection="0"/>
    <xf numFmtId="0" fontId="85" fillId="45" borderId="0" applyNumberFormat="0" applyBorder="0" applyAlignment="0" applyProtection="0"/>
    <xf numFmtId="0" fontId="83" fillId="14" borderId="0" applyNumberFormat="0" applyBorder="0" applyAlignment="0" applyProtection="0"/>
    <xf numFmtId="0" fontId="85" fillId="42" borderId="0" applyNumberFormat="0" applyBorder="0" applyAlignment="0" applyProtection="0"/>
    <xf numFmtId="0" fontId="83" fillId="18" borderId="0" applyNumberFormat="0" applyBorder="0" applyAlignment="0" applyProtection="0"/>
    <xf numFmtId="0" fontId="85" fillId="43" borderId="0" applyNumberFormat="0" applyBorder="0" applyAlignment="0" applyProtection="0"/>
    <xf numFmtId="0" fontId="83" fillId="22" borderId="0" applyNumberFormat="0" applyBorder="0" applyAlignment="0" applyProtection="0"/>
    <xf numFmtId="0" fontId="85" fillId="46" borderId="0" applyNumberFormat="0" applyBorder="0" applyAlignment="0" applyProtection="0"/>
    <xf numFmtId="0" fontId="83" fillId="26" borderId="0" applyNumberFormat="0" applyBorder="0" applyAlignment="0" applyProtection="0"/>
    <xf numFmtId="0" fontId="85" fillId="47" borderId="0" applyNumberFormat="0" applyBorder="0" applyAlignment="0" applyProtection="0"/>
    <xf numFmtId="0" fontId="83" fillId="30" borderId="0" applyNumberFormat="0" applyBorder="0" applyAlignment="0" applyProtection="0"/>
    <xf numFmtId="0" fontId="85" fillId="48" borderId="0" applyNumberFormat="0" applyBorder="0" applyAlignment="0" applyProtection="0"/>
    <xf numFmtId="0" fontId="83" fillId="34" borderId="0" applyNumberFormat="0" applyBorder="0" applyAlignment="0" applyProtection="0"/>
    <xf numFmtId="0" fontId="85" fillId="49" borderId="0" applyNumberFormat="0" applyBorder="0" applyAlignment="0" applyProtection="0"/>
    <xf numFmtId="0" fontId="83" fillId="11" borderId="0" applyNumberFormat="0" applyBorder="0" applyAlignment="0" applyProtection="0"/>
    <xf numFmtId="0" fontId="85" fillId="50" borderId="0" applyNumberFormat="0" applyBorder="0" applyAlignment="0" applyProtection="0"/>
    <xf numFmtId="0" fontId="83" fillId="15" borderId="0" applyNumberFormat="0" applyBorder="0" applyAlignment="0" applyProtection="0"/>
    <xf numFmtId="0" fontId="85" fillId="51" borderId="0" applyNumberFormat="0" applyBorder="0" applyAlignment="0" applyProtection="0"/>
    <xf numFmtId="0" fontId="83" fillId="19" borderId="0" applyNumberFormat="0" applyBorder="0" applyAlignment="0" applyProtection="0"/>
    <xf numFmtId="0" fontId="85" fillId="46" borderId="0" applyNumberFormat="0" applyBorder="0" applyAlignment="0" applyProtection="0"/>
    <xf numFmtId="0" fontId="83" fillId="23" borderId="0" applyNumberFormat="0" applyBorder="0" applyAlignment="0" applyProtection="0"/>
    <xf numFmtId="0" fontId="85" fillId="47" borderId="0" applyNumberFormat="0" applyBorder="0" applyAlignment="0" applyProtection="0"/>
    <xf numFmtId="0" fontId="83" fillId="27" borderId="0" applyNumberFormat="0" applyBorder="0" applyAlignment="0" applyProtection="0"/>
    <xf numFmtId="0" fontId="85" fillId="52" borderId="0" applyNumberFormat="0" applyBorder="0" applyAlignment="0" applyProtection="0"/>
    <xf numFmtId="0" fontId="83" fillId="31" borderId="0" applyNumberFormat="0" applyBorder="0" applyAlignment="0" applyProtection="0"/>
    <xf numFmtId="0" fontId="86" fillId="40" borderId="23" applyNumberFormat="0" applyAlignment="0" applyProtection="0"/>
    <xf numFmtId="0" fontId="76" fillId="7" borderId="17" applyNumberFormat="0" applyAlignment="0" applyProtection="0"/>
    <xf numFmtId="0" fontId="87" fillId="53" borderId="24" applyNumberFormat="0" applyAlignment="0" applyProtection="0"/>
    <xf numFmtId="0" fontId="77" fillId="8" borderId="18" applyNumberFormat="0" applyAlignment="0" applyProtection="0"/>
    <xf numFmtId="0" fontId="88" fillId="37" borderId="0" applyNumberFormat="0" applyBorder="0" applyAlignment="0" applyProtection="0"/>
    <xf numFmtId="0" fontId="73" fillId="4" borderId="0" applyNumberFormat="0" applyBorder="0" applyAlignment="0" applyProtection="0"/>
    <xf numFmtId="0" fontId="89" fillId="0" borderId="25" applyNumberFormat="0" applyFill="0" applyAlignment="0" applyProtection="0"/>
    <xf numFmtId="0" fontId="79" fillId="0" borderId="19" applyNumberFormat="0" applyFill="0" applyAlignment="0" applyProtection="0"/>
    <xf numFmtId="0" fontId="90" fillId="54" borderId="26" applyNumberFormat="0" applyAlignment="0" applyProtection="0"/>
    <xf numFmtId="0" fontId="80" fillId="9" borderId="20" applyNumberFormat="0" applyAlignment="0" applyProtection="0"/>
    <xf numFmtId="0" fontId="91" fillId="0" borderId="27" applyNumberFormat="0" applyFill="0" applyAlignment="0" applyProtection="0"/>
    <xf numFmtId="0" fontId="70" fillId="0" borderId="14" applyNumberFormat="0" applyFill="0" applyAlignment="0" applyProtection="0"/>
    <xf numFmtId="0" fontId="92" fillId="0" borderId="28" applyNumberFormat="0" applyFill="0" applyAlignment="0" applyProtection="0"/>
    <xf numFmtId="0" fontId="71" fillId="0" borderId="15" applyNumberFormat="0" applyFill="0" applyAlignment="0" applyProtection="0"/>
    <xf numFmtId="0" fontId="93" fillId="0" borderId="29" applyNumberFormat="0" applyFill="0" applyAlignment="0" applyProtection="0"/>
    <xf numFmtId="0" fontId="72" fillId="0" borderId="16" applyNumberFormat="0" applyFill="0" applyAlignment="0" applyProtection="0"/>
    <xf numFmtId="0" fontId="9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75" fillId="6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4" fillId="0" borderId="0"/>
    <xf numFmtId="0" fontId="58" fillId="0" borderId="0"/>
    <xf numFmtId="0" fontId="58" fillId="0" borderId="0"/>
    <xf numFmtId="0" fontId="84" fillId="0" borderId="0" applyProtection="0"/>
    <xf numFmtId="0" fontId="60" fillId="0" borderId="0"/>
    <xf numFmtId="0" fontId="58" fillId="0" borderId="0"/>
    <xf numFmtId="0" fontId="58" fillId="0" borderId="0"/>
    <xf numFmtId="0" fontId="24" fillId="0" borderId="0"/>
    <xf numFmtId="0" fontId="95" fillId="53" borderId="23" applyNumberFormat="0" applyAlignment="0" applyProtection="0"/>
    <xf numFmtId="0" fontId="78" fillId="8" borderId="17" applyNumberFormat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96" fillId="0" borderId="30" applyNumberFormat="0" applyFill="0" applyAlignment="0" applyProtection="0"/>
    <xf numFmtId="0" fontId="69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4" fillId="56" borderId="31" applyNumberFormat="0" applyFont="0" applyAlignment="0" applyProtection="0"/>
    <xf numFmtId="0" fontId="24" fillId="10" borderId="21" applyNumberFormat="0" applyFont="0" applyAlignment="0" applyProtection="0"/>
    <xf numFmtId="0" fontId="100" fillId="36" borderId="0" applyNumberFormat="0" applyBorder="0" applyAlignment="0" applyProtection="0"/>
    <xf numFmtId="0" fontId="74" fillId="5" borderId="0" applyNumberFormat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1">
    <xf numFmtId="0" fontId="0" fillId="0" borderId="0" xfId="0"/>
    <xf numFmtId="0" fontId="58" fillId="0" borderId="0" xfId="1" applyFont="1"/>
    <xf numFmtId="0" fontId="64" fillId="0" borderId="0" xfId="1" applyFont="1" applyAlignment="1">
      <alignment vertical="center"/>
    </xf>
    <xf numFmtId="0" fontId="58" fillId="0" borderId="0" xfId="1" applyFont="1" applyAlignment="1">
      <alignment horizontal="center"/>
    </xf>
    <xf numFmtId="0" fontId="65" fillId="0" borderId="0" xfId="1" applyFont="1"/>
    <xf numFmtId="0" fontId="66" fillId="0" borderId="1" xfId="1" applyFont="1" applyFill="1" applyBorder="1" applyAlignment="1">
      <alignment horizontal="center" vertical="center" wrapText="1"/>
    </xf>
    <xf numFmtId="0" fontId="67" fillId="0" borderId="1" xfId="1" applyFont="1" applyFill="1" applyBorder="1" applyAlignment="1">
      <alignment horizontal="center" vertical="center" wrapText="1"/>
    </xf>
    <xf numFmtId="0" fontId="66" fillId="0" borderId="0" xfId="1" applyFont="1" applyFill="1" applyAlignment="1">
      <alignment horizontal="center"/>
    </xf>
    <xf numFmtId="0" fontId="65" fillId="3" borderId="1" xfId="1" applyFont="1" applyFill="1" applyBorder="1" applyAlignment="1">
      <alignment horizontal="center" vertical="center"/>
    </xf>
    <xf numFmtId="4" fontId="65" fillId="3" borderId="1" xfId="1" applyNumberFormat="1" applyFont="1" applyFill="1" applyBorder="1" applyAlignment="1">
      <alignment horizontal="right" vertical="center" wrapText="1"/>
    </xf>
    <xf numFmtId="0" fontId="65" fillId="0" borderId="0" xfId="1" applyFont="1" applyFill="1"/>
    <xf numFmtId="4" fontId="65" fillId="3" borderId="1" xfId="1" applyNumberFormat="1" applyFont="1" applyFill="1" applyBorder="1" applyAlignment="1"/>
    <xf numFmtId="0" fontId="65" fillId="0" borderId="0" xfId="1" applyFont="1" applyAlignment="1">
      <alignment vertical="center"/>
    </xf>
    <xf numFmtId="0" fontId="58" fillId="0" borderId="1" xfId="1" applyFont="1" applyFill="1" applyBorder="1" applyAlignment="1">
      <alignment horizontal="left" vertical="center" wrapText="1"/>
    </xf>
    <xf numFmtId="0" fontId="58" fillId="0" borderId="1" xfId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/>
    </xf>
    <xf numFmtId="4" fontId="65" fillId="0" borderId="1" xfId="1" applyNumberFormat="1" applyFont="1" applyFill="1" applyBorder="1" applyAlignment="1"/>
    <xf numFmtId="4" fontId="58" fillId="0" borderId="1" xfId="1" applyNumberFormat="1" applyFont="1" applyFill="1" applyBorder="1" applyAlignment="1"/>
    <xf numFmtId="4" fontId="65" fillId="0" borderId="1" xfId="1" applyNumberFormat="1" applyFont="1" applyBorder="1" applyAlignment="1"/>
    <xf numFmtId="0" fontId="58" fillId="0" borderId="0" xfId="1" applyFont="1" applyAlignment="1">
      <alignment vertical="center"/>
    </xf>
    <xf numFmtId="0" fontId="58" fillId="0" borderId="0" xfId="1" applyFont="1" applyFill="1" applyAlignment="1">
      <alignment vertical="center"/>
    </xf>
    <xf numFmtId="0" fontId="65" fillId="0" borderId="0" xfId="1" applyFont="1" applyFill="1" applyAlignment="1">
      <alignment horizontal="right"/>
    </xf>
    <xf numFmtId="0" fontId="65" fillId="0" borderId="2" xfId="1" applyFont="1" applyFill="1" applyBorder="1" applyAlignment="1">
      <alignment horizontal="center" vertical="center"/>
    </xf>
    <xf numFmtId="0" fontId="65" fillId="0" borderId="1" xfId="2" applyFont="1" applyFill="1" applyBorder="1" applyAlignment="1">
      <alignment horizontal="center" vertical="center"/>
    </xf>
    <xf numFmtId="0" fontId="58" fillId="0" borderId="0" xfId="1" applyFont="1" applyFill="1"/>
    <xf numFmtId="0" fontId="65" fillId="0" borderId="5" xfId="2" applyFont="1" applyFill="1" applyBorder="1" applyAlignment="1">
      <alignment horizontal="center" vertical="center"/>
    </xf>
    <xf numFmtId="0" fontId="65" fillId="0" borderId="8" xfId="2" applyFont="1" applyFill="1" applyBorder="1" applyAlignment="1">
      <alignment horizontal="center" vertical="center"/>
    </xf>
    <xf numFmtId="0" fontId="65" fillId="0" borderId="0" xfId="1" applyFont="1" applyAlignment="1">
      <alignment horizontal="center"/>
    </xf>
    <xf numFmtId="0" fontId="65" fillId="0" borderId="11" xfId="1" applyFont="1" applyFill="1" applyBorder="1" applyAlignment="1">
      <alignment horizontal="center" vertical="center"/>
    </xf>
    <xf numFmtId="0" fontId="58" fillId="0" borderId="11" xfId="1" applyFont="1" applyFill="1" applyBorder="1" applyAlignment="1">
      <alignment horizontal="left" vertical="center" wrapText="1"/>
    </xf>
    <xf numFmtId="0" fontId="58" fillId="0" borderId="11" xfId="1" applyFont="1" applyFill="1" applyBorder="1" applyAlignment="1">
      <alignment horizontal="center" vertical="center" wrapText="1"/>
    </xf>
    <xf numFmtId="4" fontId="58" fillId="0" borderId="11" xfId="1" applyNumberFormat="1" applyFont="1" applyFill="1" applyBorder="1" applyAlignment="1"/>
    <xf numFmtId="0" fontId="65" fillId="2" borderId="1" xfId="1" applyFont="1" applyFill="1" applyBorder="1" applyAlignment="1">
      <alignment horizontal="center" vertical="center"/>
    </xf>
    <xf numFmtId="0" fontId="64" fillId="0" borderId="0" xfId="1" applyFont="1" applyFill="1" applyAlignment="1">
      <alignment vertical="center"/>
    </xf>
    <xf numFmtId="0" fontId="58" fillId="0" borderId="0" xfId="1" applyFont="1" applyFill="1" applyAlignment="1">
      <alignment horizontal="center"/>
    </xf>
    <xf numFmtId="0" fontId="65" fillId="0" borderId="0" xfId="1" applyFont="1" applyFill="1" applyAlignment="1">
      <alignment vertical="center"/>
    </xf>
    <xf numFmtId="0" fontId="102" fillId="0" borderId="1" xfId="1" applyFont="1" applyFill="1" applyBorder="1" applyAlignment="1">
      <alignment horizontal="center" vertical="center"/>
    </xf>
    <xf numFmtId="0" fontId="102" fillId="0" borderId="5" xfId="1" applyFont="1" applyFill="1" applyBorder="1" applyAlignment="1">
      <alignment horizontal="center" vertical="center"/>
    </xf>
    <xf numFmtId="0" fontId="65" fillId="0" borderId="11" xfId="1" applyFont="1" applyFill="1" applyBorder="1" applyAlignment="1">
      <alignment horizontal="center" vertical="center" wrapText="1"/>
    </xf>
    <xf numFmtId="0" fontId="58" fillId="0" borderId="0" xfId="1" applyFont="1" applyFill="1" applyAlignment="1">
      <alignment horizontal="right"/>
    </xf>
    <xf numFmtId="0" fontId="65" fillId="0" borderId="0" xfId="1" applyFont="1" applyFill="1" applyAlignment="1">
      <alignment horizontal="center"/>
    </xf>
    <xf numFmtId="0" fontId="68" fillId="0" borderId="1" xfId="1" applyFont="1" applyFill="1" applyBorder="1" applyAlignment="1">
      <alignment horizontal="left" vertical="center" wrapText="1"/>
    </xf>
    <xf numFmtId="0" fontId="68" fillId="0" borderId="1" xfId="1" applyFont="1" applyFill="1" applyBorder="1" applyAlignment="1">
      <alignment horizontal="center" vertical="center" wrapText="1"/>
    </xf>
    <xf numFmtId="4" fontId="68" fillId="0" borderId="1" xfId="1" applyNumberFormat="1" applyFont="1" applyFill="1" applyBorder="1" applyAlignment="1"/>
    <xf numFmtId="0" fontId="68" fillId="0" borderId="0" xfId="1" applyFont="1" applyFill="1" applyAlignment="1">
      <alignment vertical="center"/>
    </xf>
    <xf numFmtId="4" fontId="102" fillId="0" borderId="1" xfId="1" applyNumberFormat="1" applyFont="1" applyFill="1" applyBorder="1" applyAlignment="1"/>
    <xf numFmtId="0" fontId="65" fillId="0" borderId="12" xfId="1" applyFont="1" applyFill="1" applyBorder="1" applyAlignment="1">
      <alignment horizontal="center" vertical="center"/>
    </xf>
    <xf numFmtId="0" fontId="65" fillId="0" borderId="9" xfId="1" applyFont="1" applyFill="1" applyBorder="1" applyAlignment="1">
      <alignment horizontal="center" vertical="center"/>
    </xf>
    <xf numFmtId="0" fontId="65" fillId="0" borderId="0" xfId="1" applyFont="1" applyFill="1" applyBorder="1"/>
    <xf numFmtId="0" fontId="102" fillId="0" borderId="0" xfId="1" applyFont="1" applyFill="1"/>
    <xf numFmtId="0" fontId="103" fillId="0" borderId="0" xfId="1" applyFont="1" applyFill="1" applyAlignment="1">
      <alignment vertical="center"/>
    </xf>
    <xf numFmtId="0" fontId="0" fillId="0" borderId="0" xfId="0" applyFill="1"/>
    <xf numFmtId="0" fontId="59" fillId="0" borderId="0" xfId="110"/>
    <xf numFmtId="0" fontId="105" fillId="0" borderId="0" xfId="110" applyFont="1" applyProtection="1">
      <protection locked="0"/>
    </xf>
    <xf numFmtId="0" fontId="106" fillId="0" borderId="0" xfId="110" applyFont="1" applyBorder="1" applyProtection="1">
      <protection locked="0"/>
    </xf>
    <xf numFmtId="0" fontId="108" fillId="0" borderId="0" xfId="110" applyFont="1" applyBorder="1" applyAlignment="1" applyProtection="1">
      <alignment horizontal="left" vertical="center"/>
      <protection locked="0"/>
    </xf>
    <xf numFmtId="0" fontId="108" fillId="0" borderId="33" xfId="110" applyFont="1" applyBorder="1" applyAlignment="1" applyProtection="1">
      <alignment vertical="center" wrapText="1"/>
      <protection locked="0"/>
    </xf>
    <xf numFmtId="0" fontId="109" fillId="0" borderId="0" xfId="110" applyFont="1" applyProtection="1">
      <protection locked="0"/>
    </xf>
    <xf numFmtId="49" fontId="107" fillId="57" borderId="34" xfId="4" applyNumberFormat="1" applyFont="1" applyFill="1" applyBorder="1" applyAlignment="1">
      <alignment horizontal="center" vertical="center"/>
    </xf>
    <xf numFmtId="49" fontId="107" fillId="57" borderId="35" xfId="4" applyNumberFormat="1" applyFont="1" applyFill="1" applyBorder="1" applyAlignment="1">
      <alignment horizontal="center" vertical="center"/>
    </xf>
    <xf numFmtId="1" fontId="107" fillId="57" borderId="36" xfId="4" applyNumberFormat="1" applyFont="1" applyFill="1" applyBorder="1" applyAlignment="1">
      <alignment horizontal="center" vertical="center" wrapText="1"/>
    </xf>
    <xf numFmtId="1" fontId="107" fillId="57" borderId="37" xfId="4" applyNumberFormat="1" applyFont="1" applyFill="1" applyBorder="1" applyAlignment="1">
      <alignment horizontal="center" vertical="center" wrapText="1"/>
    </xf>
    <xf numFmtId="1" fontId="107" fillId="57" borderId="35" xfId="4" applyNumberFormat="1" applyFont="1" applyFill="1" applyBorder="1" applyAlignment="1">
      <alignment horizontal="center" vertical="center" wrapText="1"/>
    </xf>
    <xf numFmtId="1" fontId="107" fillId="57" borderId="36" xfId="4" applyNumberFormat="1" applyFont="1" applyFill="1" applyBorder="1" applyAlignment="1">
      <alignment horizontal="center" vertical="center"/>
    </xf>
    <xf numFmtId="1" fontId="107" fillId="57" borderId="37" xfId="4" applyNumberFormat="1" applyFont="1" applyFill="1" applyBorder="1" applyAlignment="1">
      <alignment horizontal="center" vertical="center"/>
    </xf>
    <xf numFmtId="0" fontId="110" fillId="0" borderId="38" xfId="110" applyFont="1" applyBorder="1" applyAlignment="1">
      <alignment horizontal="left" vertical="center"/>
    </xf>
    <xf numFmtId="0" fontId="110" fillId="0" borderId="39" xfId="110" applyFont="1" applyBorder="1" applyAlignment="1">
      <alignment vertical="center" wrapText="1"/>
    </xf>
    <xf numFmtId="165" fontId="111" fillId="3" borderId="40" xfId="4" applyNumberFormat="1" applyFont="1" applyFill="1" applyBorder="1" applyAlignment="1">
      <alignment vertical="center" shrinkToFit="1"/>
    </xf>
    <xf numFmtId="165" fontId="111" fillId="3" borderId="41" xfId="4" applyNumberFormat="1" applyFont="1" applyFill="1" applyBorder="1" applyAlignment="1">
      <alignment vertical="center" shrinkToFit="1"/>
    </xf>
    <xf numFmtId="165" fontId="111" fillId="3" borderId="39" xfId="4" applyNumberFormat="1" applyFont="1" applyFill="1" applyBorder="1" applyAlignment="1">
      <alignment vertical="center" shrinkToFit="1"/>
    </xf>
    <xf numFmtId="165" fontId="111" fillId="0" borderId="40" xfId="4" applyNumberFormat="1" applyFont="1" applyFill="1" applyBorder="1" applyAlignment="1">
      <alignment vertical="center" shrinkToFit="1"/>
    </xf>
    <xf numFmtId="165" fontId="111" fillId="0" borderId="41" xfId="4" applyNumberFormat="1" applyFont="1" applyFill="1" applyBorder="1" applyAlignment="1">
      <alignment vertical="center" shrinkToFit="1"/>
    </xf>
    <xf numFmtId="0" fontId="112" fillId="0" borderId="42" xfId="110" applyFont="1" applyBorder="1" applyAlignment="1">
      <alignment horizontal="left" vertical="center"/>
    </xf>
    <xf numFmtId="0" fontId="112" fillId="0" borderId="43" xfId="110" applyFont="1" applyBorder="1" applyAlignment="1">
      <alignment horizontal="left" vertical="center" wrapText="1" indent="1"/>
    </xf>
    <xf numFmtId="165" fontId="113" fillId="3" borderId="44" xfId="4" applyNumberFormat="1" applyFont="1" applyFill="1" applyBorder="1" applyAlignment="1">
      <alignment vertical="center" shrinkToFit="1"/>
    </xf>
    <xf numFmtId="165" fontId="113" fillId="3" borderId="45" xfId="4" applyNumberFormat="1" applyFont="1" applyFill="1" applyBorder="1" applyAlignment="1">
      <alignment vertical="center" shrinkToFit="1"/>
    </xf>
    <xf numFmtId="165" fontId="113" fillId="3" borderId="43" xfId="4" applyNumberFormat="1" applyFont="1" applyFill="1" applyBorder="1" applyAlignment="1">
      <alignment vertical="center" shrinkToFit="1"/>
    </xf>
    <xf numFmtId="165" fontId="113" fillId="0" borderId="44" xfId="4" applyNumberFormat="1" applyFont="1" applyFill="1" applyBorder="1" applyAlignment="1">
      <alignment vertical="center" shrinkToFit="1"/>
    </xf>
    <xf numFmtId="165" fontId="113" fillId="0" borderId="45" xfId="4" applyNumberFormat="1" applyFont="1" applyFill="1" applyBorder="1" applyAlignment="1">
      <alignment vertical="center" shrinkToFit="1"/>
    </xf>
    <xf numFmtId="0" fontId="112" fillId="0" borderId="43" xfId="110" applyFont="1" applyBorder="1" applyAlignment="1">
      <alignment horizontal="left" vertical="center" wrapText="1" indent="2"/>
    </xf>
    <xf numFmtId="0" fontId="112" fillId="0" borderId="43" xfId="110" applyFont="1" applyBorder="1" applyAlignment="1">
      <alignment horizontal="left" vertical="center" wrapText="1" indent="3"/>
    </xf>
    <xf numFmtId="0" fontId="110" fillId="0" borderId="42" xfId="110" applyFont="1" applyBorder="1" applyAlignment="1">
      <alignment horizontal="left" vertical="center"/>
    </xf>
    <xf numFmtId="0" fontId="110" fillId="0" borderId="43" xfId="110" applyFont="1" applyBorder="1" applyAlignment="1">
      <alignment vertical="center" wrapText="1"/>
    </xf>
    <xf numFmtId="165" fontId="111" fillId="3" borderId="44" xfId="4" applyNumberFormat="1" applyFont="1" applyFill="1" applyBorder="1" applyAlignment="1">
      <alignment vertical="center" shrinkToFit="1"/>
    </xf>
    <xf numFmtId="165" fontId="111" fillId="3" borderId="45" xfId="4" applyNumberFormat="1" applyFont="1" applyFill="1" applyBorder="1" applyAlignment="1">
      <alignment vertical="center" shrinkToFit="1"/>
    </xf>
    <xf numFmtId="165" fontId="111" fillId="3" borderId="43" xfId="4" applyNumberFormat="1" applyFont="1" applyFill="1" applyBorder="1" applyAlignment="1">
      <alignment vertical="center" shrinkToFit="1"/>
    </xf>
    <xf numFmtId="165" fontId="111" fillId="0" borderId="44" xfId="4" applyNumberFormat="1" applyFont="1" applyFill="1" applyBorder="1" applyAlignment="1">
      <alignment vertical="center" shrinkToFit="1"/>
    </xf>
    <xf numFmtId="165" fontId="111" fillId="0" borderId="45" xfId="4" applyNumberFormat="1" applyFont="1" applyFill="1" applyBorder="1" applyAlignment="1">
      <alignment vertical="center" shrinkToFit="1"/>
    </xf>
    <xf numFmtId="0" fontId="112" fillId="0" borderId="43" xfId="110" applyFont="1" applyBorder="1" applyAlignment="1">
      <alignment horizontal="left" vertical="center" wrapText="1" indent="4"/>
    </xf>
    <xf numFmtId="0" fontId="110" fillId="0" borderId="42" xfId="110" quotePrefix="1" applyFont="1" applyBorder="1" applyAlignment="1">
      <alignment horizontal="left" vertical="center"/>
    </xf>
    <xf numFmtId="165" fontId="111" fillId="3" borderId="44" xfId="4" applyNumberFormat="1" applyFont="1" applyFill="1" applyBorder="1" applyAlignment="1">
      <alignment horizontal="center" vertical="center" shrinkToFit="1"/>
    </xf>
    <xf numFmtId="165" fontId="111" fillId="3" borderId="45" xfId="4" applyNumberFormat="1" applyFont="1" applyFill="1" applyBorder="1" applyAlignment="1">
      <alignment horizontal="center" vertical="center" shrinkToFit="1"/>
    </xf>
    <xf numFmtId="165" fontId="111" fillId="3" borderId="43" xfId="4" applyNumberFormat="1" applyFont="1" applyFill="1" applyBorder="1" applyAlignment="1">
      <alignment horizontal="center" vertical="center" shrinkToFit="1"/>
    </xf>
    <xf numFmtId="165" fontId="111" fillId="0" borderId="44" xfId="4" applyNumberFormat="1" applyFont="1" applyFill="1" applyBorder="1" applyAlignment="1">
      <alignment horizontal="center" vertical="center" shrinkToFit="1"/>
    </xf>
    <xf numFmtId="165" fontId="111" fillId="0" borderId="45" xfId="4" applyNumberFormat="1" applyFont="1" applyFill="1" applyBorder="1" applyAlignment="1">
      <alignment horizontal="center" vertical="center" shrinkToFit="1"/>
    </xf>
    <xf numFmtId="0" fontId="112" fillId="0" borderId="42" xfId="110" applyFont="1" applyBorder="1" applyAlignment="1" applyProtection="1">
      <alignment horizontal="left" vertical="center"/>
      <protection locked="0"/>
    </xf>
    <xf numFmtId="0" fontId="112" fillId="0" borderId="43" xfId="110" applyFont="1" applyBorder="1" applyAlignment="1" applyProtection="1">
      <alignment horizontal="left" vertical="center" wrapText="1" indent="1"/>
      <protection locked="0"/>
    </xf>
    <xf numFmtId="10" fontId="113" fillId="0" borderId="44" xfId="4" applyNumberFormat="1" applyFont="1" applyFill="1" applyBorder="1" applyAlignment="1">
      <alignment vertical="center" shrinkToFit="1"/>
    </xf>
    <xf numFmtId="10" fontId="113" fillId="0" borderId="45" xfId="4" applyNumberFormat="1" applyFont="1" applyFill="1" applyBorder="1" applyAlignment="1">
      <alignment vertical="center" shrinkToFit="1"/>
    </xf>
    <xf numFmtId="10" fontId="113" fillId="3" borderId="44" xfId="4" applyNumberFormat="1" applyFont="1" applyFill="1" applyBorder="1" applyAlignment="1">
      <alignment vertical="center" shrinkToFit="1"/>
    </xf>
    <xf numFmtId="10" fontId="113" fillId="3" borderId="45" xfId="4" applyNumberFormat="1" applyFont="1" applyFill="1" applyBorder="1" applyAlignment="1">
      <alignment vertical="center" shrinkToFit="1"/>
    </xf>
    <xf numFmtId="10" fontId="113" fillId="3" borderId="43" xfId="4" applyNumberFormat="1" applyFont="1" applyFill="1" applyBorder="1" applyAlignment="1">
      <alignment vertical="center" shrinkToFit="1"/>
    </xf>
    <xf numFmtId="165" fontId="113" fillId="0" borderId="44" xfId="4" applyNumberFormat="1" applyFont="1" applyFill="1" applyBorder="1" applyAlignment="1">
      <alignment horizontal="center" vertical="center" shrinkToFit="1"/>
    </xf>
    <xf numFmtId="165" fontId="113" fillId="0" borderId="45" xfId="4" applyNumberFormat="1" applyFont="1" applyFill="1" applyBorder="1" applyAlignment="1">
      <alignment horizontal="center" vertical="center" shrinkToFit="1"/>
    </xf>
    <xf numFmtId="0" fontId="112" fillId="0" borderId="43" xfId="110" quotePrefix="1" applyFont="1" applyBorder="1" applyAlignment="1">
      <alignment horizontal="left" vertical="center" wrapText="1" indent="1"/>
    </xf>
    <xf numFmtId="10" fontId="113" fillId="0" borderId="44" xfId="125" applyNumberFormat="1" applyFont="1" applyFill="1" applyBorder="1" applyAlignment="1">
      <alignment vertical="center" shrinkToFit="1"/>
    </xf>
    <xf numFmtId="10" fontId="113" fillId="0" borderId="45" xfId="125" applyNumberFormat="1" applyFont="1" applyFill="1" applyBorder="1" applyAlignment="1">
      <alignment vertical="center" shrinkToFit="1"/>
    </xf>
    <xf numFmtId="0" fontId="112" fillId="0" borderId="46" xfId="110" applyFont="1" applyBorder="1" applyAlignment="1">
      <alignment horizontal="left" vertical="center"/>
    </xf>
    <xf numFmtId="0" fontId="112" fillId="0" borderId="47" xfId="110" applyFont="1" applyBorder="1" applyAlignment="1">
      <alignment horizontal="left" vertical="center" wrapText="1" indent="1"/>
    </xf>
    <xf numFmtId="165" fontId="111" fillId="3" borderId="48" xfId="4" applyNumberFormat="1" applyFont="1" applyFill="1" applyBorder="1" applyAlignment="1">
      <alignment horizontal="center" vertical="center" shrinkToFit="1"/>
    </xf>
    <xf numFmtId="165" fontId="111" fillId="3" borderId="49" xfId="4" applyNumberFormat="1" applyFont="1" applyFill="1" applyBorder="1" applyAlignment="1">
      <alignment horizontal="center" vertical="center" shrinkToFit="1"/>
    </xf>
    <xf numFmtId="165" fontId="111" fillId="3" borderId="47" xfId="4" applyNumberFormat="1" applyFont="1" applyFill="1" applyBorder="1" applyAlignment="1">
      <alignment horizontal="center" vertical="center" shrinkToFit="1"/>
    </xf>
    <xf numFmtId="10" fontId="113" fillId="0" borderId="48" xfId="125" applyNumberFormat="1" applyFont="1" applyFill="1" applyBorder="1" applyAlignment="1">
      <alignment vertical="center" shrinkToFit="1"/>
    </xf>
    <xf numFmtId="10" fontId="113" fillId="0" borderId="49" xfId="125" applyNumberFormat="1" applyFont="1" applyFill="1" applyBorder="1" applyAlignment="1">
      <alignment vertical="center" shrinkToFit="1"/>
    </xf>
    <xf numFmtId="0" fontId="109" fillId="0" borderId="0" xfId="110" applyFont="1"/>
    <xf numFmtId="0" fontId="109" fillId="0" borderId="0" xfId="110" applyFont="1" applyBorder="1" applyAlignment="1" applyProtection="1">
      <alignment vertical="center"/>
      <protection locked="0"/>
    </xf>
    <xf numFmtId="0" fontId="58" fillId="0" borderId="9" xfId="1" applyFont="1" applyFill="1" applyBorder="1" applyAlignment="1">
      <alignment horizontal="left" vertical="center" wrapText="1"/>
    </xf>
    <xf numFmtId="0" fontId="58" fillId="0" borderId="10" xfId="1" applyFont="1" applyFill="1" applyBorder="1" applyAlignment="1">
      <alignment horizontal="center" vertical="center" wrapText="1"/>
    </xf>
    <xf numFmtId="0" fontId="58" fillId="0" borderId="11" xfId="2" applyFont="1" applyFill="1" applyBorder="1" applyAlignment="1" applyProtection="1">
      <alignment vertical="center" wrapText="1"/>
    </xf>
    <xf numFmtId="0" fontId="68" fillId="0" borderId="5" xfId="1" applyFont="1" applyFill="1" applyBorder="1" applyAlignment="1">
      <alignment horizontal="left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8" fillId="0" borderId="9" xfId="1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horizontal="left" vertical="center" wrapText="1"/>
    </xf>
    <xf numFmtId="0" fontId="58" fillId="0" borderId="3" xfId="1" applyFont="1" applyFill="1" applyBorder="1" applyAlignment="1">
      <alignment horizontal="center" vertical="center" wrapText="1"/>
    </xf>
    <xf numFmtId="0" fontId="58" fillId="0" borderId="2" xfId="2" applyFont="1" applyFill="1" applyBorder="1" applyAlignment="1">
      <alignment horizontal="left" vertical="center" wrapText="1"/>
    </xf>
    <xf numFmtId="0" fontId="58" fillId="0" borderId="4" xfId="1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vertical="center" wrapText="1"/>
    </xf>
    <xf numFmtId="0" fontId="58" fillId="0" borderId="5" xfId="0" applyFont="1" applyFill="1" applyBorder="1" applyAlignment="1">
      <alignment vertical="center" wrapText="1"/>
    </xf>
    <xf numFmtId="0" fontId="58" fillId="0" borderId="5" xfId="2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horizontal="center" vertical="center" wrapText="1"/>
    </xf>
    <xf numFmtId="0" fontId="58" fillId="0" borderId="1" xfId="1" applyFont="1" applyFill="1" applyBorder="1" applyAlignment="1">
      <alignment vertical="center" wrapText="1"/>
    </xf>
    <xf numFmtId="0" fontId="58" fillId="0" borderId="7" xfId="11" applyFont="1" applyFill="1" applyBorder="1" applyAlignment="1" applyProtection="1">
      <alignment horizontal="left" vertical="center" wrapText="1"/>
    </xf>
    <xf numFmtId="0" fontId="58" fillId="0" borderId="2" xfId="2" applyFont="1" applyFill="1" applyBorder="1" applyAlignment="1">
      <alignment horizontal="center" vertical="center" wrapText="1"/>
    </xf>
    <xf numFmtId="0" fontId="58" fillId="0" borderId="8" xfId="2" applyFont="1" applyFill="1" applyBorder="1" applyAlignment="1">
      <alignment horizontal="left" vertical="center" wrapText="1"/>
    </xf>
    <xf numFmtId="0" fontId="58" fillId="0" borderId="8" xfId="2" applyFont="1" applyFill="1" applyBorder="1" applyAlignment="1">
      <alignment horizontal="center" vertical="center" wrapText="1"/>
    </xf>
    <xf numFmtId="0" fontId="58" fillId="0" borderId="11" xfId="2" applyFont="1" applyFill="1" applyBorder="1" applyAlignment="1">
      <alignment horizontal="left" vertical="center" wrapText="1"/>
    </xf>
    <xf numFmtId="0" fontId="58" fillId="0" borderId="11" xfId="2" applyFont="1" applyFill="1" applyBorder="1" applyAlignment="1">
      <alignment horizontal="center" vertical="center" wrapText="1"/>
    </xf>
    <xf numFmtId="0" fontId="58" fillId="0" borderId="9" xfId="2" applyFont="1" applyFill="1" applyBorder="1" applyAlignment="1" applyProtection="1">
      <alignment horizontal="left" vertical="center" wrapText="1"/>
    </xf>
    <xf numFmtId="4" fontId="58" fillId="0" borderId="9" xfId="1" applyNumberFormat="1" applyFont="1" applyFill="1" applyBorder="1" applyAlignment="1"/>
    <xf numFmtId="0" fontId="115" fillId="0" borderId="0" xfId="1" applyFont="1" applyFill="1"/>
    <xf numFmtId="4" fontId="58" fillId="0" borderId="1" xfId="1" applyNumberFormat="1" applyFont="1" applyFill="1" applyBorder="1" applyAlignment="1">
      <alignment horizontal="right"/>
    </xf>
    <xf numFmtId="0" fontId="58" fillId="0" borderId="6" xfId="2" applyFont="1" applyFill="1" applyBorder="1" applyAlignment="1">
      <alignment vertical="center" wrapText="1"/>
    </xf>
    <xf numFmtId="0" fontId="58" fillId="0" borderId="3" xfId="2" applyFont="1" applyFill="1" applyBorder="1" applyAlignment="1">
      <alignment horizontal="center" vertical="center" wrapText="1"/>
    </xf>
    <xf numFmtId="4" fontId="58" fillId="0" borderId="1" xfId="2" applyNumberFormat="1" applyFont="1" applyFill="1" applyBorder="1"/>
    <xf numFmtId="0" fontId="68" fillId="0" borderId="1" xfId="0" applyFont="1" applyFill="1" applyBorder="1" applyAlignment="1">
      <alignment horizontal="left" vertical="center" wrapText="1"/>
    </xf>
    <xf numFmtId="4" fontId="58" fillId="0" borderId="1" xfId="1" applyNumberFormat="1" applyFont="1" applyFill="1" applyBorder="1" applyAlignment="1">
      <alignment horizontal="right" vertical="center"/>
    </xf>
    <xf numFmtId="0" fontId="0" fillId="0" borderId="0" xfId="0" applyFont="1" applyFill="1"/>
    <xf numFmtId="4" fontId="58" fillId="0" borderId="1" xfId="1" applyNumberFormat="1" applyFont="1" applyFill="1" applyBorder="1"/>
    <xf numFmtId="0" fontId="0" fillId="0" borderId="1" xfId="0" applyFont="1" applyFill="1" applyBorder="1"/>
    <xf numFmtId="4" fontId="68" fillId="0" borderId="5" xfId="1" applyNumberFormat="1" applyFont="1" applyFill="1" applyBorder="1" applyAlignment="1"/>
    <xf numFmtId="164" fontId="58" fillId="0" borderId="1" xfId="1" applyNumberFormat="1" applyFont="1" applyFill="1" applyBorder="1" applyAlignment="1"/>
    <xf numFmtId="164" fontId="58" fillId="0" borderId="2" xfId="1" applyNumberFormat="1" applyFont="1" applyFill="1" applyBorder="1" applyAlignment="1"/>
    <xf numFmtId="4" fontId="58" fillId="0" borderId="5" xfId="2" applyNumberFormat="1" applyFont="1" applyFill="1" applyBorder="1"/>
    <xf numFmtId="4" fontId="58" fillId="0" borderId="2" xfId="1" applyNumberFormat="1" applyFont="1" applyFill="1" applyBorder="1"/>
    <xf numFmtId="4" fontId="58" fillId="0" borderId="8" xfId="2" applyNumberFormat="1" applyFont="1" applyFill="1" applyBorder="1" applyAlignment="1"/>
    <xf numFmtId="4" fontId="58" fillId="0" borderId="11" xfId="1" applyNumberFormat="1" applyFont="1" applyFill="1" applyBorder="1"/>
    <xf numFmtId="4" fontId="58" fillId="0" borderId="32" xfId="1" applyNumberFormat="1" applyFont="1" applyFill="1" applyBorder="1"/>
    <xf numFmtId="0" fontId="0" fillId="0" borderId="11" xfId="0" applyFont="1" applyFill="1" applyBorder="1"/>
    <xf numFmtId="4" fontId="58" fillId="0" borderId="9" xfId="1" applyNumberFormat="1" applyFont="1" applyFill="1" applyBorder="1"/>
    <xf numFmtId="0" fontId="58" fillId="0" borderId="9" xfId="0" applyFont="1" applyFill="1" applyBorder="1" applyAlignment="1">
      <alignment vertical="center" wrapText="1"/>
    </xf>
    <xf numFmtId="0" fontId="58" fillId="0" borderId="9" xfId="2" applyFont="1" applyFill="1" applyBorder="1" applyAlignment="1">
      <alignment horizontal="center" vertical="center" wrapText="1"/>
    </xf>
    <xf numFmtId="4" fontId="65" fillId="0" borderId="11" xfId="1" applyNumberFormat="1" applyFont="1" applyFill="1" applyBorder="1" applyAlignment="1"/>
    <xf numFmtId="4" fontId="102" fillId="0" borderId="5" xfId="1" applyNumberFormat="1" applyFont="1" applyFill="1" applyBorder="1" applyAlignment="1"/>
    <xf numFmtId="4" fontId="65" fillId="0" borderId="9" xfId="1" applyNumberFormat="1" applyFont="1" applyFill="1" applyBorder="1" applyAlignment="1"/>
    <xf numFmtId="164" fontId="65" fillId="0" borderId="1" xfId="1" applyNumberFormat="1" applyFont="1" applyFill="1" applyBorder="1" applyAlignment="1">
      <alignment horizontal="right"/>
    </xf>
    <xf numFmtId="164" fontId="65" fillId="0" borderId="2" xfId="1" applyNumberFormat="1" applyFont="1" applyFill="1" applyBorder="1" applyAlignment="1"/>
    <xf numFmtId="4" fontId="65" fillId="0" borderId="1" xfId="1" applyNumberFormat="1" applyFont="1" applyFill="1" applyBorder="1" applyAlignment="1">
      <alignment horizontal="right"/>
    </xf>
    <xf numFmtId="4" fontId="65" fillId="0" borderId="5" xfId="2" applyNumberFormat="1" applyFont="1" applyFill="1" applyBorder="1"/>
    <xf numFmtId="4" fontId="65" fillId="0" borderId="1" xfId="2" applyNumberFormat="1" applyFont="1" applyFill="1" applyBorder="1"/>
    <xf numFmtId="4" fontId="65" fillId="0" borderId="1" xfId="1" applyNumberFormat="1" applyFont="1" applyFill="1" applyBorder="1"/>
    <xf numFmtId="4" fontId="65" fillId="0" borderId="1" xfId="1" applyNumberFormat="1" applyFont="1" applyFill="1" applyBorder="1" applyAlignment="1">
      <alignment horizontal="right" vertical="center"/>
    </xf>
    <xf numFmtId="4" fontId="65" fillId="0" borderId="2" xfId="1" applyNumberFormat="1" applyFont="1" applyFill="1" applyBorder="1"/>
    <xf numFmtId="4" fontId="65" fillId="0" borderId="9" xfId="1" applyNumberFormat="1" applyFont="1" applyFill="1" applyBorder="1"/>
    <xf numFmtId="4" fontId="65" fillId="0" borderId="8" xfId="2" applyNumberFormat="1" applyFont="1" applyFill="1" applyBorder="1" applyAlignment="1"/>
    <xf numFmtId="4" fontId="65" fillId="0" borderId="11" xfId="1" applyNumberFormat="1" applyFont="1" applyFill="1" applyBorder="1"/>
    <xf numFmtId="0" fontId="65" fillId="2" borderId="1" xfId="1" applyFont="1" applyFill="1" applyBorder="1" applyAlignment="1">
      <alignment horizontal="center" vertical="center" wrapText="1"/>
    </xf>
    <xf numFmtId="0" fontId="58" fillId="0" borderId="8" xfId="1" applyFont="1" applyFill="1" applyBorder="1" applyAlignment="1">
      <alignment horizontal="left" vertical="center" wrapText="1"/>
    </xf>
    <xf numFmtId="4" fontId="58" fillId="0" borderId="8" xfId="1" applyNumberFormat="1" applyFont="1" applyFill="1" applyBorder="1" applyAlignment="1"/>
    <xf numFmtId="0" fontId="65" fillId="0" borderId="8" xfId="1" applyFont="1" applyFill="1" applyBorder="1" applyAlignment="1">
      <alignment horizontal="center" vertical="center"/>
    </xf>
    <xf numFmtId="0" fontId="65" fillId="0" borderId="9" xfId="1" applyFont="1" applyFill="1" applyBorder="1" applyAlignment="1">
      <alignment horizontal="center"/>
    </xf>
    <xf numFmtId="0" fontId="116" fillId="0" borderId="0" xfId="0" applyFont="1" applyFill="1" applyAlignment="1">
      <alignment horizontal="left" vertical="center" wrapText="1"/>
    </xf>
    <xf numFmtId="4" fontId="58" fillId="0" borderId="1" xfId="1" applyNumberFormat="1" applyFont="1" applyFill="1" applyBorder="1" applyAlignment="1">
      <alignment horizontal="right" vertical="center" wrapText="1"/>
    </xf>
    <xf numFmtId="0" fontId="65" fillId="0" borderId="1" xfId="1" applyFont="1" applyFill="1" applyBorder="1" applyAlignment="1">
      <alignment horizontal="center" vertical="center" wrapText="1"/>
    </xf>
    <xf numFmtId="4" fontId="65" fillId="0" borderId="11" xfId="1" applyNumberFormat="1" applyFont="1" applyFill="1" applyBorder="1" applyAlignment="1">
      <alignment horizontal="right"/>
    </xf>
    <xf numFmtId="0" fontId="58" fillId="0" borderId="5" xfId="2" applyFont="1" applyFill="1" applyBorder="1" applyAlignment="1">
      <alignment vertical="center" wrapText="1"/>
    </xf>
    <xf numFmtId="0" fontId="58" fillId="0" borderId="11" xfId="2" applyFont="1" applyFill="1" applyBorder="1" applyAlignment="1">
      <alignment vertical="center" wrapText="1"/>
    </xf>
    <xf numFmtId="4" fontId="58" fillId="0" borderId="11" xfId="1" applyNumberFormat="1" applyFont="1" applyFill="1" applyBorder="1" applyAlignment="1">
      <alignment horizontal="right"/>
    </xf>
    <xf numFmtId="44" fontId="58" fillId="0" borderId="0" xfId="1" applyNumberFormat="1" applyFont="1" applyFill="1"/>
    <xf numFmtId="4" fontId="65" fillId="0" borderId="8" xfId="1" applyNumberFormat="1" applyFont="1" applyFill="1" applyBorder="1" applyAlignment="1"/>
    <xf numFmtId="4" fontId="65" fillId="0" borderId="11" xfId="1" applyNumberFormat="1" applyFont="1" applyFill="1" applyBorder="1" applyAlignment="1">
      <alignment horizontal="right" vertical="center" wrapText="1"/>
    </xf>
    <xf numFmtId="4" fontId="65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07" fillId="0" borderId="33" xfId="110" applyFont="1" applyBorder="1" applyAlignment="1" applyProtection="1">
      <alignment horizontal="center" vertical="center" wrapText="1"/>
      <protection locked="0"/>
    </xf>
    <xf numFmtId="3" fontId="58" fillId="0" borderId="11" xfId="2" applyNumberFormat="1" applyFont="1" applyFill="1" applyBorder="1" applyAlignment="1" applyProtection="1">
      <alignment wrapText="1"/>
    </xf>
    <xf numFmtId="4" fontId="58" fillId="0" borderId="10" xfId="1" applyNumberFormat="1" applyFont="1" applyFill="1" applyBorder="1" applyAlignment="1"/>
    <xf numFmtId="0" fontId="109" fillId="0" borderId="0" xfId="110" applyFont="1" applyBorder="1"/>
    <xf numFmtId="0" fontId="117" fillId="58" borderId="12" xfId="1" applyFont="1" applyFill="1" applyBorder="1" applyAlignment="1">
      <alignment horizontal="center" vertical="center"/>
    </xf>
    <xf numFmtId="0" fontId="117" fillId="58" borderId="1" xfId="1" applyFont="1" applyFill="1" applyBorder="1" applyAlignment="1">
      <alignment horizontal="center" vertical="center"/>
    </xf>
    <xf numFmtId="4" fontId="117" fillId="58" borderId="1" xfId="1" applyNumberFormat="1" applyFont="1" applyFill="1" applyBorder="1" applyAlignment="1"/>
    <xf numFmtId="0" fontId="117" fillId="58" borderId="5" xfId="1" applyFont="1" applyFill="1" applyBorder="1" applyAlignment="1">
      <alignment horizontal="left" vertical="center" wrapText="1"/>
    </xf>
    <xf numFmtId="0" fontId="117" fillId="58" borderId="1" xfId="1" applyFont="1" applyFill="1" applyBorder="1" applyAlignment="1">
      <alignment horizontal="center" vertical="center" wrapText="1"/>
    </xf>
    <xf numFmtId="4" fontId="117" fillId="58" borderId="5" xfId="1" applyNumberFormat="1" applyFont="1" applyFill="1" applyBorder="1" applyAlignment="1"/>
    <xf numFmtId="0" fontId="117" fillId="58" borderId="11" xfId="2" applyFont="1" applyFill="1" applyBorder="1" applyAlignment="1" applyProtection="1">
      <alignment vertical="center" wrapText="1"/>
    </xf>
    <xf numFmtId="0" fontId="117" fillId="58" borderId="10" xfId="1" applyFont="1" applyFill="1" applyBorder="1" applyAlignment="1">
      <alignment horizontal="center" vertical="center" wrapText="1"/>
    </xf>
    <xf numFmtId="0" fontId="117" fillId="58" borderId="11" xfId="1" applyFont="1" applyFill="1" applyBorder="1" applyAlignment="1">
      <alignment horizontal="center" vertical="center" wrapText="1"/>
    </xf>
    <xf numFmtId="4" fontId="117" fillId="58" borderId="11" xfId="1" applyNumberFormat="1" applyFont="1" applyFill="1" applyBorder="1" applyAlignment="1"/>
    <xf numFmtId="3" fontId="117" fillId="58" borderId="11" xfId="2" applyNumberFormat="1" applyFont="1" applyFill="1" applyBorder="1" applyAlignment="1" applyProtection="1">
      <alignment wrapText="1"/>
    </xf>
    <xf numFmtId="4" fontId="117" fillId="58" borderId="10" xfId="1" applyNumberFormat="1" applyFont="1" applyFill="1" applyBorder="1" applyAlignment="1"/>
    <xf numFmtId="0" fontId="117" fillId="58" borderId="11" xfId="1" applyFont="1" applyFill="1" applyBorder="1" applyAlignment="1">
      <alignment horizontal="center" vertical="center"/>
    </xf>
    <xf numFmtId="0" fontId="117" fillId="58" borderId="12" xfId="1" applyFont="1" applyFill="1" applyBorder="1" applyAlignment="1">
      <alignment vertical="center" wrapText="1"/>
    </xf>
    <xf numFmtId="4" fontId="117" fillId="58" borderId="11" xfId="1" applyNumberFormat="1" applyFont="1" applyFill="1" applyBorder="1" applyAlignment="1">
      <alignment horizontal="right" vertical="center" wrapText="1"/>
    </xf>
    <xf numFmtId="0" fontId="107" fillId="0" borderId="33" xfId="110" applyFont="1" applyBorder="1" applyAlignment="1" applyProtection="1">
      <alignment horizontal="center" vertical="center" wrapText="1"/>
      <protection locked="0"/>
    </xf>
    <xf numFmtId="0" fontId="104" fillId="0" borderId="0" xfId="3" applyFont="1" applyAlignment="1">
      <alignment horizontal="center"/>
    </xf>
    <xf numFmtId="0" fontId="63" fillId="0" borderId="0" xfId="1" applyFont="1" applyAlignment="1">
      <alignment horizontal="center" vertical="center"/>
    </xf>
    <xf numFmtId="0" fontId="65" fillId="2" borderId="1" xfId="1" applyFont="1" applyFill="1" applyBorder="1" applyAlignment="1">
      <alignment horizontal="center" vertical="center" wrapText="1"/>
    </xf>
    <xf numFmtId="0" fontId="65" fillId="2" borderId="13" xfId="1" applyFont="1" applyFill="1" applyBorder="1" applyAlignment="1">
      <alignment horizontal="center" vertical="center"/>
    </xf>
    <xf numFmtId="0" fontId="65" fillId="2" borderId="10" xfId="1" applyFont="1" applyFill="1" applyBorder="1" applyAlignment="1">
      <alignment horizontal="center" vertical="center"/>
    </xf>
    <xf numFmtId="0" fontId="65" fillId="3" borderId="12" xfId="1" applyFont="1" applyFill="1" applyBorder="1" applyAlignment="1">
      <alignment horizontal="left" vertical="center" wrapText="1"/>
    </xf>
    <xf numFmtId="0" fontId="65" fillId="3" borderId="13" xfId="1" applyFont="1" applyFill="1" applyBorder="1" applyAlignment="1">
      <alignment horizontal="left" vertical="center" wrapText="1"/>
    </xf>
    <xf numFmtId="0" fontId="65" fillId="3" borderId="10" xfId="1" applyFont="1" applyFill="1" applyBorder="1" applyAlignment="1">
      <alignment horizontal="left" vertical="center" wrapText="1"/>
    </xf>
    <xf numFmtId="0" fontId="65" fillId="3" borderId="1" xfId="1" applyFont="1" applyFill="1" applyBorder="1" applyAlignment="1">
      <alignment horizontal="left" vertical="center" wrapText="1"/>
    </xf>
  </cellXfs>
  <cellStyles count="166">
    <cellStyle name="20% - akcent 1 2" xfId="42"/>
    <cellStyle name="20% - akcent 1 3" xfId="43"/>
    <cellStyle name="20% - akcent 2 2" xfId="44"/>
    <cellStyle name="20% - akcent 2 3" xfId="45"/>
    <cellStyle name="20% - akcent 3 2" xfId="46"/>
    <cellStyle name="20% - akcent 3 3" xfId="47"/>
    <cellStyle name="20% - akcent 4 2" xfId="48"/>
    <cellStyle name="20% - akcent 4 3" xfId="49"/>
    <cellStyle name="20% - akcent 5 2" xfId="50"/>
    <cellStyle name="20% - akcent 5 3" xfId="51"/>
    <cellStyle name="20% - akcent 6 2" xfId="52"/>
    <cellStyle name="20% - akcent 6 3" xfId="53"/>
    <cellStyle name="40% - akcent 1 2" xfId="54"/>
    <cellStyle name="40% - akcent 1 3" xfId="55"/>
    <cellStyle name="40% - akcent 2 2" xfId="56"/>
    <cellStyle name="40% - akcent 2 3" xfId="57"/>
    <cellStyle name="40% - akcent 3 2" xfId="58"/>
    <cellStyle name="40% - akcent 3 3" xfId="59"/>
    <cellStyle name="40% - akcent 4 2" xfId="60"/>
    <cellStyle name="40% - akcent 4 3" xfId="61"/>
    <cellStyle name="40% - akcent 5 2" xfId="62"/>
    <cellStyle name="40% - akcent 5 3" xfId="63"/>
    <cellStyle name="40% - akcent 6 2" xfId="64"/>
    <cellStyle name="40% - akcent 6 3" xfId="65"/>
    <cellStyle name="60% - akcent 1 2" xfId="66"/>
    <cellStyle name="60% - akcent 1 3" xfId="67"/>
    <cellStyle name="60% - akcent 2 2" xfId="68"/>
    <cellStyle name="60% - akcent 2 3" xfId="69"/>
    <cellStyle name="60% - akcent 3 2" xfId="70"/>
    <cellStyle name="60% - akcent 3 3" xfId="71"/>
    <cellStyle name="60% - akcent 4 2" xfId="72"/>
    <cellStyle name="60% - akcent 4 3" xfId="73"/>
    <cellStyle name="60% - akcent 5 2" xfId="74"/>
    <cellStyle name="60% - akcent 5 3" xfId="75"/>
    <cellStyle name="60% - akcent 6 2" xfId="76"/>
    <cellStyle name="60% - akcent 6 3" xfId="77"/>
    <cellStyle name="Akcent 1 2" xfId="78"/>
    <cellStyle name="Akcent 1 3" xfId="79"/>
    <cellStyle name="Akcent 2 2" xfId="80"/>
    <cellStyle name="Akcent 2 3" xfId="81"/>
    <cellStyle name="Akcent 3 2" xfId="82"/>
    <cellStyle name="Akcent 3 3" xfId="83"/>
    <cellStyle name="Akcent 4 2" xfId="84"/>
    <cellStyle name="Akcent 4 3" xfId="85"/>
    <cellStyle name="Akcent 5 2" xfId="86"/>
    <cellStyle name="Akcent 5 3" xfId="87"/>
    <cellStyle name="Akcent 6 2" xfId="88"/>
    <cellStyle name="Akcent 6 3" xfId="89"/>
    <cellStyle name="Dane wejściowe 2" xfId="90"/>
    <cellStyle name="Dane wejściowe 3" xfId="91"/>
    <cellStyle name="Dane wyjściowe 2" xfId="92"/>
    <cellStyle name="Dane wyjściowe 3" xfId="93"/>
    <cellStyle name="Dobre 2" xfId="94"/>
    <cellStyle name="Dobre 3" xfId="95"/>
    <cellStyle name="Komórka połączona 2" xfId="96"/>
    <cellStyle name="Komórka połączona 3" xfId="97"/>
    <cellStyle name="Komórka zaznaczona 2" xfId="98"/>
    <cellStyle name="Komórka zaznaczona 3" xfId="99"/>
    <cellStyle name="Nagłówek 1 2" xfId="100"/>
    <cellStyle name="Nagłówek 1 3" xfId="101"/>
    <cellStyle name="Nagłówek 2 2" xfId="102"/>
    <cellStyle name="Nagłówek 2 3" xfId="103"/>
    <cellStyle name="Nagłówek 3 2" xfId="104"/>
    <cellStyle name="Nagłówek 3 3" xfId="105"/>
    <cellStyle name="Nagłówek 4 2" xfId="106"/>
    <cellStyle name="Nagłówek 4 3" xfId="107"/>
    <cellStyle name="Neutralne 2" xfId="108"/>
    <cellStyle name="Neutralne 3" xfId="109"/>
    <cellStyle name="Normalny" xfId="0" builtinId="0"/>
    <cellStyle name="Normalny 2" xfId="1"/>
    <cellStyle name="Normalny 2 2" xfId="23"/>
    <cellStyle name="Normalny 2 2 2" xfId="2"/>
    <cellStyle name="Normalny 2 2 3" xfId="110"/>
    <cellStyle name="Normalny 2 3" xfId="111"/>
    <cellStyle name="Normalny 2 4" xfId="11"/>
    <cellStyle name="Normalny 2 4 2" xfId="112"/>
    <cellStyle name="Normalny 2 5" xfId="113"/>
    <cellStyle name="Normalny 2 6" xfId="114"/>
    <cellStyle name="Normalny 2 7" xfId="115"/>
    <cellStyle name="Normalny 3" xfId="3"/>
    <cellStyle name="Normalny 3 2" xfId="116"/>
    <cellStyle name="Normalny 4" xfId="117"/>
    <cellStyle name="Normalny 5" xfId="118"/>
    <cellStyle name="Normalny 6" xfId="119"/>
    <cellStyle name="Normalny 6 2" xfId="4"/>
    <cellStyle name="Normalny 7" xfId="120"/>
    <cellStyle name="Normalny 7 2" xfId="121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21" xfId="29"/>
    <cellStyle name="Normalny 8 22" xfId="30"/>
    <cellStyle name="Normalny 8 23" xfId="31"/>
    <cellStyle name="Normalny 8 24" xfId="32"/>
    <cellStyle name="Normalny 8 25" xfId="33"/>
    <cellStyle name="Normalny 8 26" xfId="34"/>
    <cellStyle name="Normalny 8 27" xfId="35"/>
    <cellStyle name="Normalny 8 28" xfId="36"/>
    <cellStyle name="Normalny 8 29" xfId="37"/>
    <cellStyle name="Normalny 8 3" xfId="9"/>
    <cellStyle name="Normalny 8 30" xfId="38"/>
    <cellStyle name="Normalny 8 31" xfId="39"/>
    <cellStyle name="Normalny 8 32" xfId="40"/>
    <cellStyle name="Normalny 8 33" xfId="41"/>
    <cellStyle name="Normalny 8 34" xfId="122"/>
    <cellStyle name="Normalny 8 35" xfId="144"/>
    <cellStyle name="Normalny 8 36" xfId="145"/>
    <cellStyle name="Normalny 8 37" xfId="146"/>
    <cellStyle name="Normalny 8 38" xfId="147"/>
    <cellStyle name="Normalny 8 39" xfId="148"/>
    <cellStyle name="Normalny 8 4" xfId="10"/>
    <cellStyle name="Normalny 8 40" xfId="149"/>
    <cellStyle name="Normalny 8 41" xfId="150"/>
    <cellStyle name="Normalny 8 42" xfId="151"/>
    <cellStyle name="Normalny 8 43" xfId="152"/>
    <cellStyle name="Normalny 8 44" xfId="153"/>
    <cellStyle name="Normalny 8 45" xfId="154"/>
    <cellStyle name="Normalny 8 46" xfId="155"/>
    <cellStyle name="Normalny 8 47" xfId="156"/>
    <cellStyle name="Normalny 8 48" xfId="157"/>
    <cellStyle name="Normalny 8 49" xfId="158"/>
    <cellStyle name="Normalny 8 5" xfId="12"/>
    <cellStyle name="Normalny 8 50" xfId="159"/>
    <cellStyle name="Normalny 8 51" xfId="160"/>
    <cellStyle name="Normalny 8 52" xfId="161"/>
    <cellStyle name="Normalny 8 53" xfId="162"/>
    <cellStyle name="Normalny 8 54" xfId="163"/>
    <cellStyle name="Normalny 8 55" xfId="164"/>
    <cellStyle name="Normalny 8 56" xfId="165"/>
    <cellStyle name="Normalny 8 6" xfId="13"/>
    <cellStyle name="Normalny 8 7" xfId="14"/>
    <cellStyle name="Normalny 8 8" xfId="15"/>
    <cellStyle name="Normalny 8 9" xfId="16"/>
    <cellStyle name="Normalny 9" xfId="5"/>
    <cellStyle name="Obliczenia 2" xfId="123"/>
    <cellStyle name="Obliczenia 3" xfId="124"/>
    <cellStyle name="Procentowy 2" xfId="125"/>
    <cellStyle name="Procentowy 2 2" xfId="6"/>
    <cellStyle name="Procentowy 2 3" xfId="126"/>
    <cellStyle name="Procentowy 3" xfId="127"/>
    <cellStyle name="Procentowy 3 2" xfId="128"/>
    <cellStyle name="Procentowy 4" xfId="129"/>
    <cellStyle name="Procentowy 5" xfId="130"/>
    <cellStyle name="Procentowy 6" xfId="131"/>
    <cellStyle name="Suma 2" xfId="132"/>
    <cellStyle name="Suma 3" xfId="133"/>
    <cellStyle name="Tekst objaśnienia 2" xfId="134"/>
    <cellStyle name="Tekst objaśnienia 3" xfId="135"/>
    <cellStyle name="Tekst ostrzeżenia 2" xfId="136"/>
    <cellStyle name="Tekst ostrzeżenia 3" xfId="137"/>
    <cellStyle name="Tytuł 2" xfId="139"/>
    <cellStyle name="Tytuł 3" xfId="138"/>
    <cellStyle name="Uwaga 2" xfId="140"/>
    <cellStyle name="Uwaga 3" xfId="141"/>
    <cellStyle name="Złe 2" xfId="142"/>
    <cellStyle name="Złe 3" xfId="143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FFFF99"/>
      <color rgb="FF99FF99"/>
      <color rgb="FFFF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Raport%2012-05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2adc03ddaa974343b1da40e471b84874_26_08_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por&#243;wnanie_31_10_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rady/AppData/Local/Microsoft/Windows/INetCache/Content.Outlook/FTQHUN80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2021</v>
          </cell>
        </row>
        <row r="2">
          <cell r="N2">
            <v>2035</v>
          </cell>
        </row>
        <row r="3">
          <cell r="N3" t="str">
            <v>A7F0</v>
          </cell>
        </row>
      </sheetData>
      <sheetData sheetId="1" refreshError="1"/>
      <sheetData sheetId="2"/>
      <sheetData sheetId="3" refreshError="1"/>
      <sheetData sheetId="4">
        <row r="1">
          <cell r="M1">
            <v>2035</v>
          </cell>
        </row>
      </sheetData>
      <sheetData sheetId="5">
        <row r="1">
          <cell r="D1" t="str">
            <v>2020-09-01a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U115"/>
  <sheetViews>
    <sheetView tabSelected="1" zoomScaleNormal="100" zoomScaleSheetLayoutView="100" workbookViewId="0">
      <pane xSplit="2" ySplit="3" topLeftCell="C79" activePane="bottomRight" state="frozen"/>
      <selection activeCell="A29" sqref="A29:IV29"/>
      <selection pane="topRight" activeCell="A29" sqref="A29:IV29"/>
      <selection pane="bottomLeft" activeCell="A29" sqref="A29:IV29"/>
      <selection pane="bottomRight" activeCell="G85" sqref="G85"/>
    </sheetView>
  </sheetViews>
  <sheetFormatPr defaultRowHeight="14.25"/>
  <cols>
    <col min="1" max="1" width="7.5703125" style="114" customWidth="1"/>
    <col min="2" max="2" width="36.7109375" style="114" customWidth="1"/>
    <col min="3" max="21" width="11.28515625" style="114" customWidth="1"/>
    <col min="22" max="224" width="9.140625" style="52"/>
    <col min="225" max="226" width="4.85546875" style="52" customWidth="1"/>
    <col min="227" max="227" width="7.5703125" style="52" customWidth="1"/>
    <col min="228" max="228" width="0" style="52" hidden="1" customWidth="1"/>
    <col min="229" max="229" width="63.7109375" style="52" customWidth="1"/>
    <col min="230" max="233" width="0" style="52" hidden="1" customWidth="1"/>
    <col min="234" max="273" width="16" style="52" customWidth="1"/>
    <col min="274" max="480" width="9.140625" style="52"/>
    <col min="481" max="482" width="4.85546875" style="52" customWidth="1"/>
    <col min="483" max="483" width="7.5703125" style="52" customWidth="1"/>
    <col min="484" max="484" width="0" style="52" hidden="1" customWidth="1"/>
    <col min="485" max="485" width="63.7109375" style="52" customWidth="1"/>
    <col min="486" max="489" width="0" style="52" hidden="1" customWidth="1"/>
    <col min="490" max="529" width="16" style="52" customWidth="1"/>
    <col min="530" max="736" width="9.140625" style="52"/>
    <col min="737" max="738" width="4.85546875" style="52" customWidth="1"/>
    <col min="739" max="739" width="7.5703125" style="52" customWidth="1"/>
    <col min="740" max="740" width="0" style="52" hidden="1" customWidth="1"/>
    <col min="741" max="741" width="63.7109375" style="52" customWidth="1"/>
    <col min="742" max="745" width="0" style="52" hidden="1" customWidth="1"/>
    <col min="746" max="785" width="16" style="52" customWidth="1"/>
    <col min="786" max="992" width="9.140625" style="52"/>
    <col min="993" max="994" width="4.85546875" style="52" customWidth="1"/>
    <col min="995" max="995" width="7.5703125" style="52" customWidth="1"/>
    <col min="996" max="996" width="0" style="52" hidden="1" customWidth="1"/>
    <col min="997" max="997" width="63.7109375" style="52" customWidth="1"/>
    <col min="998" max="1001" width="0" style="52" hidden="1" customWidth="1"/>
    <col min="1002" max="1041" width="16" style="52" customWidth="1"/>
    <col min="1042" max="1248" width="9.140625" style="52"/>
    <col min="1249" max="1250" width="4.85546875" style="52" customWidth="1"/>
    <col min="1251" max="1251" width="7.5703125" style="52" customWidth="1"/>
    <col min="1252" max="1252" width="0" style="52" hidden="1" customWidth="1"/>
    <col min="1253" max="1253" width="63.7109375" style="52" customWidth="1"/>
    <col min="1254" max="1257" width="0" style="52" hidden="1" customWidth="1"/>
    <col min="1258" max="1297" width="16" style="52" customWidth="1"/>
    <col min="1298" max="1504" width="9.140625" style="52"/>
    <col min="1505" max="1506" width="4.85546875" style="52" customWidth="1"/>
    <col min="1507" max="1507" width="7.5703125" style="52" customWidth="1"/>
    <col min="1508" max="1508" width="0" style="52" hidden="1" customWidth="1"/>
    <col min="1509" max="1509" width="63.7109375" style="52" customWidth="1"/>
    <col min="1510" max="1513" width="0" style="52" hidden="1" customWidth="1"/>
    <col min="1514" max="1553" width="16" style="52" customWidth="1"/>
    <col min="1554" max="1760" width="9.140625" style="52"/>
    <col min="1761" max="1762" width="4.85546875" style="52" customWidth="1"/>
    <col min="1763" max="1763" width="7.5703125" style="52" customWidth="1"/>
    <col min="1764" max="1764" width="0" style="52" hidden="1" customWidth="1"/>
    <col min="1765" max="1765" width="63.7109375" style="52" customWidth="1"/>
    <col min="1766" max="1769" width="0" style="52" hidden="1" customWidth="1"/>
    <col min="1770" max="1809" width="16" style="52" customWidth="1"/>
    <col min="1810" max="2016" width="9.140625" style="52"/>
    <col min="2017" max="2018" width="4.85546875" style="52" customWidth="1"/>
    <col min="2019" max="2019" width="7.5703125" style="52" customWidth="1"/>
    <col min="2020" max="2020" width="0" style="52" hidden="1" customWidth="1"/>
    <col min="2021" max="2021" width="63.7109375" style="52" customWidth="1"/>
    <col min="2022" max="2025" width="0" style="52" hidden="1" customWidth="1"/>
    <col min="2026" max="2065" width="16" style="52" customWidth="1"/>
    <col min="2066" max="2272" width="9.140625" style="52"/>
    <col min="2273" max="2274" width="4.85546875" style="52" customWidth="1"/>
    <col min="2275" max="2275" width="7.5703125" style="52" customWidth="1"/>
    <col min="2276" max="2276" width="0" style="52" hidden="1" customWidth="1"/>
    <col min="2277" max="2277" width="63.7109375" style="52" customWidth="1"/>
    <col min="2278" max="2281" width="0" style="52" hidden="1" customWidth="1"/>
    <col min="2282" max="2321" width="16" style="52" customWidth="1"/>
    <col min="2322" max="2528" width="9.140625" style="52"/>
    <col min="2529" max="2530" width="4.85546875" style="52" customWidth="1"/>
    <col min="2531" max="2531" width="7.5703125" style="52" customWidth="1"/>
    <col min="2532" max="2532" width="0" style="52" hidden="1" customWidth="1"/>
    <col min="2533" max="2533" width="63.7109375" style="52" customWidth="1"/>
    <col min="2534" max="2537" width="0" style="52" hidden="1" customWidth="1"/>
    <col min="2538" max="2577" width="16" style="52" customWidth="1"/>
    <col min="2578" max="2784" width="9.140625" style="52"/>
    <col min="2785" max="2786" width="4.85546875" style="52" customWidth="1"/>
    <col min="2787" max="2787" width="7.5703125" style="52" customWidth="1"/>
    <col min="2788" max="2788" width="0" style="52" hidden="1" customWidth="1"/>
    <col min="2789" max="2789" width="63.7109375" style="52" customWidth="1"/>
    <col min="2790" max="2793" width="0" style="52" hidden="1" customWidth="1"/>
    <col min="2794" max="2833" width="16" style="52" customWidth="1"/>
    <col min="2834" max="3040" width="9.140625" style="52"/>
    <col min="3041" max="3042" width="4.85546875" style="52" customWidth="1"/>
    <col min="3043" max="3043" width="7.5703125" style="52" customWidth="1"/>
    <col min="3044" max="3044" width="0" style="52" hidden="1" customWidth="1"/>
    <col min="3045" max="3045" width="63.7109375" style="52" customWidth="1"/>
    <col min="3046" max="3049" width="0" style="52" hidden="1" customWidth="1"/>
    <col min="3050" max="3089" width="16" style="52" customWidth="1"/>
    <col min="3090" max="3296" width="9.140625" style="52"/>
    <col min="3297" max="3298" width="4.85546875" style="52" customWidth="1"/>
    <col min="3299" max="3299" width="7.5703125" style="52" customWidth="1"/>
    <col min="3300" max="3300" width="0" style="52" hidden="1" customWidth="1"/>
    <col min="3301" max="3301" width="63.7109375" style="52" customWidth="1"/>
    <col min="3302" max="3305" width="0" style="52" hidden="1" customWidth="1"/>
    <col min="3306" max="3345" width="16" style="52" customWidth="1"/>
    <col min="3346" max="3552" width="9.140625" style="52"/>
    <col min="3553" max="3554" width="4.85546875" style="52" customWidth="1"/>
    <col min="3555" max="3555" width="7.5703125" style="52" customWidth="1"/>
    <col min="3556" max="3556" width="0" style="52" hidden="1" customWidth="1"/>
    <col min="3557" max="3557" width="63.7109375" style="52" customWidth="1"/>
    <col min="3558" max="3561" width="0" style="52" hidden="1" customWidth="1"/>
    <col min="3562" max="3601" width="16" style="52" customWidth="1"/>
    <col min="3602" max="3808" width="9.140625" style="52"/>
    <col min="3809" max="3810" width="4.85546875" style="52" customWidth="1"/>
    <col min="3811" max="3811" width="7.5703125" style="52" customWidth="1"/>
    <col min="3812" max="3812" width="0" style="52" hidden="1" customWidth="1"/>
    <col min="3813" max="3813" width="63.7109375" style="52" customWidth="1"/>
    <col min="3814" max="3817" width="0" style="52" hidden="1" customWidth="1"/>
    <col min="3818" max="3857" width="16" style="52" customWidth="1"/>
    <col min="3858" max="4064" width="9.140625" style="52"/>
    <col min="4065" max="4066" width="4.85546875" style="52" customWidth="1"/>
    <col min="4067" max="4067" width="7.5703125" style="52" customWidth="1"/>
    <col min="4068" max="4068" width="0" style="52" hidden="1" customWidth="1"/>
    <col min="4069" max="4069" width="63.7109375" style="52" customWidth="1"/>
    <col min="4070" max="4073" width="0" style="52" hidden="1" customWidth="1"/>
    <col min="4074" max="4113" width="16" style="52" customWidth="1"/>
    <col min="4114" max="4320" width="9.140625" style="52"/>
    <col min="4321" max="4322" width="4.85546875" style="52" customWidth="1"/>
    <col min="4323" max="4323" width="7.5703125" style="52" customWidth="1"/>
    <col min="4324" max="4324" width="0" style="52" hidden="1" customWidth="1"/>
    <col min="4325" max="4325" width="63.7109375" style="52" customWidth="1"/>
    <col min="4326" max="4329" width="0" style="52" hidden="1" customWidth="1"/>
    <col min="4330" max="4369" width="16" style="52" customWidth="1"/>
    <col min="4370" max="4576" width="9.140625" style="52"/>
    <col min="4577" max="4578" width="4.85546875" style="52" customWidth="1"/>
    <col min="4579" max="4579" width="7.5703125" style="52" customWidth="1"/>
    <col min="4580" max="4580" width="0" style="52" hidden="1" customWidth="1"/>
    <col min="4581" max="4581" width="63.7109375" style="52" customWidth="1"/>
    <col min="4582" max="4585" width="0" style="52" hidden="1" customWidth="1"/>
    <col min="4586" max="4625" width="16" style="52" customWidth="1"/>
    <col min="4626" max="4832" width="9.140625" style="52"/>
    <col min="4833" max="4834" width="4.85546875" style="52" customWidth="1"/>
    <col min="4835" max="4835" width="7.5703125" style="52" customWidth="1"/>
    <col min="4836" max="4836" width="0" style="52" hidden="1" customWidth="1"/>
    <col min="4837" max="4837" width="63.7109375" style="52" customWidth="1"/>
    <col min="4838" max="4841" width="0" style="52" hidden="1" customWidth="1"/>
    <col min="4842" max="4881" width="16" style="52" customWidth="1"/>
    <col min="4882" max="5088" width="9.140625" style="52"/>
    <col min="5089" max="5090" width="4.85546875" style="52" customWidth="1"/>
    <col min="5091" max="5091" width="7.5703125" style="52" customWidth="1"/>
    <col min="5092" max="5092" width="0" style="52" hidden="1" customWidth="1"/>
    <col min="5093" max="5093" width="63.7109375" style="52" customWidth="1"/>
    <col min="5094" max="5097" width="0" style="52" hidden="1" customWidth="1"/>
    <col min="5098" max="5137" width="16" style="52" customWidth="1"/>
    <col min="5138" max="5344" width="9.140625" style="52"/>
    <col min="5345" max="5346" width="4.85546875" style="52" customWidth="1"/>
    <col min="5347" max="5347" width="7.5703125" style="52" customWidth="1"/>
    <col min="5348" max="5348" width="0" style="52" hidden="1" customWidth="1"/>
    <col min="5349" max="5349" width="63.7109375" style="52" customWidth="1"/>
    <col min="5350" max="5353" width="0" style="52" hidden="1" customWidth="1"/>
    <col min="5354" max="5393" width="16" style="52" customWidth="1"/>
    <col min="5394" max="5600" width="9.140625" style="52"/>
    <col min="5601" max="5602" width="4.85546875" style="52" customWidth="1"/>
    <col min="5603" max="5603" width="7.5703125" style="52" customWidth="1"/>
    <col min="5604" max="5604" width="0" style="52" hidden="1" customWidth="1"/>
    <col min="5605" max="5605" width="63.7109375" style="52" customWidth="1"/>
    <col min="5606" max="5609" width="0" style="52" hidden="1" customWidth="1"/>
    <col min="5610" max="5649" width="16" style="52" customWidth="1"/>
    <col min="5650" max="5856" width="9.140625" style="52"/>
    <col min="5857" max="5858" width="4.85546875" style="52" customWidth="1"/>
    <col min="5859" max="5859" width="7.5703125" style="52" customWidth="1"/>
    <col min="5860" max="5860" width="0" style="52" hidden="1" customWidth="1"/>
    <col min="5861" max="5861" width="63.7109375" style="52" customWidth="1"/>
    <col min="5862" max="5865" width="0" style="52" hidden="1" customWidth="1"/>
    <col min="5866" max="5905" width="16" style="52" customWidth="1"/>
    <col min="5906" max="6112" width="9.140625" style="52"/>
    <col min="6113" max="6114" width="4.85546875" style="52" customWidth="1"/>
    <col min="6115" max="6115" width="7.5703125" style="52" customWidth="1"/>
    <col min="6116" max="6116" width="0" style="52" hidden="1" customWidth="1"/>
    <col min="6117" max="6117" width="63.7109375" style="52" customWidth="1"/>
    <col min="6118" max="6121" width="0" style="52" hidden="1" customWidth="1"/>
    <col min="6122" max="6161" width="16" style="52" customWidth="1"/>
    <col min="6162" max="6368" width="9.140625" style="52"/>
    <col min="6369" max="6370" width="4.85546875" style="52" customWidth="1"/>
    <col min="6371" max="6371" width="7.5703125" style="52" customWidth="1"/>
    <col min="6372" max="6372" width="0" style="52" hidden="1" customWidth="1"/>
    <col min="6373" max="6373" width="63.7109375" style="52" customWidth="1"/>
    <col min="6374" max="6377" width="0" style="52" hidden="1" customWidth="1"/>
    <col min="6378" max="6417" width="16" style="52" customWidth="1"/>
    <col min="6418" max="6624" width="9.140625" style="52"/>
    <col min="6625" max="6626" width="4.85546875" style="52" customWidth="1"/>
    <col min="6627" max="6627" width="7.5703125" style="52" customWidth="1"/>
    <col min="6628" max="6628" width="0" style="52" hidden="1" customWidth="1"/>
    <col min="6629" max="6629" width="63.7109375" style="52" customWidth="1"/>
    <col min="6630" max="6633" width="0" style="52" hidden="1" customWidth="1"/>
    <col min="6634" max="6673" width="16" style="52" customWidth="1"/>
    <col min="6674" max="6880" width="9.140625" style="52"/>
    <col min="6881" max="6882" width="4.85546875" style="52" customWidth="1"/>
    <col min="6883" max="6883" width="7.5703125" style="52" customWidth="1"/>
    <col min="6884" max="6884" width="0" style="52" hidden="1" customWidth="1"/>
    <col min="6885" max="6885" width="63.7109375" style="52" customWidth="1"/>
    <col min="6886" max="6889" width="0" style="52" hidden="1" customWidth="1"/>
    <col min="6890" max="6929" width="16" style="52" customWidth="1"/>
    <col min="6930" max="7136" width="9.140625" style="52"/>
    <col min="7137" max="7138" width="4.85546875" style="52" customWidth="1"/>
    <col min="7139" max="7139" width="7.5703125" style="52" customWidth="1"/>
    <col min="7140" max="7140" width="0" style="52" hidden="1" customWidth="1"/>
    <col min="7141" max="7141" width="63.7109375" style="52" customWidth="1"/>
    <col min="7142" max="7145" width="0" style="52" hidden="1" customWidth="1"/>
    <col min="7146" max="7185" width="16" style="52" customWidth="1"/>
    <col min="7186" max="7392" width="9.140625" style="52"/>
    <col min="7393" max="7394" width="4.85546875" style="52" customWidth="1"/>
    <col min="7395" max="7395" width="7.5703125" style="52" customWidth="1"/>
    <col min="7396" max="7396" width="0" style="52" hidden="1" customWidth="1"/>
    <col min="7397" max="7397" width="63.7109375" style="52" customWidth="1"/>
    <col min="7398" max="7401" width="0" style="52" hidden="1" customWidth="1"/>
    <col min="7402" max="7441" width="16" style="52" customWidth="1"/>
    <col min="7442" max="7648" width="9.140625" style="52"/>
    <col min="7649" max="7650" width="4.85546875" style="52" customWidth="1"/>
    <col min="7651" max="7651" width="7.5703125" style="52" customWidth="1"/>
    <col min="7652" max="7652" width="0" style="52" hidden="1" customWidth="1"/>
    <col min="7653" max="7653" width="63.7109375" style="52" customWidth="1"/>
    <col min="7654" max="7657" width="0" style="52" hidden="1" customWidth="1"/>
    <col min="7658" max="7697" width="16" style="52" customWidth="1"/>
    <col min="7698" max="7904" width="9.140625" style="52"/>
    <col min="7905" max="7906" width="4.85546875" style="52" customWidth="1"/>
    <col min="7907" max="7907" width="7.5703125" style="52" customWidth="1"/>
    <col min="7908" max="7908" width="0" style="52" hidden="1" customWidth="1"/>
    <col min="7909" max="7909" width="63.7109375" style="52" customWidth="1"/>
    <col min="7910" max="7913" width="0" style="52" hidden="1" customWidth="1"/>
    <col min="7914" max="7953" width="16" style="52" customWidth="1"/>
    <col min="7954" max="8160" width="9.140625" style="52"/>
    <col min="8161" max="8162" width="4.85546875" style="52" customWidth="1"/>
    <col min="8163" max="8163" width="7.5703125" style="52" customWidth="1"/>
    <col min="8164" max="8164" width="0" style="52" hidden="1" customWidth="1"/>
    <col min="8165" max="8165" width="63.7109375" style="52" customWidth="1"/>
    <col min="8166" max="8169" width="0" style="52" hidden="1" customWidth="1"/>
    <col min="8170" max="8209" width="16" style="52" customWidth="1"/>
    <col min="8210" max="8416" width="9.140625" style="52"/>
    <col min="8417" max="8418" width="4.85546875" style="52" customWidth="1"/>
    <col min="8419" max="8419" width="7.5703125" style="52" customWidth="1"/>
    <col min="8420" max="8420" width="0" style="52" hidden="1" customWidth="1"/>
    <col min="8421" max="8421" width="63.7109375" style="52" customWidth="1"/>
    <col min="8422" max="8425" width="0" style="52" hidden="1" customWidth="1"/>
    <col min="8426" max="8465" width="16" style="52" customWidth="1"/>
    <col min="8466" max="8672" width="9.140625" style="52"/>
    <col min="8673" max="8674" width="4.85546875" style="52" customWidth="1"/>
    <col min="8675" max="8675" width="7.5703125" style="52" customWidth="1"/>
    <col min="8676" max="8676" width="0" style="52" hidden="1" customWidth="1"/>
    <col min="8677" max="8677" width="63.7109375" style="52" customWidth="1"/>
    <col min="8678" max="8681" width="0" style="52" hidden="1" customWidth="1"/>
    <col min="8682" max="8721" width="16" style="52" customWidth="1"/>
    <col min="8722" max="8928" width="9.140625" style="52"/>
    <col min="8929" max="8930" width="4.85546875" style="52" customWidth="1"/>
    <col min="8931" max="8931" width="7.5703125" style="52" customWidth="1"/>
    <col min="8932" max="8932" width="0" style="52" hidden="1" customWidth="1"/>
    <col min="8933" max="8933" width="63.7109375" style="52" customWidth="1"/>
    <col min="8934" max="8937" width="0" style="52" hidden="1" customWidth="1"/>
    <col min="8938" max="8977" width="16" style="52" customWidth="1"/>
    <col min="8978" max="9184" width="9.140625" style="52"/>
    <col min="9185" max="9186" width="4.85546875" style="52" customWidth="1"/>
    <col min="9187" max="9187" width="7.5703125" style="52" customWidth="1"/>
    <col min="9188" max="9188" width="0" style="52" hidden="1" customWidth="1"/>
    <col min="9189" max="9189" width="63.7109375" style="52" customWidth="1"/>
    <col min="9190" max="9193" width="0" style="52" hidden="1" customWidth="1"/>
    <col min="9194" max="9233" width="16" style="52" customWidth="1"/>
    <col min="9234" max="9440" width="9.140625" style="52"/>
    <col min="9441" max="9442" width="4.85546875" style="52" customWidth="1"/>
    <col min="9443" max="9443" width="7.5703125" style="52" customWidth="1"/>
    <col min="9444" max="9444" width="0" style="52" hidden="1" customWidth="1"/>
    <col min="9445" max="9445" width="63.7109375" style="52" customWidth="1"/>
    <col min="9446" max="9449" width="0" style="52" hidden="1" customWidth="1"/>
    <col min="9450" max="9489" width="16" style="52" customWidth="1"/>
    <col min="9490" max="9696" width="9.140625" style="52"/>
    <col min="9697" max="9698" width="4.85546875" style="52" customWidth="1"/>
    <col min="9699" max="9699" width="7.5703125" style="52" customWidth="1"/>
    <col min="9700" max="9700" width="0" style="52" hidden="1" customWidth="1"/>
    <col min="9701" max="9701" width="63.7109375" style="52" customWidth="1"/>
    <col min="9702" max="9705" width="0" style="52" hidden="1" customWidth="1"/>
    <col min="9706" max="9745" width="16" style="52" customWidth="1"/>
    <col min="9746" max="9952" width="9.140625" style="52"/>
    <col min="9953" max="9954" width="4.85546875" style="52" customWidth="1"/>
    <col min="9955" max="9955" width="7.5703125" style="52" customWidth="1"/>
    <col min="9956" max="9956" width="0" style="52" hidden="1" customWidth="1"/>
    <col min="9957" max="9957" width="63.7109375" style="52" customWidth="1"/>
    <col min="9958" max="9961" width="0" style="52" hidden="1" customWidth="1"/>
    <col min="9962" max="10001" width="16" style="52" customWidth="1"/>
    <col min="10002" max="10208" width="9.140625" style="52"/>
    <col min="10209" max="10210" width="4.85546875" style="52" customWidth="1"/>
    <col min="10211" max="10211" width="7.5703125" style="52" customWidth="1"/>
    <col min="10212" max="10212" width="0" style="52" hidden="1" customWidth="1"/>
    <col min="10213" max="10213" width="63.7109375" style="52" customWidth="1"/>
    <col min="10214" max="10217" width="0" style="52" hidden="1" customWidth="1"/>
    <col min="10218" max="10257" width="16" style="52" customWidth="1"/>
    <col min="10258" max="10464" width="9.140625" style="52"/>
    <col min="10465" max="10466" width="4.85546875" style="52" customWidth="1"/>
    <col min="10467" max="10467" width="7.5703125" style="52" customWidth="1"/>
    <col min="10468" max="10468" width="0" style="52" hidden="1" customWidth="1"/>
    <col min="10469" max="10469" width="63.7109375" style="52" customWidth="1"/>
    <col min="10470" max="10473" width="0" style="52" hidden="1" customWidth="1"/>
    <col min="10474" max="10513" width="16" style="52" customWidth="1"/>
    <col min="10514" max="10720" width="9.140625" style="52"/>
    <col min="10721" max="10722" width="4.85546875" style="52" customWidth="1"/>
    <col min="10723" max="10723" width="7.5703125" style="52" customWidth="1"/>
    <col min="10724" max="10724" width="0" style="52" hidden="1" customWidth="1"/>
    <col min="10725" max="10725" width="63.7109375" style="52" customWidth="1"/>
    <col min="10726" max="10729" width="0" style="52" hidden="1" customWidth="1"/>
    <col min="10730" max="10769" width="16" style="52" customWidth="1"/>
    <col min="10770" max="10976" width="9.140625" style="52"/>
    <col min="10977" max="10978" width="4.85546875" style="52" customWidth="1"/>
    <col min="10979" max="10979" width="7.5703125" style="52" customWidth="1"/>
    <col min="10980" max="10980" width="0" style="52" hidden="1" customWidth="1"/>
    <col min="10981" max="10981" width="63.7109375" style="52" customWidth="1"/>
    <col min="10982" max="10985" width="0" style="52" hidden="1" customWidth="1"/>
    <col min="10986" max="11025" width="16" style="52" customWidth="1"/>
    <col min="11026" max="11232" width="9.140625" style="52"/>
    <col min="11233" max="11234" width="4.85546875" style="52" customWidth="1"/>
    <col min="11235" max="11235" width="7.5703125" style="52" customWidth="1"/>
    <col min="11236" max="11236" width="0" style="52" hidden="1" customWidth="1"/>
    <col min="11237" max="11237" width="63.7109375" style="52" customWidth="1"/>
    <col min="11238" max="11241" width="0" style="52" hidden="1" customWidth="1"/>
    <col min="11242" max="11281" width="16" style="52" customWidth="1"/>
    <col min="11282" max="11488" width="9.140625" style="52"/>
    <col min="11489" max="11490" width="4.85546875" style="52" customWidth="1"/>
    <col min="11491" max="11491" width="7.5703125" style="52" customWidth="1"/>
    <col min="11492" max="11492" width="0" style="52" hidden="1" customWidth="1"/>
    <col min="11493" max="11493" width="63.7109375" style="52" customWidth="1"/>
    <col min="11494" max="11497" width="0" style="52" hidden="1" customWidth="1"/>
    <col min="11498" max="11537" width="16" style="52" customWidth="1"/>
    <col min="11538" max="11744" width="9.140625" style="52"/>
    <col min="11745" max="11746" width="4.85546875" style="52" customWidth="1"/>
    <col min="11747" max="11747" width="7.5703125" style="52" customWidth="1"/>
    <col min="11748" max="11748" width="0" style="52" hidden="1" customWidth="1"/>
    <col min="11749" max="11749" width="63.7109375" style="52" customWidth="1"/>
    <col min="11750" max="11753" width="0" style="52" hidden="1" customWidth="1"/>
    <col min="11754" max="11793" width="16" style="52" customWidth="1"/>
    <col min="11794" max="12000" width="9.140625" style="52"/>
    <col min="12001" max="12002" width="4.85546875" style="52" customWidth="1"/>
    <col min="12003" max="12003" width="7.5703125" style="52" customWidth="1"/>
    <col min="12004" max="12004" width="0" style="52" hidden="1" customWidth="1"/>
    <col min="12005" max="12005" width="63.7109375" style="52" customWidth="1"/>
    <col min="12006" max="12009" width="0" style="52" hidden="1" customWidth="1"/>
    <col min="12010" max="12049" width="16" style="52" customWidth="1"/>
    <col min="12050" max="12256" width="9.140625" style="52"/>
    <col min="12257" max="12258" width="4.85546875" style="52" customWidth="1"/>
    <col min="12259" max="12259" width="7.5703125" style="52" customWidth="1"/>
    <col min="12260" max="12260" width="0" style="52" hidden="1" customWidth="1"/>
    <col min="12261" max="12261" width="63.7109375" style="52" customWidth="1"/>
    <col min="12262" max="12265" width="0" style="52" hidden="1" customWidth="1"/>
    <col min="12266" max="12305" width="16" style="52" customWidth="1"/>
    <col min="12306" max="12512" width="9.140625" style="52"/>
    <col min="12513" max="12514" width="4.85546875" style="52" customWidth="1"/>
    <col min="12515" max="12515" width="7.5703125" style="52" customWidth="1"/>
    <col min="12516" max="12516" width="0" style="52" hidden="1" customWidth="1"/>
    <col min="12517" max="12517" width="63.7109375" style="52" customWidth="1"/>
    <col min="12518" max="12521" width="0" style="52" hidden="1" customWidth="1"/>
    <col min="12522" max="12561" width="16" style="52" customWidth="1"/>
    <col min="12562" max="12768" width="9.140625" style="52"/>
    <col min="12769" max="12770" width="4.85546875" style="52" customWidth="1"/>
    <col min="12771" max="12771" width="7.5703125" style="52" customWidth="1"/>
    <col min="12772" max="12772" width="0" style="52" hidden="1" customWidth="1"/>
    <col min="12773" max="12773" width="63.7109375" style="52" customWidth="1"/>
    <col min="12774" max="12777" width="0" style="52" hidden="1" customWidth="1"/>
    <col min="12778" max="12817" width="16" style="52" customWidth="1"/>
    <col min="12818" max="13024" width="9.140625" style="52"/>
    <col min="13025" max="13026" width="4.85546875" style="52" customWidth="1"/>
    <col min="13027" max="13027" width="7.5703125" style="52" customWidth="1"/>
    <col min="13028" max="13028" width="0" style="52" hidden="1" customWidth="1"/>
    <col min="13029" max="13029" width="63.7109375" style="52" customWidth="1"/>
    <col min="13030" max="13033" width="0" style="52" hidden="1" customWidth="1"/>
    <col min="13034" max="13073" width="16" style="52" customWidth="1"/>
    <col min="13074" max="13280" width="9.140625" style="52"/>
    <col min="13281" max="13282" width="4.85546875" style="52" customWidth="1"/>
    <col min="13283" max="13283" width="7.5703125" style="52" customWidth="1"/>
    <col min="13284" max="13284" width="0" style="52" hidden="1" customWidth="1"/>
    <col min="13285" max="13285" width="63.7109375" style="52" customWidth="1"/>
    <col min="13286" max="13289" width="0" style="52" hidden="1" customWidth="1"/>
    <col min="13290" max="13329" width="16" style="52" customWidth="1"/>
    <col min="13330" max="13536" width="9.140625" style="52"/>
    <col min="13537" max="13538" width="4.85546875" style="52" customWidth="1"/>
    <col min="13539" max="13539" width="7.5703125" style="52" customWidth="1"/>
    <col min="13540" max="13540" width="0" style="52" hidden="1" customWidth="1"/>
    <col min="13541" max="13541" width="63.7109375" style="52" customWidth="1"/>
    <col min="13542" max="13545" width="0" style="52" hidden="1" customWidth="1"/>
    <col min="13546" max="13585" width="16" style="52" customWidth="1"/>
    <col min="13586" max="13792" width="9.140625" style="52"/>
    <col min="13793" max="13794" width="4.85546875" style="52" customWidth="1"/>
    <col min="13795" max="13795" width="7.5703125" style="52" customWidth="1"/>
    <col min="13796" max="13796" width="0" style="52" hidden="1" customWidth="1"/>
    <col min="13797" max="13797" width="63.7109375" style="52" customWidth="1"/>
    <col min="13798" max="13801" width="0" style="52" hidden="1" customWidth="1"/>
    <col min="13802" max="13841" width="16" style="52" customWidth="1"/>
    <col min="13842" max="14048" width="9.140625" style="52"/>
    <col min="14049" max="14050" width="4.85546875" style="52" customWidth="1"/>
    <col min="14051" max="14051" width="7.5703125" style="52" customWidth="1"/>
    <col min="14052" max="14052" width="0" style="52" hidden="1" customWidth="1"/>
    <col min="14053" max="14053" width="63.7109375" style="52" customWidth="1"/>
    <col min="14054" max="14057" width="0" style="52" hidden="1" customWidth="1"/>
    <col min="14058" max="14097" width="16" style="52" customWidth="1"/>
    <col min="14098" max="14304" width="9.140625" style="52"/>
    <col min="14305" max="14306" width="4.85546875" style="52" customWidth="1"/>
    <col min="14307" max="14307" width="7.5703125" style="52" customWidth="1"/>
    <col min="14308" max="14308" width="0" style="52" hidden="1" customWidth="1"/>
    <col min="14309" max="14309" width="63.7109375" style="52" customWidth="1"/>
    <col min="14310" max="14313" width="0" style="52" hidden="1" customWidth="1"/>
    <col min="14314" max="14353" width="16" style="52" customWidth="1"/>
    <col min="14354" max="14560" width="9.140625" style="52"/>
    <col min="14561" max="14562" width="4.85546875" style="52" customWidth="1"/>
    <col min="14563" max="14563" width="7.5703125" style="52" customWidth="1"/>
    <col min="14564" max="14564" width="0" style="52" hidden="1" customWidth="1"/>
    <col min="14565" max="14565" width="63.7109375" style="52" customWidth="1"/>
    <col min="14566" max="14569" width="0" style="52" hidden="1" customWidth="1"/>
    <col min="14570" max="14609" width="16" style="52" customWidth="1"/>
    <col min="14610" max="14816" width="9.140625" style="52"/>
    <col min="14817" max="14818" width="4.85546875" style="52" customWidth="1"/>
    <col min="14819" max="14819" width="7.5703125" style="52" customWidth="1"/>
    <col min="14820" max="14820" width="0" style="52" hidden="1" customWidth="1"/>
    <col min="14821" max="14821" width="63.7109375" style="52" customWidth="1"/>
    <col min="14822" max="14825" width="0" style="52" hidden="1" customWidth="1"/>
    <col min="14826" max="14865" width="16" style="52" customWidth="1"/>
    <col min="14866" max="15072" width="9.140625" style="52"/>
    <col min="15073" max="15074" width="4.85546875" style="52" customWidth="1"/>
    <col min="15075" max="15075" width="7.5703125" style="52" customWidth="1"/>
    <col min="15076" max="15076" width="0" style="52" hidden="1" customWidth="1"/>
    <col min="15077" max="15077" width="63.7109375" style="52" customWidth="1"/>
    <col min="15078" max="15081" width="0" style="52" hidden="1" customWidth="1"/>
    <col min="15082" max="15121" width="16" style="52" customWidth="1"/>
    <col min="15122" max="15328" width="9.140625" style="52"/>
    <col min="15329" max="15330" width="4.85546875" style="52" customWidth="1"/>
    <col min="15331" max="15331" width="7.5703125" style="52" customWidth="1"/>
    <col min="15332" max="15332" width="0" style="52" hidden="1" customWidth="1"/>
    <col min="15333" max="15333" width="63.7109375" style="52" customWidth="1"/>
    <col min="15334" max="15337" width="0" style="52" hidden="1" customWidth="1"/>
    <col min="15338" max="15377" width="16" style="52" customWidth="1"/>
    <col min="15378" max="15584" width="9.140625" style="52"/>
    <col min="15585" max="15586" width="4.85546875" style="52" customWidth="1"/>
    <col min="15587" max="15587" width="7.5703125" style="52" customWidth="1"/>
    <col min="15588" max="15588" width="0" style="52" hidden="1" customWidth="1"/>
    <col min="15589" max="15589" width="63.7109375" style="52" customWidth="1"/>
    <col min="15590" max="15593" width="0" style="52" hidden="1" customWidth="1"/>
    <col min="15594" max="15633" width="16" style="52" customWidth="1"/>
    <col min="15634" max="15840" width="9.140625" style="52"/>
    <col min="15841" max="15842" width="4.85546875" style="52" customWidth="1"/>
    <col min="15843" max="15843" width="7.5703125" style="52" customWidth="1"/>
    <col min="15844" max="15844" width="0" style="52" hidden="1" customWidth="1"/>
    <col min="15845" max="15845" width="63.7109375" style="52" customWidth="1"/>
    <col min="15846" max="15849" width="0" style="52" hidden="1" customWidth="1"/>
    <col min="15850" max="15889" width="16" style="52" customWidth="1"/>
    <col min="15890" max="16096" width="9.140625" style="52"/>
    <col min="16097" max="16098" width="4.85546875" style="52" customWidth="1"/>
    <col min="16099" max="16099" width="7.5703125" style="52" customWidth="1"/>
    <col min="16100" max="16100" width="0" style="52" hidden="1" customWidth="1"/>
    <col min="16101" max="16101" width="63.7109375" style="52" customWidth="1"/>
    <col min="16102" max="16105" width="0" style="52" hidden="1" customWidth="1"/>
    <col min="16106" max="16145" width="16" style="52" customWidth="1"/>
    <col min="16146" max="16384" width="9.140625" style="52"/>
  </cols>
  <sheetData>
    <row r="1" spans="1:21" ht="20.25">
      <c r="A1" s="212" t="s">
        <v>146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</row>
    <row r="2" spans="1:21" ht="28.5">
      <c r="A2" s="53"/>
      <c r="B2" s="54"/>
      <c r="C2" s="211" t="s">
        <v>147</v>
      </c>
      <c r="D2" s="211"/>
      <c r="E2" s="192" t="s">
        <v>148</v>
      </c>
      <c r="F2" s="192" t="s">
        <v>147</v>
      </c>
      <c r="G2" s="55" t="str">
        <f>""</f>
        <v/>
      </c>
      <c r="H2" s="56"/>
      <c r="I2" s="56"/>
      <c r="J2" s="56"/>
      <c r="K2" s="56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.75" customHeight="1">
      <c r="A3" s="58" t="s">
        <v>0</v>
      </c>
      <c r="B3" s="59" t="s">
        <v>149</v>
      </c>
      <c r="C3" s="60">
        <f>+D3-1</f>
        <v>2018</v>
      </c>
      <c r="D3" s="61">
        <f>+E3-1</f>
        <v>2019</v>
      </c>
      <c r="E3" s="61">
        <f>+F3</f>
        <v>2020</v>
      </c>
      <c r="F3" s="62">
        <f>+G3-1</f>
        <v>2020</v>
      </c>
      <c r="G3" s="63">
        <f>+[1]DaneZrodlowe!$N$1</f>
        <v>2021</v>
      </c>
      <c r="H3" s="64">
        <f t="shared" ref="H3:U3" si="0">+G3+1</f>
        <v>2022</v>
      </c>
      <c r="I3" s="64">
        <f t="shared" si="0"/>
        <v>2023</v>
      </c>
      <c r="J3" s="64">
        <f t="shared" si="0"/>
        <v>2024</v>
      </c>
      <c r="K3" s="64">
        <f t="shared" si="0"/>
        <v>2025</v>
      </c>
      <c r="L3" s="64">
        <f t="shared" si="0"/>
        <v>2026</v>
      </c>
      <c r="M3" s="64">
        <f t="shared" si="0"/>
        <v>2027</v>
      </c>
      <c r="N3" s="64">
        <f t="shared" si="0"/>
        <v>2028</v>
      </c>
      <c r="O3" s="64">
        <f t="shared" si="0"/>
        <v>2029</v>
      </c>
      <c r="P3" s="64">
        <f t="shared" si="0"/>
        <v>2030</v>
      </c>
      <c r="Q3" s="64">
        <f t="shared" si="0"/>
        <v>2031</v>
      </c>
      <c r="R3" s="64">
        <f t="shared" si="0"/>
        <v>2032</v>
      </c>
      <c r="S3" s="64">
        <f t="shared" si="0"/>
        <v>2033</v>
      </c>
      <c r="T3" s="64">
        <f t="shared" si="0"/>
        <v>2034</v>
      </c>
      <c r="U3" s="64">
        <f t="shared" si="0"/>
        <v>2035</v>
      </c>
    </row>
    <row r="4" spans="1:21" ht="18" customHeight="1">
      <c r="A4" s="65">
        <v>1</v>
      </c>
      <c r="B4" s="66" t="s">
        <v>150</v>
      </c>
      <c r="C4" s="67">
        <f>145269730.18</f>
        <v>145269730.18000001</v>
      </c>
      <c r="D4" s="68">
        <f>153315639.25</f>
        <v>153315639.25</v>
      </c>
      <c r="E4" s="68">
        <f>161345844.85</f>
        <v>161345844.84999999</v>
      </c>
      <c r="F4" s="69">
        <f>167766095.44</f>
        <v>167766095.44</v>
      </c>
      <c r="G4" s="70">
        <f>165186041</f>
        <v>165186041</v>
      </c>
      <c r="H4" s="71">
        <f>160692247</f>
        <v>160692247</v>
      </c>
      <c r="I4" s="71">
        <f>165265025</f>
        <v>165265025</v>
      </c>
      <c r="J4" s="71">
        <f>169979426</f>
        <v>169979426</v>
      </c>
      <c r="K4" s="71">
        <f>174197809</f>
        <v>174197809</v>
      </c>
      <c r="L4" s="71">
        <f>175934215</f>
        <v>175934215</v>
      </c>
      <c r="M4" s="71">
        <f>180858726</f>
        <v>180858726</v>
      </c>
      <c r="N4" s="71">
        <f>185820989</f>
        <v>185820989</v>
      </c>
      <c r="O4" s="71">
        <f>191023976</f>
        <v>191023976</v>
      </c>
      <c r="P4" s="71">
        <f>196372647</f>
        <v>196372647</v>
      </c>
      <c r="Q4" s="71">
        <f>201674709</f>
        <v>201674709</v>
      </c>
      <c r="R4" s="71">
        <f>206918251</f>
        <v>206918251</v>
      </c>
      <c r="S4" s="71">
        <f>212091207</f>
        <v>212091207</v>
      </c>
      <c r="T4" s="71">
        <f>217181396</f>
        <v>217181396</v>
      </c>
      <c r="U4" s="71">
        <f>222176568</f>
        <v>222176568</v>
      </c>
    </row>
    <row r="5" spans="1:21" ht="18" customHeight="1">
      <c r="A5" s="72" t="s">
        <v>151</v>
      </c>
      <c r="B5" s="73" t="s">
        <v>152</v>
      </c>
      <c r="C5" s="74">
        <f>126568566.74</f>
        <v>126568566.73999999</v>
      </c>
      <c r="D5" s="75">
        <f>141340639.13</f>
        <v>141340639.13</v>
      </c>
      <c r="E5" s="75">
        <f>146885569.85</f>
        <v>146885569.84999999</v>
      </c>
      <c r="F5" s="76">
        <f>149805470.35</f>
        <v>149805470.34999999</v>
      </c>
      <c r="G5" s="77">
        <f>153470223</f>
        <v>153470223</v>
      </c>
      <c r="H5" s="78">
        <f>155542247</f>
        <v>155542247</v>
      </c>
      <c r="I5" s="78">
        <f>159980025</f>
        <v>159980025</v>
      </c>
      <c r="J5" s="78">
        <f>164779426</f>
        <v>164779426</v>
      </c>
      <c r="K5" s="78">
        <f>169722809</f>
        <v>169722809</v>
      </c>
      <c r="L5" s="78">
        <f>174984215</f>
        <v>174984215</v>
      </c>
      <c r="M5" s="78">
        <f>180408726</f>
        <v>180408726</v>
      </c>
      <c r="N5" s="78">
        <f>185820989</f>
        <v>185820989</v>
      </c>
      <c r="O5" s="78">
        <f>191023976</f>
        <v>191023976</v>
      </c>
      <c r="P5" s="78">
        <f>196372647</f>
        <v>196372647</v>
      </c>
      <c r="Q5" s="78">
        <f>201674709</f>
        <v>201674709</v>
      </c>
      <c r="R5" s="78">
        <f>206918251</f>
        <v>206918251</v>
      </c>
      <c r="S5" s="78">
        <f>212091207</f>
        <v>212091207</v>
      </c>
      <c r="T5" s="78">
        <f>217181396</f>
        <v>217181396</v>
      </c>
      <c r="U5" s="78">
        <f>222176568</f>
        <v>222176568</v>
      </c>
    </row>
    <row r="6" spans="1:21" ht="33" customHeight="1">
      <c r="A6" s="72" t="s">
        <v>153</v>
      </c>
      <c r="B6" s="79" t="s">
        <v>154</v>
      </c>
      <c r="C6" s="74">
        <f>50171188</f>
        <v>50171188</v>
      </c>
      <c r="D6" s="75">
        <f>54400021</f>
        <v>54400021</v>
      </c>
      <c r="E6" s="75">
        <f>52992669</f>
        <v>52992669</v>
      </c>
      <c r="F6" s="76">
        <f>53407050</f>
        <v>53407050</v>
      </c>
      <c r="G6" s="77">
        <f>57985888</f>
        <v>57985888</v>
      </c>
      <c r="H6" s="78">
        <f>59957408</f>
        <v>59957408</v>
      </c>
      <c r="I6" s="78">
        <f>61756130</f>
        <v>61756130</v>
      </c>
      <c r="J6" s="78">
        <f>63608814</f>
        <v>63608814</v>
      </c>
      <c r="K6" s="78">
        <f>65517078</f>
        <v>65517078</v>
      </c>
      <c r="L6" s="78">
        <f>67548107</f>
        <v>67548107</v>
      </c>
      <c r="M6" s="78">
        <f>69642098</f>
        <v>69642098</v>
      </c>
      <c r="N6" s="78">
        <f>71731361</f>
        <v>71731361</v>
      </c>
      <c r="O6" s="78">
        <f>73739839</f>
        <v>73739839</v>
      </c>
      <c r="P6" s="78">
        <f>75804554</f>
        <v>75804554</v>
      </c>
      <c r="Q6" s="78">
        <f>77851277</f>
        <v>77851277</v>
      </c>
      <c r="R6" s="78">
        <f>79875410</f>
        <v>79875410</v>
      </c>
      <c r="S6" s="78">
        <f>81872295</f>
        <v>81872295</v>
      </c>
      <c r="T6" s="78">
        <f>83837230</f>
        <v>83837230</v>
      </c>
      <c r="U6" s="78">
        <f>85765486</f>
        <v>85765486</v>
      </c>
    </row>
    <row r="7" spans="1:21" ht="34.5" customHeight="1">
      <c r="A7" s="72" t="s">
        <v>155</v>
      </c>
      <c r="B7" s="79" t="s">
        <v>156</v>
      </c>
      <c r="C7" s="74">
        <f>888145.77</f>
        <v>888145.77</v>
      </c>
      <c r="D7" s="75">
        <f>883588.42</f>
        <v>883588.42</v>
      </c>
      <c r="E7" s="75">
        <f>1000000</f>
        <v>1000000</v>
      </c>
      <c r="F7" s="76">
        <f>1154147.6</f>
        <v>1154147.6000000001</v>
      </c>
      <c r="G7" s="77">
        <f>1150000</f>
        <v>1150000</v>
      </c>
      <c r="H7" s="78">
        <f>1212100</f>
        <v>1212100</v>
      </c>
      <c r="I7" s="78">
        <f>1248463</f>
        <v>1248463</v>
      </c>
      <c r="J7" s="78">
        <f>1285917</f>
        <v>1285917</v>
      </c>
      <c r="K7" s="78">
        <f>1324495</f>
        <v>1324495</v>
      </c>
      <c r="L7" s="78">
        <f>1365554</f>
        <v>1365554</v>
      </c>
      <c r="M7" s="78">
        <f>1407886</f>
        <v>1407886</v>
      </c>
      <c r="N7" s="78">
        <f>1450123</f>
        <v>1450123</v>
      </c>
      <c r="O7" s="78">
        <f>1490726</f>
        <v>1490726</v>
      </c>
      <c r="P7" s="78">
        <f>1532466</f>
        <v>1532466</v>
      </c>
      <c r="Q7" s="78">
        <f>1573843</f>
        <v>1573843</v>
      </c>
      <c r="R7" s="78">
        <f>1614763</f>
        <v>1614763</v>
      </c>
      <c r="S7" s="78">
        <f>1655132</f>
        <v>1655132</v>
      </c>
      <c r="T7" s="78">
        <f>1694855</f>
        <v>1694855</v>
      </c>
      <c r="U7" s="78">
        <f>1733837</f>
        <v>1733837</v>
      </c>
    </row>
    <row r="8" spans="1:21" ht="19.5" customHeight="1">
      <c r="A8" s="72" t="s">
        <v>157</v>
      </c>
      <c r="B8" s="79" t="s">
        <v>158</v>
      </c>
      <c r="C8" s="74">
        <f>46201081</f>
        <v>46201081</v>
      </c>
      <c r="D8" s="75">
        <f>53406551</f>
        <v>53406551</v>
      </c>
      <c r="E8" s="75">
        <f>60362862</f>
        <v>60362862</v>
      </c>
      <c r="F8" s="76">
        <f>60651074</f>
        <v>60651074</v>
      </c>
      <c r="G8" s="77">
        <f>61779364</f>
        <v>61779364</v>
      </c>
      <c r="H8" s="78">
        <f>60849592</f>
        <v>60849592</v>
      </c>
      <c r="I8" s="78">
        <f>62675080</f>
        <v>62675080</v>
      </c>
      <c r="J8" s="78">
        <f>64555332</f>
        <v>64555332</v>
      </c>
      <c r="K8" s="78">
        <f>66491992</f>
        <v>66491992</v>
      </c>
      <c r="L8" s="78">
        <f>68553244</f>
        <v>68553244</v>
      </c>
      <c r="M8" s="78">
        <f>70678395</f>
        <v>70678395</v>
      </c>
      <c r="N8" s="78">
        <f>72798747</f>
        <v>72798747</v>
      </c>
      <c r="O8" s="78">
        <f>74837112</f>
        <v>74837112</v>
      </c>
      <c r="P8" s="78">
        <f>76932551</f>
        <v>76932551</v>
      </c>
      <c r="Q8" s="78">
        <f>79009730</f>
        <v>79009730</v>
      </c>
      <c r="R8" s="78">
        <f>81063983</f>
        <v>81063983</v>
      </c>
      <c r="S8" s="78">
        <f>83090583</f>
        <v>83090583</v>
      </c>
      <c r="T8" s="78">
        <f>85084757</f>
        <v>85084757</v>
      </c>
      <c r="U8" s="78">
        <f>87041706</f>
        <v>87041706</v>
      </c>
    </row>
    <row r="9" spans="1:21" ht="32.25" customHeight="1">
      <c r="A9" s="72" t="s">
        <v>159</v>
      </c>
      <c r="B9" s="79" t="s">
        <v>160</v>
      </c>
      <c r="C9" s="74">
        <f>17583692.65</f>
        <v>17583692.649999999</v>
      </c>
      <c r="D9" s="75">
        <f>20211589.81</f>
        <v>20211589.809999999</v>
      </c>
      <c r="E9" s="75">
        <f>20308196.85</f>
        <v>20308196.850000001</v>
      </c>
      <c r="F9" s="76">
        <f>21136871.3</f>
        <v>21136871.300000001</v>
      </c>
      <c r="G9" s="77">
        <f>19938724</f>
        <v>19938724</v>
      </c>
      <c r="H9" s="78">
        <f>20247715</f>
        <v>20247715</v>
      </c>
      <c r="I9" s="78">
        <f>20626657</f>
        <v>20626657</v>
      </c>
      <c r="J9" s="78">
        <f>21245457</f>
        <v>21245457</v>
      </c>
      <c r="K9" s="78">
        <f>21882821</f>
        <v>21882821</v>
      </c>
      <c r="L9" s="78">
        <f>22561188</f>
        <v>22561188</v>
      </c>
      <c r="M9" s="78">
        <f>23260585</f>
        <v>23260585</v>
      </c>
      <c r="N9" s="78">
        <f>23958403</f>
        <v>23958403</v>
      </c>
      <c r="O9" s="78">
        <f>24629238</f>
        <v>24629238</v>
      </c>
      <c r="P9" s="78">
        <f>25318857</f>
        <v>25318857</v>
      </c>
      <c r="Q9" s="78">
        <f>26002466</f>
        <v>26002466</v>
      </c>
      <c r="R9" s="78">
        <f>26678530</f>
        <v>26678530</v>
      </c>
      <c r="S9" s="78">
        <f>27345493</f>
        <v>27345493</v>
      </c>
      <c r="T9" s="78">
        <f>28001785</f>
        <v>28001785</v>
      </c>
      <c r="U9" s="78">
        <f>28645826</f>
        <v>28645826</v>
      </c>
    </row>
    <row r="10" spans="1:21" ht="18" customHeight="1">
      <c r="A10" s="72" t="s">
        <v>161</v>
      </c>
      <c r="B10" s="79" t="s">
        <v>162</v>
      </c>
      <c r="C10" s="74">
        <f>11724459.32</f>
        <v>11724459.32</v>
      </c>
      <c r="D10" s="75">
        <f>12438888.9</f>
        <v>12438888.9</v>
      </c>
      <c r="E10" s="75">
        <f>12221842</f>
        <v>12221842</v>
      </c>
      <c r="F10" s="76">
        <f>13456327.45</f>
        <v>13456327.449999999</v>
      </c>
      <c r="G10" s="77">
        <f>12616247</f>
        <v>12616247</v>
      </c>
      <c r="H10" s="78">
        <f>13275432</f>
        <v>13275432</v>
      </c>
      <c r="I10" s="78">
        <f>13673695</f>
        <v>13673695</v>
      </c>
      <c r="J10" s="78">
        <f>14083906</f>
        <v>14083906</v>
      </c>
      <c r="K10" s="78">
        <f>14506423</f>
        <v>14506423</v>
      </c>
      <c r="L10" s="78">
        <f>14956122</f>
        <v>14956122</v>
      </c>
      <c r="M10" s="78">
        <f>15419762</f>
        <v>15419762</v>
      </c>
      <c r="N10" s="78">
        <f>15882355</f>
        <v>15882355</v>
      </c>
      <c r="O10" s="78">
        <f>16327061</f>
        <v>16327061</v>
      </c>
      <c r="P10" s="78">
        <f>16784219</f>
        <v>16784219</v>
      </c>
      <c r="Q10" s="78">
        <f>17237393</f>
        <v>17237393</v>
      </c>
      <c r="R10" s="78">
        <f>17685565</f>
        <v>17685565</v>
      </c>
      <c r="S10" s="78">
        <f>18127704</f>
        <v>18127704</v>
      </c>
      <c r="T10" s="78">
        <f>18562769</f>
        <v>18562769</v>
      </c>
      <c r="U10" s="78">
        <f>18989713</f>
        <v>18989713</v>
      </c>
    </row>
    <row r="11" spans="1:21" ht="18" customHeight="1">
      <c r="A11" s="72" t="s">
        <v>163</v>
      </c>
      <c r="B11" s="80" t="s">
        <v>164</v>
      </c>
      <c r="C11" s="74">
        <f>0</f>
        <v>0</v>
      </c>
      <c r="D11" s="75">
        <f>0</f>
        <v>0</v>
      </c>
      <c r="E11" s="75">
        <f>0</f>
        <v>0</v>
      </c>
      <c r="F11" s="76">
        <f>0</f>
        <v>0</v>
      </c>
      <c r="G11" s="77">
        <f>0</f>
        <v>0</v>
      </c>
      <c r="H11" s="78">
        <f>0</f>
        <v>0</v>
      </c>
      <c r="I11" s="78">
        <f>0</f>
        <v>0</v>
      </c>
      <c r="J11" s="78">
        <f>0</f>
        <v>0</v>
      </c>
      <c r="K11" s="78">
        <f>0</f>
        <v>0</v>
      </c>
      <c r="L11" s="78">
        <f>0</f>
        <v>0</v>
      </c>
      <c r="M11" s="78">
        <f>0</f>
        <v>0</v>
      </c>
      <c r="N11" s="78">
        <f>0</f>
        <v>0</v>
      </c>
      <c r="O11" s="78">
        <f>0</f>
        <v>0</v>
      </c>
      <c r="P11" s="78">
        <f>0</f>
        <v>0</v>
      </c>
      <c r="Q11" s="78">
        <f>0</f>
        <v>0</v>
      </c>
      <c r="R11" s="78">
        <f>0</f>
        <v>0</v>
      </c>
      <c r="S11" s="78">
        <f>0</f>
        <v>0</v>
      </c>
      <c r="T11" s="78">
        <f>0</f>
        <v>0</v>
      </c>
      <c r="U11" s="78">
        <f>0</f>
        <v>0</v>
      </c>
    </row>
    <row r="12" spans="1:21" ht="18" customHeight="1">
      <c r="A12" s="72" t="s">
        <v>165</v>
      </c>
      <c r="B12" s="73" t="s">
        <v>166</v>
      </c>
      <c r="C12" s="74">
        <f>18701163.44</f>
        <v>18701163.440000001</v>
      </c>
      <c r="D12" s="75">
        <f>11975000.12</f>
        <v>11975000.119999999</v>
      </c>
      <c r="E12" s="75">
        <f>14460275</f>
        <v>14460275</v>
      </c>
      <c r="F12" s="76">
        <f>17960625.09</f>
        <v>17960625.09</v>
      </c>
      <c r="G12" s="77">
        <f>11715818</f>
        <v>11715818</v>
      </c>
      <c r="H12" s="78">
        <f>5150000</f>
        <v>5150000</v>
      </c>
      <c r="I12" s="78">
        <f>5285000</f>
        <v>5285000</v>
      </c>
      <c r="J12" s="78">
        <f>5200000</f>
        <v>5200000</v>
      </c>
      <c r="K12" s="78">
        <f>4475000</f>
        <v>4475000</v>
      </c>
      <c r="L12" s="78">
        <f>950000</f>
        <v>950000</v>
      </c>
      <c r="M12" s="78">
        <f>450000</f>
        <v>450000</v>
      </c>
      <c r="N12" s="78">
        <f>0</f>
        <v>0</v>
      </c>
      <c r="O12" s="78">
        <f>0</f>
        <v>0</v>
      </c>
      <c r="P12" s="78">
        <f>0</f>
        <v>0</v>
      </c>
      <c r="Q12" s="78">
        <f>0</f>
        <v>0</v>
      </c>
      <c r="R12" s="78">
        <f>0</f>
        <v>0</v>
      </c>
      <c r="S12" s="78">
        <f>0</f>
        <v>0</v>
      </c>
      <c r="T12" s="78">
        <f>0</f>
        <v>0</v>
      </c>
      <c r="U12" s="78">
        <f>0</f>
        <v>0</v>
      </c>
    </row>
    <row r="13" spans="1:21" ht="18" customHeight="1">
      <c r="A13" s="72" t="s">
        <v>167</v>
      </c>
      <c r="B13" s="79" t="s">
        <v>168</v>
      </c>
      <c r="C13" s="74">
        <f>926571.82</f>
        <v>926571.82</v>
      </c>
      <c r="D13" s="75">
        <f>3518035.41</f>
        <v>3518035.41</v>
      </c>
      <c r="E13" s="75">
        <f>5054921</f>
        <v>5054921</v>
      </c>
      <c r="F13" s="76">
        <f>1624711</f>
        <v>1624711</v>
      </c>
      <c r="G13" s="77">
        <f>5008000</f>
        <v>5008000</v>
      </c>
      <c r="H13" s="78">
        <f>3000000</f>
        <v>3000000</v>
      </c>
      <c r="I13" s="78">
        <f>2000000</f>
        <v>2000000</v>
      </c>
      <c r="J13" s="78">
        <f>1000000</f>
        <v>1000000</v>
      </c>
      <c r="K13" s="78">
        <f>500000</f>
        <v>500000</v>
      </c>
      <c r="L13" s="78">
        <f>500000</f>
        <v>500000</v>
      </c>
      <c r="M13" s="78">
        <f>0</f>
        <v>0</v>
      </c>
      <c r="N13" s="78">
        <f>0</f>
        <v>0</v>
      </c>
      <c r="O13" s="78">
        <f>0</f>
        <v>0</v>
      </c>
      <c r="P13" s="78">
        <f>0</f>
        <v>0</v>
      </c>
      <c r="Q13" s="78">
        <f>0</f>
        <v>0</v>
      </c>
      <c r="R13" s="78">
        <f>0</f>
        <v>0</v>
      </c>
      <c r="S13" s="78">
        <f>0</f>
        <v>0</v>
      </c>
      <c r="T13" s="78">
        <f>0</f>
        <v>0</v>
      </c>
      <c r="U13" s="78">
        <f>0</f>
        <v>0</v>
      </c>
    </row>
    <row r="14" spans="1:21" ht="32.25" customHeight="1">
      <c r="A14" s="72" t="s">
        <v>169</v>
      </c>
      <c r="B14" s="79" t="s">
        <v>170</v>
      </c>
      <c r="C14" s="74">
        <f>17768942.48</f>
        <v>17768942.48</v>
      </c>
      <c r="D14" s="75">
        <f>8431128.27</f>
        <v>8431128.2699999996</v>
      </c>
      <c r="E14" s="75">
        <f>9334704</f>
        <v>9334704</v>
      </c>
      <c r="F14" s="76">
        <f>16236160.09</f>
        <v>16236160.09</v>
      </c>
      <c r="G14" s="77">
        <f>6692818</f>
        <v>6692818</v>
      </c>
      <c r="H14" s="78">
        <f>2150000</f>
        <v>2150000</v>
      </c>
      <c r="I14" s="78">
        <f>3285000</f>
        <v>3285000</v>
      </c>
      <c r="J14" s="78">
        <f>4200000</f>
        <v>4200000</v>
      </c>
      <c r="K14" s="78">
        <f>3975000</f>
        <v>3975000</v>
      </c>
      <c r="L14" s="78">
        <f>450000</f>
        <v>450000</v>
      </c>
      <c r="M14" s="78">
        <f>450000</f>
        <v>450000</v>
      </c>
      <c r="N14" s="78">
        <f>0</f>
        <v>0</v>
      </c>
      <c r="O14" s="78">
        <f>0</f>
        <v>0</v>
      </c>
      <c r="P14" s="78">
        <f>0</f>
        <v>0</v>
      </c>
      <c r="Q14" s="78">
        <f>0</f>
        <v>0</v>
      </c>
      <c r="R14" s="78">
        <f>0</f>
        <v>0</v>
      </c>
      <c r="S14" s="78">
        <f>0</f>
        <v>0</v>
      </c>
      <c r="T14" s="78">
        <f>0</f>
        <v>0</v>
      </c>
      <c r="U14" s="78">
        <f>0</f>
        <v>0</v>
      </c>
    </row>
    <row r="15" spans="1:21" ht="18" customHeight="1">
      <c r="A15" s="81">
        <v>2</v>
      </c>
      <c r="B15" s="82" t="s">
        <v>171</v>
      </c>
      <c r="C15" s="83">
        <f>151231402.82</f>
        <v>151231402.81999999</v>
      </c>
      <c r="D15" s="84">
        <f>147895424.67</f>
        <v>147895424.66999999</v>
      </c>
      <c r="E15" s="84">
        <f>172245416.85</f>
        <v>172245416.84999999</v>
      </c>
      <c r="F15" s="85">
        <f>164103354.16</f>
        <v>164103354.16</v>
      </c>
      <c r="G15" s="86">
        <f>184193387</f>
        <v>184193387</v>
      </c>
      <c r="H15" s="87">
        <f>159250247</f>
        <v>159250247</v>
      </c>
      <c r="I15" s="87">
        <f>163683025</f>
        <v>163683025</v>
      </c>
      <c r="J15" s="87">
        <f>165507426</f>
        <v>165507426</v>
      </c>
      <c r="K15" s="87">
        <f>168525809</f>
        <v>168525809</v>
      </c>
      <c r="L15" s="87">
        <f>170394215</f>
        <v>170394215</v>
      </c>
      <c r="M15" s="87">
        <f>174158726</f>
        <v>174158726</v>
      </c>
      <c r="N15" s="87">
        <f>179120989</f>
        <v>179120989</v>
      </c>
      <c r="O15" s="87">
        <f>185023976</f>
        <v>185023976</v>
      </c>
      <c r="P15" s="87">
        <f>190792647</f>
        <v>190792647</v>
      </c>
      <c r="Q15" s="87">
        <f>195074709</f>
        <v>195074709</v>
      </c>
      <c r="R15" s="87">
        <f>202878251</f>
        <v>202878251</v>
      </c>
      <c r="S15" s="87">
        <f>208051207</f>
        <v>208051207</v>
      </c>
      <c r="T15" s="87">
        <f>214681396</f>
        <v>214681396</v>
      </c>
      <c r="U15" s="87">
        <f>219676568</f>
        <v>219676568</v>
      </c>
    </row>
    <row r="16" spans="1:21" ht="18" customHeight="1">
      <c r="A16" s="72" t="s">
        <v>172</v>
      </c>
      <c r="B16" s="73" t="s">
        <v>173</v>
      </c>
      <c r="C16" s="74">
        <f>114334644.46</f>
        <v>114334644.45999999</v>
      </c>
      <c r="D16" s="75">
        <f>127582243.88</f>
        <v>127582243.88</v>
      </c>
      <c r="E16" s="75">
        <f>142926859.85</f>
        <v>142926859.84999999</v>
      </c>
      <c r="F16" s="76">
        <f>133913968.16</f>
        <v>133913968.16</v>
      </c>
      <c r="G16" s="77">
        <f>154158355</f>
        <v>154158355</v>
      </c>
      <c r="H16" s="78">
        <f>148382973</f>
        <v>148382973</v>
      </c>
      <c r="I16" s="78">
        <f>149658601</f>
        <v>149658601</v>
      </c>
      <c r="J16" s="78">
        <f>150723225</f>
        <v>150723225</v>
      </c>
      <c r="K16" s="78">
        <f>155033850</f>
        <v>155033850</v>
      </c>
      <c r="L16" s="78">
        <f>159015628</f>
        <v>159015628</v>
      </c>
      <c r="M16" s="78">
        <f>162832540</f>
        <v>162832540</v>
      </c>
      <c r="N16" s="78">
        <f>166739924</f>
        <v>166739924</v>
      </c>
      <c r="O16" s="78">
        <f>171739704</f>
        <v>171739704</v>
      </c>
      <c r="P16" s="78">
        <f>175840155</f>
        <v>175840155</v>
      </c>
      <c r="Q16" s="78">
        <f>180045397</f>
        <v>180045397</v>
      </c>
      <c r="R16" s="78">
        <f>182379902</f>
        <v>182379902</v>
      </c>
      <c r="S16" s="78">
        <f>186853069</f>
        <v>186853069</v>
      </c>
      <c r="T16" s="78">
        <f>191455486</f>
        <v>191455486</v>
      </c>
      <c r="U16" s="78">
        <f>196189999</f>
        <v>196189999</v>
      </c>
    </row>
    <row r="17" spans="1:21" ht="18" customHeight="1">
      <c r="A17" s="72" t="s">
        <v>174</v>
      </c>
      <c r="B17" s="79" t="s">
        <v>175</v>
      </c>
      <c r="C17" s="74">
        <f>71472876.32</f>
        <v>71472876.319999993</v>
      </c>
      <c r="D17" s="75">
        <f>77428656.2</f>
        <v>77428656.200000003</v>
      </c>
      <c r="E17" s="75">
        <f>85338422</f>
        <v>85338422</v>
      </c>
      <c r="F17" s="76">
        <f>84625228.63</f>
        <v>84625228.629999995</v>
      </c>
      <c r="G17" s="77">
        <f>92165107</f>
        <v>92165107</v>
      </c>
      <c r="H17" s="78">
        <f>91797554</f>
        <v>91797554</v>
      </c>
      <c r="I17" s="78">
        <f>91797554</f>
        <v>91797554</v>
      </c>
      <c r="J17" s="78">
        <f>94092493</f>
        <v>94092493</v>
      </c>
      <c r="K17" s="78">
        <f>96444805</f>
        <v>96444805</v>
      </c>
      <c r="L17" s="78">
        <f>98855925</f>
        <v>98855925</v>
      </c>
      <c r="M17" s="78">
        <f>101327323</f>
        <v>101327323</v>
      </c>
      <c r="N17" s="78">
        <f>103860506</f>
        <v>103860506</v>
      </c>
      <c r="O17" s="78">
        <f>106457019</f>
        <v>106457019</v>
      </c>
      <c r="P17" s="78">
        <f>109118444</f>
        <v>109118444</v>
      </c>
      <c r="Q17" s="78">
        <f>111846405</f>
        <v>111846405</v>
      </c>
      <c r="R17" s="78">
        <f>114642565</f>
        <v>114642565</v>
      </c>
      <c r="S17" s="78">
        <f>117508629</f>
        <v>117508629</v>
      </c>
      <c r="T17" s="78">
        <f>120446345</f>
        <v>120446345</v>
      </c>
      <c r="U17" s="78">
        <f>123457504</f>
        <v>123457504</v>
      </c>
    </row>
    <row r="18" spans="1:21" ht="18" customHeight="1">
      <c r="A18" s="72" t="s">
        <v>176</v>
      </c>
      <c r="B18" s="79" t="s">
        <v>177</v>
      </c>
      <c r="C18" s="74">
        <f>428958</f>
        <v>428958</v>
      </c>
      <c r="D18" s="75">
        <f>2822280</f>
        <v>2822280</v>
      </c>
      <c r="E18" s="75">
        <f>2850000</f>
        <v>2850000</v>
      </c>
      <c r="F18" s="76">
        <f>162216</f>
        <v>162216</v>
      </c>
      <c r="G18" s="77">
        <f>2900000</f>
        <v>2900000</v>
      </c>
      <c r="H18" s="78">
        <f>2929250</f>
        <v>2929250</v>
      </c>
      <c r="I18" s="78">
        <f>2927000</f>
        <v>2927000</v>
      </c>
      <c r="J18" s="78">
        <f>345000</f>
        <v>345000</v>
      </c>
      <c r="K18" s="78">
        <f>984375</f>
        <v>984375</v>
      </c>
      <c r="L18" s="78">
        <f>1212500</f>
        <v>1212500</v>
      </c>
      <c r="M18" s="78">
        <f>1187500</f>
        <v>1187500</v>
      </c>
      <c r="N18" s="78">
        <f>1162500</f>
        <v>1162500</v>
      </c>
      <c r="O18" s="78">
        <f>2125000</f>
        <v>2125000</v>
      </c>
      <c r="P18" s="78">
        <f>2075000</f>
        <v>2075000</v>
      </c>
      <c r="Q18" s="78">
        <f>2025000</f>
        <v>2025000</v>
      </c>
      <c r="R18" s="78">
        <f>0</f>
        <v>0</v>
      </c>
      <c r="S18" s="78">
        <f>0</f>
        <v>0</v>
      </c>
      <c r="T18" s="78">
        <f>0</f>
        <v>0</v>
      </c>
      <c r="U18" s="78">
        <f>0</f>
        <v>0</v>
      </c>
    </row>
    <row r="19" spans="1:21" ht="43.5" customHeight="1">
      <c r="A19" s="72" t="s">
        <v>178</v>
      </c>
      <c r="B19" s="80" t="s">
        <v>179</v>
      </c>
      <c r="C19" s="74">
        <f>0</f>
        <v>0</v>
      </c>
      <c r="D19" s="75">
        <f>0</f>
        <v>0</v>
      </c>
      <c r="E19" s="75">
        <f>0</f>
        <v>0</v>
      </c>
      <c r="F19" s="76">
        <f>0</f>
        <v>0</v>
      </c>
      <c r="G19" s="77">
        <f>0</f>
        <v>0</v>
      </c>
      <c r="H19" s="78">
        <f>0</f>
        <v>0</v>
      </c>
      <c r="I19" s="78">
        <f>0</f>
        <v>0</v>
      </c>
      <c r="J19" s="78">
        <f>0</f>
        <v>0</v>
      </c>
      <c r="K19" s="78">
        <f>0</f>
        <v>0</v>
      </c>
      <c r="L19" s="78">
        <f>0</f>
        <v>0</v>
      </c>
      <c r="M19" s="78">
        <f>0</f>
        <v>0</v>
      </c>
      <c r="N19" s="78">
        <f>0</f>
        <v>0</v>
      </c>
      <c r="O19" s="78">
        <f>0</f>
        <v>0</v>
      </c>
      <c r="P19" s="78">
        <f>0</f>
        <v>0</v>
      </c>
      <c r="Q19" s="78">
        <f>0</f>
        <v>0</v>
      </c>
      <c r="R19" s="78">
        <f>0</f>
        <v>0</v>
      </c>
      <c r="S19" s="78">
        <f>0</f>
        <v>0</v>
      </c>
      <c r="T19" s="78">
        <f>0</f>
        <v>0</v>
      </c>
      <c r="U19" s="78">
        <f>0</f>
        <v>0</v>
      </c>
    </row>
    <row r="20" spans="1:21" ht="18.75" customHeight="1">
      <c r="A20" s="72" t="s">
        <v>180</v>
      </c>
      <c r="B20" s="79" t="s">
        <v>181</v>
      </c>
      <c r="C20" s="74">
        <f>1120444.53</f>
        <v>1120444.53</v>
      </c>
      <c r="D20" s="75">
        <f>1178256.98</f>
        <v>1178256.98</v>
      </c>
      <c r="E20" s="75">
        <f>1300000</f>
        <v>1300000</v>
      </c>
      <c r="F20" s="76">
        <f>819018.48</f>
        <v>819018.48</v>
      </c>
      <c r="G20" s="77">
        <f>1249341</f>
        <v>1249341</v>
      </c>
      <c r="H20" s="78">
        <f>861163</f>
        <v>861163</v>
      </c>
      <c r="I20" s="78">
        <f>871961</f>
        <v>871961</v>
      </c>
      <c r="J20" s="78">
        <f>872094</f>
        <v>872094</v>
      </c>
      <c r="K20" s="78">
        <f>805691</f>
        <v>805691</v>
      </c>
      <c r="L20" s="78">
        <f>728250</f>
        <v>728250</v>
      </c>
      <c r="M20" s="78">
        <f>643290</f>
        <v>643290</v>
      </c>
      <c r="N20" s="78">
        <f>550630</f>
        <v>550630</v>
      </c>
      <c r="O20" s="78">
        <f>462240</f>
        <v>462240</v>
      </c>
      <c r="P20" s="78">
        <f>383880</f>
        <v>383880</v>
      </c>
      <c r="Q20" s="78">
        <f>304590</f>
        <v>304590</v>
      </c>
      <c r="R20" s="78">
        <f>221200</f>
        <v>221200</v>
      </c>
      <c r="S20" s="78">
        <f>140400</f>
        <v>140400</v>
      </c>
      <c r="T20" s="78">
        <f>75000</f>
        <v>75000</v>
      </c>
      <c r="U20" s="78">
        <f>25000</f>
        <v>25000</v>
      </c>
    </row>
    <row r="21" spans="1:21" ht="93" customHeight="1">
      <c r="A21" s="72" t="s">
        <v>182</v>
      </c>
      <c r="B21" s="80" t="s">
        <v>183</v>
      </c>
      <c r="C21" s="74">
        <f>0</f>
        <v>0</v>
      </c>
      <c r="D21" s="75">
        <f>0</f>
        <v>0</v>
      </c>
      <c r="E21" s="75">
        <f>0</f>
        <v>0</v>
      </c>
      <c r="F21" s="76">
        <f>0</f>
        <v>0</v>
      </c>
      <c r="G21" s="77">
        <f>0</f>
        <v>0</v>
      </c>
      <c r="H21" s="78">
        <f>0</f>
        <v>0</v>
      </c>
      <c r="I21" s="78">
        <f>0</f>
        <v>0</v>
      </c>
      <c r="J21" s="78">
        <f>0</f>
        <v>0</v>
      </c>
      <c r="K21" s="78">
        <f>0</f>
        <v>0</v>
      </c>
      <c r="L21" s="78">
        <f>0</f>
        <v>0</v>
      </c>
      <c r="M21" s="78">
        <f>0</f>
        <v>0</v>
      </c>
      <c r="N21" s="78">
        <f>0</f>
        <v>0</v>
      </c>
      <c r="O21" s="78">
        <f>0</f>
        <v>0</v>
      </c>
      <c r="P21" s="78">
        <f>0</f>
        <v>0</v>
      </c>
      <c r="Q21" s="78">
        <f>0</f>
        <v>0</v>
      </c>
      <c r="R21" s="78">
        <f>0</f>
        <v>0</v>
      </c>
      <c r="S21" s="78">
        <f>0</f>
        <v>0</v>
      </c>
      <c r="T21" s="78">
        <f>0</f>
        <v>0</v>
      </c>
      <c r="U21" s="78">
        <f>0</f>
        <v>0</v>
      </c>
    </row>
    <row r="22" spans="1:21" ht="63" customHeight="1">
      <c r="A22" s="72" t="s">
        <v>184</v>
      </c>
      <c r="B22" s="80" t="s">
        <v>185</v>
      </c>
      <c r="C22" s="74">
        <f>0</f>
        <v>0</v>
      </c>
      <c r="D22" s="75">
        <f>0</f>
        <v>0</v>
      </c>
      <c r="E22" s="75">
        <f>0</f>
        <v>0</v>
      </c>
      <c r="F22" s="76">
        <f>0</f>
        <v>0</v>
      </c>
      <c r="G22" s="77">
        <f>0</f>
        <v>0</v>
      </c>
      <c r="H22" s="78">
        <f>0</f>
        <v>0</v>
      </c>
      <c r="I22" s="78">
        <f>0</f>
        <v>0</v>
      </c>
      <c r="J22" s="78">
        <f>0</f>
        <v>0</v>
      </c>
      <c r="K22" s="78">
        <f>0</f>
        <v>0</v>
      </c>
      <c r="L22" s="78">
        <f>0</f>
        <v>0</v>
      </c>
      <c r="M22" s="78">
        <f>0</f>
        <v>0</v>
      </c>
      <c r="N22" s="78">
        <f>0</f>
        <v>0</v>
      </c>
      <c r="O22" s="78">
        <f>0</f>
        <v>0</v>
      </c>
      <c r="P22" s="78">
        <f>0</f>
        <v>0</v>
      </c>
      <c r="Q22" s="78">
        <f>0</f>
        <v>0</v>
      </c>
      <c r="R22" s="78">
        <f>0</f>
        <v>0</v>
      </c>
      <c r="S22" s="78">
        <f>0</f>
        <v>0</v>
      </c>
      <c r="T22" s="78">
        <f>0</f>
        <v>0</v>
      </c>
      <c r="U22" s="78">
        <f>0</f>
        <v>0</v>
      </c>
    </row>
    <row r="23" spans="1:21" ht="46.5" customHeight="1">
      <c r="A23" s="72" t="s">
        <v>186</v>
      </c>
      <c r="B23" s="80" t="s">
        <v>187</v>
      </c>
      <c r="C23" s="74">
        <f>0</f>
        <v>0</v>
      </c>
      <c r="D23" s="75">
        <f>0</f>
        <v>0</v>
      </c>
      <c r="E23" s="75">
        <f>0</f>
        <v>0</v>
      </c>
      <c r="F23" s="76">
        <f>0</f>
        <v>0</v>
      </c>
      <c r="G23" s="77">
        <f>16332</f>
        <v>16332</v>
      </c>
      <c r="H23" s="78">
        <f>16332</f>
        <v>16332</v>
      </c>
      <c r="I23" s="78">
        <f>16332</f>
        <v>16332</v>
      </c>
      <c r="J23" s="78">
        <f>16332</f>
        <v>16332</v>
      </c>
      <c r="K23" s="78">
        <f>16332</f>
        <v>16332</v>
      </c>
      <c r="L23" s="78">
        <f>16332</f>
        <v>16332</v>
      </c>
      <c r="M23" s="78">
        <f>8915</f>
        <v>8915</v>
      </c>
      <c r="N23" s="78">
        <f>7486</f>
        <v>7486</v>
      </c>
      <c r="O23" s="78">
        <f>0</f>
        <v>0</v>
      </c>
      <c r="P23" s="78">
        <f>0</f>
        <v>0</v>
      </c>
      <c r="Q23" s="78">
        <f>0</f>
        <v>0</v>
      </c>
      <c r="R23" s="78">
        <f>0</f>
        <v>0</v>
      </c>
      <c r="S23" s="78">
        <f>0</f>
        <v>0</v>
      </c>
      <c r="T23" s="78">
        <f>0</f>
        <v>0</v>
      </c>
      <c r="U23" s="78">
        <f>0</f>
        <v>0</v>
      </c>
    </row>
    <row r="24" spans="1:21" ht="19.5" customHeight="1">
      <c r="A24" s="72" t="s">
        <v>188</v>
      </c>
      <c r="B24" s="73" t="s">
        <v>189</v>
      </c>
      <c r="C24" s="74">
        <f>36896758.36</f>
        <v>36896758.359999999</v>
      </c>
      <c r="D24" s="75">
        <f>20313180.79</f>
        <v>20313180.789999999</v>
      </c>
      <c r="E24" s="75">
        <f>29318557</f>
        <v>29318557</v>
      </c>
      <c r="F24" s="76">
        <f>30189386</f>
        <v>30189386</v>
      </c>
      <c r="G24" s="77">
        <f>30035032</f>
        <v>30035032</v>
      </c>
      <c r="H24" s="78">
        <f>10867274</f>
        <v>10867274</v>
      </c>
      <c r="I24" s="78">
        <f>14024424</f>
        <v>14024424</v>
      </c>
      <c r="J24" s="78">
        <f>14784201</f>
        <v>14784201</v>
      </c>
      <c r="K24" s="78">
        <f>13491959</f>
        <v>13491959</v>
      </c>
      <c r="L24" s="78">
        <f>11378587</f>
        <v>11378587</v>
      </c>
      <c r="M24" s="78">
        <f>11326186</f>
        <v>11326186</v>
      </c>
      <c r="N24" s="78">
        <f>12381065</f>
        <v>12381065</v>
      </c>
      <c r="O24" s="78">
        <f>13284272</f>
        <v>13284272</v>
      </c>
      <c r="P24" s="78">
        <f>14952492</f>
        <v>14952492</v>
      </c>
      <c r="Q24" s="78">
        <f>15029312</f>
        <v>15029312</v>
      </c>
      <c r="R24" s="78">
        <f>20498349</f>
        <v>20498349</v>
      </c>
      <c r="S24" s="78">
        <f>21198138</f>
        <v>21198138</v>
      </c>
      <c r="T24" s="78">
        <f>23225910</f>
        <v>23225910</v>
      </c>
      <c r="U24" s="78">
        <f>23486569</f>
        <v>23486569</v>
      </c>
    </row>
    <row r="25" spans="1:21" ht="33" customHeight="1">
      <c r="A25" s="72" t="s">
        <v>190</v>
      </c>
      <c r="B25" s="79" t="s">
        <v>191</v>
      </c>
      <c r="C25" s="74">
        <f>34906308.36</f>
        <v>34906308.359999999</v>
      </c>
      <c r="D25" s="75">
        <f>16254730.79</f>
        <v>16254730.789999999</v>
      </c>
      <c r="E25" s="75">
        <f>21124107</f>
        <v>21124107</v>
      </c>
      <c r="F25" s="76">
        <f>15868486</f>
        <v>15868486</v>
      </c>
      <c r="G25" s="77">
        <f>24968432</f>
        <v>24968432</v>
      </c>
      <c r="H25" s="78">
        <f>10867274</f>
        <v>10867274</v>
      </c>
      <c r="I25" s="78">
        <f>14024424</f>
        <v>14024424</v>
      </c>
      <c r="J25" s="78">
        <f>14784200</f>
        <v>14784200</v>
      </c>
      <c r="K25" s="78">
        <f>13491959</f>
        <v>13491959</v>
      </c>
      <c r="L25" s="78">
        <f>11378587</f>
        <v>11378587</v>
      </c>
      <c r="M25" s="78">
        <f>11326186</f>
        <v>11326186</v>
      </c>
      <c r="N25" s="78">
        <f>12381065</f>
        <v>12381065</v>
      </c>
      <c r="O25" s="78">
        <f>13284272</f>
        <v>13284272</v>
      </c>
      <c r="P25" s="78">
        <f>14952492</f>
        <v>14952492</v>
      </c>
      <c r="Q25" s="78">
        <f>15029312</f>
        <v>15029312</v>
      </c>
      <c r="R25" s="78">
        <f>20498349</f>
        <v>20498349</v>
      </c>
      <c r="S25" s="78">
        <f>21198138</f>
        <v>21198138</v>
      </c>
      <c r="T25" s="78">
        <f>23225910</f>
        <v>23225910</v>
      </c>
      <c r="U25" s="78">
        <f>23486569</f>
        <v>23486569</v>
      </c>
    </row>
    <row r="26" spans="1:21" ht="33.75" customHeight="1">
      <c r="A26" s="72" t="s">
        <v>192</v>
      </c>
      <c r="B26" s="80" t="s">
        <v>193</v>
      </c>
      <c r="C26" s="74">
        <f>627019.04</f>
        <v>627019.04</v>
      </c>
      <c r="D26" s="75">
        <f>152703.67</f>
        <v>152703.67000000001</v>
      </c>
      <c r="E26" s="75">
        <f>1040255</f>
        <v>1040255</v>
      </c>
      <c r="F26" s="76">
        <f>527000</f>
        <v>527000</v>
      </c>
      <c r="G26" s="77">
        <f>6197666</f>
        <v>6197666</v>
      </c>
      <c r="H26" s="78">
        <f>0</f>
        <v>0</v>
      </c>
      <c r="I26" s="78">
        <f>0</f>
        <v>0</v>
      </c>
      <c r="J26" s="78">
        <f>0</f>
        <v>0</v>
      </c>
      <c r="K26" s="78">
        <f>0</f>
        <v>0</v>
      </c>
      <c r="L26" s="78">
        <f>0</f>
        <v>0</v>
      </c>
      <c r="M26" s="78">
        <f>0</f>
        <v>0</v>
      </c>
      <c r="N26" s="78">
        <f>0</f>
        <v>0</v>
      </c>
      <c r="O26" s="78">
        <f>0</f>
        <v>0</v>
      </c>
      <c r="P26" s="78">
        <f>0</f>
        <v>0</v>
      </c>
      <c r="Q26" s="78">
        <f>0</f>
        <v>0</v>
      </c>
      <c r="R26" s="78">
        <f>0</f>
        <v>0</v>
      </c>
      <c r="S26" s="78">
        <f>0</f>
        <v>0</v>
      </c>
      <c r="T26" s="78">
        <f>0</f>
        <v>0</v>
      </c>
      <c r="U26" s="78">
        <f>0</f>
        <v>0</v>
      </c>
    </row>
    <row r="27" spans="1:21" ht="18" customHeight="1">
      <c r="A27" s="81">
        <v>3</v>
      </c>
      <c r="B27" s="82" t="s">
        <v>194</v>
      </c>
      <c r="C27" s="83">
        <f>-5961672.64</f>
        <v>-5961672.6399999997</v>
      </c>
      <c r="D27" s="84">
        <f>5420214.58</f>
        <v>5420214.5800000001</v>
      </c>
      <c r="E27" s="84">
        <f>-10899572</f>
        <v>-10899572</v>
      </c>
      <c r="F27" s="85">
        <f>3662741.28</f>
        <v>3662741.28</v>
      </c>
      <c r="G27" s="86">
        <f>-19007346</f>
        <v>-19007346</v>
      </c>
      <c r="H27" s="87">
        <f>1442000</f>
        <v>1442000</v>
      </c>
      <c r="I27" s="87">
        <f>1582000</f>
        <v>1582000</v>
      </c>
      <c r="J27" s="87">
        <f>4472000</f>
        <v>4472000</v>
      </c>
      <c r="K27" s="87">
        <f>5672000</f>
        <v>5672000</v>
      </c>
      <c r="L27" s="87">
        <f>5540000</f>
        <v>5540000</v>
      </c>
      <c r="M27" s="87">
        <f>6700000</f>
        <v>6700000</v>
      </c>
      <c r="N27" s="87">
        <f>6700000</f>
        <v>6700000</v>
      </c>
      <c r="O27" s="87">
        <f>6000000</f>
        <v>6000000</v>
      </c>
      <c r="P27" s="87">
        <f>5580000</f>
        <v>5580000</v>
      </c>
      <c r="Q27" s="87">
        <f>6600000</f>
        <v>6600000</v>
      </c>
      <c r="R27" s="87">
        <f>4040000</f>
        <v>4040000</v>
      </c>
      <c r="S27" s="87">
        <f>4040000</f>
        <v>4040000</v>
      </c>
      <c r="T27" s="87">
        <f>2500000</f>
        <v>2500000</v>
      </c>
      <c r="U27" s="87">
        <f>2500000</f>
        <v>2500000</v>
      </c>
    </row>
    <row r="28" spans="1:21" ht="45.75" customHeight="1">
      <c r="A28" s="72" t="s">
        <v>195</v>
      </c>
      <c r="B28" s="73" t="s">
        <v>196</v>
      </c>
      <c r="C28" s="74">
        <f>0</f>
        <v>0</v>
      </c>
      <c r="D28" s="75">
        <f>5420214.58</f>
        <v>5420214.5800000001</v>
      </c>
      <c r="E28" s="75">
        <f>0</f>
        <v>0</v>
      </c>
      <c r="F28" s="76">
        <f>3662741.28</f>
        <v>3662741.28</v>
      </c>
      <c r="G28" s="77">
        <f>0</f>
        <v>0</v>
      </c>
      <c r="H28" s="78">
        <f>1442000</f>
        <v>1442000</v>
      </c>
      <c r="I28" s="78">
        <f>1582000</f>
        <v>1582000</v>
      </c>
      <c r="J28" s="78">
        <f>4472000</f>
        <v>4472000</v>
      </c>
      <c r="K28" s="78">
        <f>5672000</f>
        <v>5672000</v>
      </c>
      <c r="L28" s="78">
        <f>5540000</f>
        <v>5540000</v>
      </c>
      <c r="M28" s="78">
        <f>6700000</f>
        <v>6700000</v>
      </c>
      <c r="N28" s="78">
        <f>6700000</f>
        <v>6700000</v>
      </c>
      <c r="O28" s="78">
        <f>6000000</f>
        <v>6000000</v>
      </c>
      <c r="P28" s="78">
        <f>5580000</f>
        <v>5580000</v>
      </c>
      <c r="Q28" s="78">
        <f>6600000</f>
        <v>6600000</v>
      </c>
      <c r="R28" s="78">
        <f>4040000</f>
        <v>4040000</v>
      </c>
      <c r="S28" s="78">
        <f>4040000</f>
        <v>4040000</v>
      </c>
      <c r="T28" s="78">
        <f>2500000</f>
        <v>2500000</v>
      </c>
      <c r="U28" s="78">
        <f>2500000</f>
        <v>2500000</v>
      </c>
    </row>
    <row r="29" spans="1:21" ht="17.25" customHeight="1">
      <c r="A29" s="81">
        <v>4</v>
      </c>
      <c r="B29" s="82" t="s">
        <v>197</v>
      </c>
      <c r="C29" s="83">
        <f>17440165.36</f>
        <v>17440165.359999999</v>
      </c>
      <c r="D29" s="84">
        <f>12707557.72</f>
        <v>12707557.720000001</v>
      </c>
      <c r="E29" s="84">
        <f>16154184</f>
        <v>16154184</v>
      </c>
      <c r="F29" s="85">
        <f>20339502.3</f>
        <v>20339502.300000001</v>
      </c>
      <c r="G29" s="86">
        <f>23549346</f>
        <v>23549346</v>
      </c>
      <c r="H29" s="87">
        <f>3300000</f>
        <v>3300000</v>
      </c>
      <c r="I29" s="87">
        <f>2700000</f>
        <v>2700000</v>
      </c>
      <c r="J29" s="87">
        <f>0</f>
        <v>0</v>
      </c>
      <c r="K29" s="87">
        <f>0</f>
        <v>0</v>
      </c>
      <c r="L29" s="87">
        <f>0</f>
        <v>0</v>
      </c>
      <c r="M29" s="87">
        <f>0</f>
        <v>0</v>
      </c>
      <c r="N29" s="87">
        <f>0</f>
        <v>0</v>
      </c>
      <c r="O29" s="87">
        <f>0</f>
        <v>0</v>
      </c>
      <c r="P29" s="87">
        <f>0</f>
        <v>0</v>
      </c>
      <c r="Q29" s="87">
        <f>0</f>
        <v>0</v>
      </c>
      <c r="R29" s="87">
        <f>0</f>
        <v>0</v>
      </c>
      <c r="S29" s="87">
        <f>0</f>
        <v>0</v>
      </c>
      <c r="T29" s="87">
        <f>0</f>
        <v>0</v>
      </c>
      <c r="U29" s="87">
        <f>0</f>
        <v>0</v>
      </c>
    </row>
    <row r="30" spans="1:21" ht="30.75" customHeight="1">
      <c r="A30" s="72" t="s">
        <v>198</v>
      </c>
      <c r="B30" s="73" t="s">
        <v>199</v>
      </c>
      <c r="C30" s="74">
        <f>10950000</f>
        <v>10950000</v>
      </c>
      <c r="D30" s="75">
        <f>7790000</f>
        <v>7790000</v>
      </c>
      <c r="E30" s="75">
        <f>8000000</f>
        <v>8000000</v>
      </c>
      <c r="F30" s="76">
        <f>8000000</f>
        <v>8000000</v>
      </c>
      <c r="G30" s="77">
        <f>15000000</f>
        <v>15000000</v>
      </c>
      <c r="H30" s="78">
        <f>3300000</f>
        <v>3300000</v>
      </c>
      <c r="I30" s="78">
        <f>2700000</f>
        <v>2700000</v>
      </c>
      <c r="J30" s="78">
        <f>0</f>
        <v>0</v>
      </c>
      <c r="K30" s="78">
        <f>0</f>
        <v>0</v>
      </c>
      <c r="L30" s="78">
        <f>0</f>
        <v>0</v>
      </c>
      <c r="M30" s="78">
        <f>0</f>
        <v>0</v>
      </c>
      <c r="N30" s="78">
        <f>0</f>
        <v>0</v>
      </c>
      <c r="O30" s="78">
        <f>0</f>
        <v>0</v>
      </c>
      <c r="P30" s="78">
        <f>0</f>
        <v>0</v>
      </c>
      <c r="Q30" s="78">
        <f>0</f>
        <v>0</v>
      </c>
      <c r="R30" s="78">
        <f>0</f>
        <v>0</v>
      </c>
      <c r="S30" s="78">
        <f>0</f>
        <v>0</v>
      </c>
      <c r="T30" s="78">
        <f>0</f>
        <v>0</v>
      </c>
      <c r="U30" s="78">
        <f>0</f>
        <v>0</v>
      </c>
    </row>
    <row r="31" spans="1:21" ht="18" customHeight="1">
      <c r="A31" s="72" t="s">
        <v>200</v>
      </c>
      <c r="B31" s="79" t="s">
        <v>201</v>
      </c>
      <c r="C31" s="74">
        <f>5961672.64</f>
        <v>5961672.6399999997</v>
      </c>
      <c r="D31" s="75">
        <f>0</f>
        <v>0</v>
      </c>
      <c r="E31" s="75">
        <f>0</f>
        <v>0</v>
      </c>
      <c r="F31" s="76">
        <f>0</f>
        <v>0</v>
      </c>
      <c r="G31" s="77">
        <f>10795000</f>
        <v>10795000</v>
      </c>
      <c r="H31" s="78">
        <f>0</f>
        <v>0</v>
      </c>
      <c r="I31" s="78">
        <f>0</f>
        <v>0</v>
      </c>
      <c r="J31" s="78">
        <f>0</f>
        <v>0</v>
      </c>
      <c r="K31" s="78">
        <f>0</f>
        <v>0</v>
      </c>
      <c r="L31" s="78">
        <f>0</f>
        <v>0</v>
      </c>
      <c r="M31" s="78">
        <f>0</f>
        <v>0</v>
      </c>
      <c r="N31" s="78">
        <f>0</f>
        <v>0</v>
      </c>
      <c r="O31" s="78">
        <f>0</f>
        <v>0</v>
      </c>
      <c r="P31" s="78">
        <f>0</f>
        <v>0</v>
      </c>
      <c r="Q31" s="78">
        <f>0</f>
        <v>0</v>
      </c>
      <c r="R31" s="78">
        <f>0</f>
        <v>0</v>
      </c>
      <c r="S31" s="78">
        <f>0</f>
        <v>0</v>
      </c>
      <c r="T31" s="78">
        <f>0</f>
        <v>0</v>
      </c>
      <c r="U31" s="78">
        <f>0</f>
        <v>0</v>
      </c>
    </row>
    <row r="32" spans="1:21" ht="18" customHeight="1">
      <c r="A32" s="72" t="s">
        <v>202</v>
      </c>
      <c r="B32" s="73" t="s">
        <v>203</v>
      </c>
      <c r="C32" s="74">
        <f>0</f>
        <v>0</v>
      </c>
      <c r="D32" s="75">
        <f>0</f>
        <v>0</v>
      </c>
      <c r="E32" s="75">
        <f>4278790</f>
        <v>4278790</v>
      </c>
      <c r="F32" s="76">
        <f>4991901.11</f>
        <v>4991901.1100000003</v>
      </c>
      <c r="G32" s="77">
        <f>5418701</f>
        <v>5418701</v>
      </c>
      <c r="H32" s="78">
        <f>0</f>
        <v>0</v>
      </c>
      <c r="I32" s="78">
        <f>0</f>
        <v>0</v>
      </c>
      <c r="J32" s="78">
        <f>0</f>
        <v>0</v>
      </c>
      <c r="K32" s="78">
        <f>0</f>
        <v>0</v>
      </c>
      <c r="L32" s="78">
        <f>0</f>
        <v>0</v>
      </c>
      <c r="M32" s="78">
        <f>0</f>
        <v>0</v>
      </c>
      <c r="N32" s="78">
        <f>0</f>
        <v>0</v>
      </c>
      <c r="O32" s="78">
        <f>0</f>
        <v>0</v>
      </c>
      <c r="P32" s="78">
        <f>0</f>
        <v>0</v>
      </c>
      <c r="Q32" s="78">
        <f>0</f>
        <v>0</v>
      </c>
      <c r="R32" s="78">
        <f>0</f>
        <v>0</v>
      </c>
      <c r="S32" s="78">
        <f>0</f>
        <v>0</v>
      </c>
      <c r="T32" s="78">
        <f>0</f>
        <v>0</v>
      </c>
      <c r="U32" s="78">
        <f>0</f>
        <v>0</v>
      </c>
    </row>
    <row r="33" spans="1:21" ht="18" customHeight="1">
      <c r="A33" s="72" t="s">
        <v>204</v>
      </c>
      <c r="B33" s="79" t="s">
        <v>201</v>
      </c>
      <c r="C33" s="74">
        <f>0</f>
        <v>0</v>
      </c>
      <c r="D33" s="75">
        <f>0</f>
        <v>0</v>
      </c>
      <c r="E33" s="75">
        <f>0</f>
        <v>0</v>
      </c>
      <c r="F33" s="76">
        <f>0</f>
        <v>0</v>
      </c>
      <c r="G33" s="77">
        <f>5418701</f>
        <v>5418701</v>
      </c>
      <c r="H33" s="78">
        <f>0</f>
        <v>0</v>
      </c>
      <c r="I33" s="78">
        <f>0</f>
        <v>0</v>
      </c>
      <c r="J33" s="78">
        <f>0</f>
        <v>0</v>
      </c>
      <c r="K33" s="78">
        <f>0</f>
        <v>0</v>
      </c>
      <c r="L33" s="78">
        <f>0</f>
        <v>0</v>
      </c>
      <c r="M33" s="78">
        <f>0</f>
        <v>0</v>
      </c>
      <c r="N33" s="78">
        <f>0</f>
        <v>0</v>
      </c>
      <c r="O33" s="78">
        <f>0</f>
        <v>0</v>
      </c>
      <c r="P33" s="78">
        <f>0</f>
        <v>0</v>
      </c>
      <c r="Q33" s="78">
        <f>0</f>
        <v>0</v>
      </c>
      <c r="R33" s="78">
        <f>0</f>
        <v>0</v>
      </c>
      <c r="S33" s="78">
        <f>0</f>
        <v>0</v>
      </c>
      <c r="T33" s="78">
        <f>0</f>
        <v>0</v>
      </c>
      <c r="U33" s="78">
        <f>0</f>
        <v>0</v>
      </c>
    </row>
    <row r="34" spans="1:21" ht="27.75" customHeight="1">
      <c r="A34" s="72" t="s">
        <v>205</v>
      </c>
      <c r="B34" s="73" t="s">
        <v>206</v>
      </c>
      <c r="C34" s="74">
        <f>6490165.36</f>
        <v>6490165.3600000003</v>
      </c>
      <c r="D34" s="75">
        <f>4917557.72</f>
        <v>4917557.72</v>
      </c>
      <c r="E34" s="75">
        <f>3875394</f>
        <v>3875394</v>
      </c>
      <c r="F34" s="76">
        <f>7347601.19</f>
        <v>7347601.1900000004</v>
      </c>
      <c r="G34" s="77">
        <f>3130645</f>
        <v>3130645</v>
      </c>
      <c r="H34" s="78">
        <f>0</f>
        <v>0</v>
      </c>
      <c r="I34" s="78">
        <f>0</f>
        <v>0</v>
      </c>
      <c r="J34" s="78">
        <f>0</f>
        <v>0</v>
      </c>
      <c r="K34" s="78">
        <f>0</f>
        <v>0</v>
      </c>
      <c r="L34" s="78">
        <f>0</f>
        <v>0</v>
      </c>
      <c r="M34" s="78">
        <f>0</f>
        <v>0</v>
      </c>
      <c r="N34" s="78">
        <f>0</f>
        <v>0</v>
      </c>
      <c r="O34" s="78">
        <f>0</f>
        <v>0</v>
      </c>
      <c r="P34" s="78">
        <f>0</f>
        <v>0</v>
      </c>
      <c r="Q34" s="78">
        <f>0</f>
        <v>0</v>
      </c>
      <c r="R34" s="78">
        <f>0</f>
        <v>0</v>
      </c>
      <c r="S34" s="78">
        <f>0</f>
        <v>0</v>
      </c>
      <c r="T34" s="78">
        <f>0</f>
        <v>0</v>
      </c>
      <c r="U34" s="78">
        <f>0</f>
        <v>0</v>
      </c>
    </row>
    <row r="35" spans="1:21" ht="18" customHeight="1">
      <c r="A35" s="72" t="s">
        <v>207</v>
      </c>
      <c r="B35" s="79" t="s">
        <v>201</v>
      </c>
      <c r="C35" s="74">
        <f>0</f>
        <v>0</v>
      </c>
      <c r="D35" s="75">
        <f>0</f>
        <v>0</v>
      </c>
      <c r="E35" s="75">
        <f>0</f>
        <v>0</v>
      </c>
      <c r="F35" s="76">
        <f>0</f>
        <v>0</v>
      </c>
      <c r="G35" s="77">
        <f>2793645</f>
        <v>2793645</v>
      </c>
      <c r="H35" s="78">
        <f>0</f>
        <v>0</v>
      </c>
      <c r="I35" s="78">
        <f>0</f>
        <v>0</v>
      </c>
      <c r="J35" s="78">
        <f>0</f>
        <v>0</v>
      </c>
      <c r="K35" s="78">
        <f>0</f>
        <v>0</v>
      </c>
      <c r="L35" s="78">
        <f>0</f>
        <v>0</v>
      </c>
      <c r="M35" s="78">
        <f>0</f>
        <v>0</v>
      </c>
      <c r="N35" s="78">
        <f>0</f>
        <v>0</v>
      </c>
      <c r="O35" s="78">
        <f>0</f>
        <v>0</v>
      </c>
      <c r="P35" s="78">
        <f>0</f>
        <v>0</v>
      </c>
      <c r="Q35" s="78">
        <f>0</f>
        <v>0</v>
      </c>
      <c r="R35" s="78">
        <f>0</f>
        <v>0</v>
      </c>
      <c r="S35" s="78">
        <f>0</f>
        <v>0</v>
      </c>
      <c r="T35" s="78">
        <f>0</f>
        <v>0</v>
      </c>
      <c r="U35" s="78">
        <f>0</f>
        <v>0</v>
      </c>
    </row>
    <row r="36" spans="1:21" ht="29.25" customHeight="1">
      <c r="A36" s="72" t="s">
        <v>208</v>
      </c>
      <c r="B36" s="73" t="s">
        <v>209</v>
      </c>
      <c r="C36" s="74">
        <f>0</f>
        <v>0</v>
      </c>
      <c r="D36" s="75">
        <f>0</f>
        <v>0</v>
      </c>
      <c r="E36" s="75">
        <f>0</f>
        <v>0</v>
      </c>
      <c r="F36" s="76">
        <f>0</f>
        <v>0</v>
      </c>
      <c r="G36" s="77">
        <f>0</f>
        <v>0</v>
      </c>
      <c r="H36" s="78">
        <f>0</f>
        <v>0</v>
      </c>
      <c r="I36" s="78">
        <f>0</f>
        <v>0</v>
      </c>
      <c r="J36" s="78">
        <f>0</f>
        <v>0</v>
      </c>
      <c r="K36" s="78">
        <f>0</f>
        <v>0</v>
      </c>
      <c r="L36" s="78">
        <f>0</f>
        <v>0</v>
      </c>
      <c r="M36" s="78">
        <f>0</f>
        <v>0</v>
      </c>
      <c r="N36" s="78">
        <f>0</f>
        <v>0</v>
      </c>
      <c r="O36" s="78">
        <f>0</f>
        <v>0</v>
      </c>
      <c r="P36" s="78">
        <f>0</f>
        <v>0</v>
      </c>
      <c r="Q36" s="78">
        <f>0</f>
        <v>0</v>
      </c>
      <c r="R36" s="78">
        <f>0</f>
        <v>0</v>
      </c>
      <c r="S36" s="78">
        <f>0</f>
        <v>0</v>
      </c>
      <c r="T36" s="78">
        <f>0</f>
        <v>0</v>
      </c>
      <c r="U36" s="78">
        <f>0</f>
        <v>0</v>
      </c>
    </row>
    <row r="37" spans="1:21" ht="18" customHeight="1">
      <c r="A37" s="72" t="s">
        <v>210</v>
      </c>
      <c r="B37" s="79" t="s">
        <v>201</v>
      </c>
      <c r="C37" s="74">
        <f>0</f>
        <v>0</v>
      </c>
      <c r="D37" s="75">
        <f>0</f>
        <v>0</v>
      </c>
      <c r="E37" s="75">
        <f>0</f>
        <v>0</v>
      </c>
      <c r="F37" s="76">
        <f>0</f>
        <v>0</v>
      </c>
      <c r="G37" s="77">
        <f>0</f>
        <v>0</v>
      </c>
      <c r="H37" s="78">
        <f>0</f>
        <v>0</v>
      </c>
      <c r="I37" s="78">
        <f>0</f>
        <v>0</v>
      </c>
      <c r="J37" s="78">
        <f>0</f>
        <v>0</v>
      </c>
      <c r="K37" s="78">
        <f>0</f>
        <v>0</v>
      </c>
      <c r="L37" s="78">
        <f>0</f>
        <v>0</v>
      </c>
      <c r="M37" s="78">
        <f>0</f>
        <v>0</v>
      </c>
      <c r="N37" s="78">
        <f>0</f>
        <v>0</v>
      </c>
      <c r="O37" s="78">
        <f>0</f>
        <v>0</v>
      </c>
      <c r="P37" s="78">
        <f>0</f>
        <v>0</v>
      </c>
      <c r="Q37" s="78">
        <f>0</f>
        <v>0</v>
      </c>
      <c r="R37" s="78">
        <f>0</f>
        <v>0</v>
      </c>
      <c r="S37" s="78">
        <f>0</f>
        <v>0</v>
      </c>
      <c r="T37" s="78">
        <f>0</f>
        <v>0</v>
      </c>
      <c r="U37" s="78">
        <f>0</f>
        <v>0</v>
      </c>
    </row>
    <row r="38" spans="1:21" ht="30.75" customHeight="1">
      <c r="A38" s="72" t="s">
        <v>211</v>
      </c>
      <c r="B38" s="73" t="s">
        <v>212</v>
      </c>
      <c r="C38" s="74">
        <f>0</f>
        <v>0</v>
      </c>
      <c r="D38" s="75">
        <f>0</f>
        <v>0</v>
      </c>
      <c r="E38" s="75">
        <f>0</f>
        <v>0</v>
      </c>
      <c r="F38" s="76">
        <f>0</f>
        <v>0</v>
      </c>
      <c r="G38" s="77">
        <f>0</f>
        <v>0</v>
      </c>
      <c r="H38" s="78">
        <f>0</f>
        <v>0</v>
      </c>
      <c r="I38" s="78">
        <f>0</f>
        <v>0</v>
      </c>
      <c r="J38" s="78">
        <f>0</f>
        <v>0</v>
      </c>
      <c r="K38" s="78">
        <f>0</f>
        <v>0</v>
      </c>
      <c r="L38" s="78">
        <f>0</f>
        <v>0</v>
      </c>
      <c r="M38" s="78">
        <f>0</f>
        <v>0</v>
      </c>
      <c r="N38" s="78">
        <f>0</f>
        <v>0</v>
      </c>
      <c r="O38" s="78">
        <f>0</f>
        <v>0</v>
      </c>
      <c r="P38" s="78">
        <f>0</f>
        <v>0</v>
      </c>
      <c r="Q38" s="78">
        <f>0</f>
        <v>0</v>
      </c>
      <c r="R38" s="78">
        <f>0</f>
        <v>0</v>
      </c>
      <c r="S38" s="78">
        <f>0</f>
        <v>0</v>
      </c>
      <c r="T38" s="78">
        <f>0</f>
        <v>0</v>
      </c>
      <c r="U38" s="78">
        <f>0</f>
        <v>0</v>
      </c>
    </row>
    <row r="39" spans="1:21" ht="18" customHeight="1">
      <c r="A39" s="72" t="s">
        <v>213</v>
      </c>
      <c r="B39" s="79" t="s">
        <v>201</v>
      </c>
      <c r="C39" s="74">
        <f>0</f>
        <v>0</v>
      </c>
      <c r="D39" s="75">
        <f>0</f>
        <v>0</v>
      </c>
      <c r="E39" s="75">
        <f>0</f>
        <v>0</v>
      </c>
      <c r="F39" s="76">
        <f>0</f>
        <v>0</v>
      </c>
      <c r="G39" s="77">
        <f>0</f>
        <v>0</v>
      </c>
      <c r="H39" s="78">
        <f>0</f>
        <v>0</v>
      </c>
      <c r="I39" s="78">
        <f>0</f>
        <v>0</v>
      </c>
      <c r="J39" s="78">
        <f>0</f>
        <v>0</v>
      </c>
      <c r="K39" s="78">
        <f>0</f>
        <v>0</v>
      </c>
      <c r="L39" s="78">
        <f>0</f>
        <v>0</v>
      </c>
      <c r="M39" s="78">
        <f>0</f>
        <v>0</v>
      </c>
      <c r="N39" s="78">
        <f>0</f>
        <v>0</v>
      </c>
      <c r="O39" s="78">
        <f>0</f>
        <v>0</v>
      </c>
      <c r="P39" s="78">
        <f>0</f>
        <v>0</v>
      </c>
      <c r="Q39" s="78">
        <f>0</f>
        <v>0</v>
      </c>
      <c r="R39" s="78">
        <f>0</f>
        <v>0</v>
      </c>
      <c r="S39" s="78">
        <f>0</f>
        <v>0</v>
      </c>
      <c r="T39" s="78">
        <f>0</f>
        <v>0</v>
      </c>
      <c r="U39" s="78">
        <f>0</f>
        <v>0</v>
      </c>
    </row>
    <row r="40" spans="1:21" ht="18" customHeight="1">
      <c r="A40" s="81">
        <v>5</v>
      </c>
      <c r="B40" s="82" t="s">
        <v>214</v>
      </c>
      <c r="C40" s="83">
        <f>6560935</f>
        <v>6560935</v>
      </c>
      <c r="D40" s="84">
        <f>5788270</f>
        <v>5788270</v>
      </c>
      <c r="E40" s="84">
        <f>5254612</f>
        <v>5254612</v>
      </c>
      <c r="F40" s="85">
        <f>5254612</f>
        <v>5254612</v>
      </c>
      <c r="G40" s="86">
        <f>4542000</f>
        <v>4542000</v>
      </c>
      <c r="H40" s="87">
        <f>4742000</f>
        <v>4742000</v>
      </c>
      <c r="I40" s="87">
        <f>4282000</f>
        <v>4282000</v>
      </c>
      <c r="J40" s="87">
        <f>4472000</f>
        <v>4472000</v>
      </c>
      <c r="K40" s="87">
        <f>5672000</f>
        <v>5672000</v>
      </c>
      <c r="L40" s="87">
        <f>5540000</f>
        <v>5540000</v>
      </c>
      <c r="M40" s="87">
        <f>6700000</f>
        <v>6700000</v>
      </c>
      <c r="N40" s="87">
        <f>6700000</f>
        <v>6700000</v>
      </c>
      <c r="O40" s="87">
        <f>6000000</f>
        <v>6000000</v>
      </c>
      <c r="P40" s="87">
        <f>5580000</f>
        <v>5580000</v>
      </c>
      <c r="Q40" s="87">
        <f>6600000</f>
        <v>6600000</v>
      </c>
      <c r="R40" s="87">
        <f>4040000</f>
        <v>4040000</v>
      </c>
      <c r="S40" s="87">
        <f>4040000</f>
        <v>4040000</v>
      </c>
      <c r="T40" s="87">
        <f>2500000</f>
        <v>2500000</v>
      </c>
      <c r="U40" s="87">
        <f>2500000</f>
        <v>2500000</v>
      </c>
    </row>
    <row r="41" spans="1:21" ht="33" customHeight="1">
      <c r="A41" s="72" t="s">
        <v>215</v>
      </c>
      <c r="B41" s="73" t="s">
        <v>216</v>
      </c>
      <c r="C41" s="74">
        <f>6560935</f>
        <v>6560935</v>
      </c>
      <c r="D41" s="75">
        <f>5788270</f>
        <v>5788270</v>
      </c>
      <c r="E41" s="75">
        <f>5254612</f>
        <v>5254612</v>
      </c>
      <c r="F41" s="76">
        <f>5254612</f>
        <v>5254612</v>
      </c>
      <c r="G41" s="77">
        <f>4542000</f>
        <v>4542000</v>
      </c>
      <c r="H41" s="78">
        <f>4742000</f>
        <v>4742000</v>
      </c>
      <c r="I41" s="78">
        <f>4282000</f>
        <v>4282000</v>
      </c>
      <c r="J41" s="78">
        <f>4472000</f>
        <v>4472000</v>
      </c>
      <c r="K41" s="78">
        <f>5672000</f>
        <v>5672000</v>
      </c>
      <c r="L41" s="78">
        <f>5540000</f>
        <v>5540000</v>
      </c>
      <c r="M41" s="78">
        <f>6700000</f>
        <v>6700000</v>
      </c>
      <c r="N41" s="78">
        <f>6700000</f>
        <v>6700000</v>
      </c>
      <c r="O41" s="78">
        <f>6000000</f>
        <v>6000000</v>
      </c>
      <c r="P41" s="78">
        <f>5580000</f>
        <v>5580000</v>
      </c>
      <c r="Q41" s="78">
        <f>6600000</f>
        <v>6600000</v>
      </c>
      <c r="R41" s="78">
        <f>4040000</f>
        <v>4040000</v>
      </c>
      <c r="S41" s="78">
        <f>4040000</f>
        <v>4040000</v>
      </c>
      <c r="T41" s="78">
        <f>2500000</f>
        <v>2500000</v>
      </c>
      <c r="U41" s="78">
        <f>2500000</f>
        <v>2500000</v>
      </c>
    </row>
    <row r="42" spans="1:21" ht="42.75" customHeight="1">
      <c r="A42" s="72" t="s">
        <v>217</v>
      </c>
      <c r="B42" s="79" t="s">
        <v>218</v>
      </c>
      <c r="C42" s="74">
        <f>0</f>
        <v>0</v>
      </c>
      <c r="D42" s="75">
        <f>0</f>
        <v>0</v>
      </c>
      <c r="E42" s="75">
        <f>0</f>
        <v>0</v>
      </c>
      <c r="F42" s="76">
        <f>0</f>
        <v>0</v>
      </c>
      <c r="G42" s="77">
        <f>0</f>
        <v>0</v>
      </c>
      <c r="H42" s="78">
        <f>0</f>
        <v>0</v>
      </c>
      <c r="I42" s="78">
        <f>0</f>
        <v>0</v>
      </c>
      <c r="J42" s="78">
        <f>0</f>
        <v>0</v>
      </c>
      <c r="K42" s="78">
        <f>0</f>
        <v>0</v>
      </c>
      <c r="L42" s="78">
        <f>0</f>
        <v>0</v>
      </c>
      <c r="M42" s="78">
        <f>792809</f>
        <v>792809</v>
      </c>
      <c r="N42" s="78">
        <f>792810</f>
        <v>792810</v>
      </c>
      <c r="O42" s="78">
        <f>0</f>
        <v>0</v>
      </c>
      <c r="P42" s="78">
        <f>0</f>
        <v>0</v>
      </c>
      <c r="Q42" s="78">
        <f>0</f>
        <v>0</v>
      </c>
      <c r="R42" s="78">
        <f>0</f>
        <v>0</v>
      </c>
      <c r="S42" s="78">
        <f>0</f>
        <v>0</v>
      </c>
      <c r="T42" s="78">
        <f>0</f>
        <v>0</v>
      </c>
      <c r="U42" s="78">
        <f>0</f>
        <v>0</v>
      </c>
    </row>
    <row r="43" spans="1:21" ht="42" customHeight="1">
      <c r="A43" s="72" t="s">
        <v>219</v>
      </c>
      <c r="B43" s="80" t="s">
        <v>220</v>
      </c>
      <c r="C43" s="74">
        <f>0</f>
        <v>0</v>
      </c>
      <c r="D43" s="75">
        <f>0</f>
        <v>0</v>
      </c>
      <c r="E43" s="75">
        <f>0</f>
        <v>0</v>
      </c>
      <c r="F43" s="76">
        <f>0</f>
        <v>0</v>
      </c>
      <c r="G43" s="77">
        <f>0</f>
        <v>0</v>
      </c>
      <c r="H43" s="78">
        <f>0</f>
        <v>0</v>
      </c>
      <c r="I43" s="78">
        <f>0</f>
        <v>0</v>
      </c>
      <c r="J43" s="78">
        <f>0</f>
        <v>0</v>
      </c>
      <c r="K43" s="78">
        <f>0</f>
        <v>0</v>
      </c>
      <c r="L43" s="78">
        <f>0</f>
        <v>0</v>
      </c>
      <c r="M43" s="78">
        <f>0</f>
        <v>0</v>
      </c>
      <c r="N43" s="78">
        <f>0</f>
        <v>0</v>
      </c>
      <c r="O43" s="78">
        <f>0</f>
        <v>0</v>
      </c>
      <c r="P43" s="78">
        <f>0</f>
        <v>0</v>
      </c>
      <c r="Q43" s="78">
        <f>0</f>
        <v>0</v>
      </c>
      <c r="R43" s="78">
        <f>0</f>
        <v>0</v>
      </c>
      <c r="S43" s="78">
        <f>0</f>
        <v>0</v>
      </c>
      <c r="T43" s="78">
        <f>0</f>
        <v>0</v>
      </c>
      <c r="U43" s="78">
        <f>0</f>
        <v>0</v>
      </c>
    </row>
    <row r="44" spans="1:21" ht="46.5" customHeight="1">
      <c r="A44" s="72" t="s">
        <v>221</v>
      </c>
      <c r="B44" s="80" t="s">
        <v>222</v>
      </c>
      <c r="C44" s="74">
        <f>0</f>
        <v>0</v>
      </c>
      <c r="D44" s="75">
        <f>0</f>
        <v>0</v>
      </c>
      <c r="E44" s="75">
        <f>0</f>
        <v>0</v>
      </c>
      <c r="F44" s="76">
        <f>0</f>
        <v>0</v>
      </c>
      <c r="G44" s="77">
        <f>0</f>
        <v>0</v>
      </c>
      <c r="H44" s="78">
        <f>0</f>
        <v>0</v>
      </c>
      <c r="I44" s="78">
        <f>0</f>
        <v>0</v>
      </c>
      <c r="J44" s="78">
        <f>0</f>
        <v>0</v>
      </c>
      <c r="K44" s="78">
        <f>0</f>
        <v>0</v>
      </c>
      <c r="L44" s="78">
        <f>0</f>
        <v>0</v>
      </c>
      <c r="M44" s="78">
        <f>0</f>
        <v>0</v>
      </c>
      <c r="N44" s="78">
        <f>0</f>
        <v>0</v>
      </c>
      <c r="O44" s="78">
        <f>0</f>
        <v>0</v>
      </c>
      <c r="P44" s="78">
        <f>0</f>
        <v>0</v>
      </c>
      <c r="Q44" s="78">
        <f>0</f>
        <v>0</v>
      </c>
      <c r="R44" s="78">
        <f>0</f>
        <v>0</v>
      </c>
      <c r="S44" s="78">
        <f>0</f>
        <v>0</v>
      </c>
      <c r="T44" s="78">
        <f>0</f>
        <v>0</v>
      </c>
      <c r="U44" s="78">
        <f>0</f>
        <v>0</v>
      </c>
    </row>
    <row r="45" spans="1:21" ht="42.75" customHeight="1">
      <c r="A45" s="72" t="s">
        <v>223</v>
      </c>
      <c r="B45" s="80" t="s">
        <v>224</v>
      </c>
      <c r="C45" s="74">
        <f>0</f>
        <v>0</v>
      </c>
      <c r="D45" s="75">
        <f>0</f>
        <v>0</v>
      </c>
      <c r="E45" s="75">
        <f>0</f>
        <v>0</v>
      </c>
      <c r="F45" s="76">
        <f>0</f>
        <v>0</v>
      </c>
      <c r="G45" s="77">
        <f>0</f>
        <v>0</v>
      </c>
      <c r="H45" s="78">
        <f>0</f>
        <v>0</v>
      </c>
      <c r="I45" s="78">
        <f>0</f>
        <v>0</v>
      </c>
      <c r="J45" s="78">
        <f>0</f>
        <v>0</v>
      </c>
      <c r="K45" s="78">
        <f>0</f>
        <v>0</v>
      </c>
      <c r="L45" s="78">
        <f>0</f>
        <v>0</v>
      </c>
      <c r="M45" s="78">
        <f>0</f>
        <v>0</v>
      </c>
      <c r="N45" s="78">
        <f>0</f>
        <v>0</v>
      </c>
      <c r="O45" s="78">
        <f>0</f>
        <v>0</v>
      </c>
      <c r="P45" s="78">
        <f>0</f>
        <v>0</v>
      </c>
      <c r="Q45" s="78">
        <f>0</f>
        <v>0</v>
      </c>
      <c r="R45" s="78">
        <f>0</f>
        <v>0</v>
      </c>
      <c r="S45" s="78">
        <f>0</f>
        <v>0</v>
      </c>
      <c r="T45" s="78">
        <f>0</f>
        <v>0</v>
      </c>
      <c r="U45" s="78">
        <f>0</f>
        <v>0</v>
      </c>
    </row>
    <row r="46" spans="1:21" ht="19.5" customHeight="1">
      <c r="A46" s="72" t="s">
        <v>225</v>
      </c>
      <c r="B46" s="88" t="s">
        <v>226</v>
      </c>
      <c r="C46" s="74">
        <f>0</f>
        <v>0</v>
      </c>
      <c r="D46" s="75">
        <f>0</f>
        <v>0</v>
      </c>
      <c r="E46" s="75">
        <f>0</f>
        <v>0</v>
      </c>
      <c r="F46" s="76">
        <f>0</f>
        <v>0</v>
      </c>
      <c r="G46" s="77">
        <f>0</f>
        <v>0</v>
      </c>
      <c r="H46" s="78">
        <f>0</f>
        <v>0</v>
      </c>
      <c r="I46" s="78">
        <f>0</f>
        <v>0</v>
      </c>
      <c r="J46" s="78">
        <f>0</f>
        <v>0</v>
      </c>
      <c r="K46" s="78">
        <f>0</f>
        <v>0</v>
      </c>
      <c r="L46" s="78">
        <f>0</f>
        <v>0</v>
      </c>
      <c r="M46" s="78">
        <f>0</f>
        <v>0</v>
      </c>
      <c r="N46" s="78">
        <f>0</f>
        <v>0</v>
      </c>
      <c r="O46" s="78">
        <f>0</f>
        <v>0</v>
      </c>
      <c r="P46" s="78">
        <f>0</f>
        <v>0</v>
      </c>
      <c r="Q46" s="78">
        <f>0</f>
        <v>0</v>
      </c>
      <c r="R46" s="78">
        <f>0</f>
        <v>0</v>
      </c>
      <c r="S46" s="78">
        <f>0</f>
        <v>0</v>
      </c>
      <c r="T46" s="78">
        <f>0</f>
        <v>0</v>
      </c>
      <c r="U46" s="78">
        <f>0</f>
        <v>0</v>
      </c>
    </row>
    <row r="47" spans="1:21" ht="30" customHeight="1">
      <c r="A47" s="72" t="s">
        <v>227</v>
      </c>
      <c r="B47" s="88" t="s">
        <v>228</v>
      </c>
      <c r="C47" s="74">
        <f>0</f>
        <v>0</v>
      </c>
      <c r="D47" s="75">
        <f>0</f>
        <v>0</v>
      </c>
      <c r="E47" s="75">
        <f>0</f>
        <v>0</v>
      </c>
      <c r="F47" s="76">
        <f>0</f>
        <v>0</v>
      </c>
      <c r="G47" s="77">
        <f>0</f>
        <v>0</v>
      </c>
      <c r="H47" s="78">
        <f>0</f>
        <v>0</v>
      </c>
      <c r="I47" s="78">
        <f>0</f>
        <v>0</v>
      </c>
      <c r="J47" s="78">
        <f>0</f>
        <v>0</v>
      </c>
      <c r="K47" s="78">
        <f>0</f>
        <v>0</v>
      </c>
      <c r="L47" s="78">
        <f>0</f>
        <v>0</v>
      </c>
      <c r="M47" s="78">
        <f>0</f>
        <v>0</v>
      </c>
      <c r="N47" s="78">
        <f>0</f>
        <v>0</v>
      </c>
      <c r="O47" s="78">
        <f>0</f>
        <v>0</v>
      </c>
      <c r="P47" s="78">
        <f>0</f>
        <v>0</v>
      </c>
      <c r="Q47" s="78">
        <f>0</f>
        <v>0</v>
      </c>
      <c r="R47" s="78">
        <f>0</f>
        <v>0</v>
      </c>
      <c r="S47" s="78">
        <f>0</f>
        <v>0</v>
      </c>
      <c r="T47" s="78">
        <f>0</f>
        <v>0</v>
      </c>
      <c r="U47" s="78">
        <f>0</f>
        <v>0</v>
      </c>
    </row>
    <row r="48" spans="1:21" ht="17.25" customHeight="1">
      <c r="A48" s="72" t="s">
        <v>229</v>
      </c>
      <c r="B48" s="88" t="s">
        <v>230</v>
      </c>
      <c r="C48" s="74">
        <f>0</f>
        <v>0</v>
      </c>
      <c r="D48" s="75">
        <f>0</f>
        <v>0</v>
      </c>
      <c r="E48" s="75">
        <f>0</f>
        <v>0</v>
      </c>
      <c r="F48" s="76">
        <f>0</f>
        <v>0</v>
      </c>
      <c r="G48" s="77">
        <f>0</f>
        <v>0</v>
      </c>
      <c r="H48" s="78">
        <f>0</f>
        <v>0</v>
      </c>
      <c r="I48" s="78">
        <f>0</f>
        <v>0</v>
      </c>
      <c r="J48" s="78">
        <f>0</f>
        <v>0</v>
      </c>
      <c r="K48" s="78">
        <f>0</f>
        <v>0</v>
      </c>
      <c r="L48" s="78">
        <f>0</f>
        <v>0</v>
      </c>
      <c r="M48" s="78">
        <f>0</f>
        <v>0</v>
      </c>
      <c r="N48" s="78">
        <f>0</f>
        <v>0</v>
      </c>
      <c r="O48" s="78">
        <f>0</f>
        <v>0</v>
      </c>
      <c r="P48" s="78">
        <f>0</f>
        <v>0</v>
      </c>
      <c r="Q48" s="78">
        <f>0</f>
        <v>0</v>
      </c>
      <c r="R48" s="78">
        <f>0</f>
        <v>0</v>
      </c>
      <c r="S48" s="78">
        <f>0</f>
        <v>0</v>
      </c>
      <c r="T48" s="78">
        <f>0</f>
        <v>0</v>
      </c>
      <c r="U48" s="78">
        <f>0</f>
        <v>0</v>
      </c>
    </row>
    <row r="49" spans="1:21" ht="42.75" customHeight="1">
      <c r="A49" s="72" t="s">
        <v>231</v>
      </c>
      <c r="B49" s="80" t="s">
        <v>232</v>
      </c>
      <c r="C49" s="74">
        <f>0</f>
        <v>0</v>
      </c>
      <c r="D49" s="75">
        <f>0</f>
        <v>0</v>
      </c>
      <c r="E49" s="75">
        <f>0</f>
        <v>0</v>
      </c>
      <c r="F49" s="76">
        <f>0</f>
        <v>0</v>
      </c>
      <c r="G49" s="77">
        <f>0</f>
        <v>0</v>
      </c>
      <c r="H49" s="78">
        <f>0</f>
        <v>0</v>
      </c>
      <c r="I49" s="78">
        <f>0</f>
        <v>0</v>
      </c>
      <c r="J49" s="78">
        <f>0</f>
        <v>0</v>
      </c>
      <c r="K49" s="78">
        <f>0</f>
        <v>0</v>
      </c>
      <c r="L49" s="78">
        <f>0</f>
        <v>0</v>
      </c>
      <c r="M49" s="78">
        <f>792809</f>
        <v>792809</v>
      </c>
      <c r="N49" s="78">
        <f>792810</f>
        <v>792810</v>
      </c>
      <c r="O49" s="78">
        <f>0</f>
        <v>0</v>
      </c>
      <c r="P49" s="78">
        <f>0</f>
        <v>0</v>
      </c>
      <c r="Q49" s="78">
        <f>0</f>
        <v>0</v>
      </c>
      <c r="R49" s="78">
        <f>0</f>
        <v>0</v>
      </c>
      <c r="S49" s="78">
        <f>0</f>
        <v>0</v>
      </c>
      <c r="T49" s="78">
        <f>0</f>
        <v>0</v>
      </c>
      <c r="U49" s="78">
        <f>0</f>
        <v>0</v>
      </c>
    </row>
    <row r="50" spans="1:21" ht="18" customHeight="1">
      <c r="A50" s="72" t="s">
        <v>233</v>
      </c>
      <c r="B50" s="73" t="s">
        <v>234</v>
      </c>
      <c r="C50" s="74">
        <f>0</f>
        <v>0</v>
      </c>
      <c r="D50" s="75">
        <f>0</f>
        <v>0</v>
      </c>
      <c r="E50" s="75">
        <f>0</f>
        <v>0</v>
      </c>
      <c r="F50" s="76">
        <f>0</f>
        <v>0</v>
      </c>
      <c r="G50" s="77">
        <f>0</f>
        <v>0</v>
      </c>
      <c r="H50" s="78">
        <f>0</f>
        <v>0</v>
      </c>
      <c r="I50" s="78">
        <f>0</f>
        <v>0</v>
      </c>
      <c r="J50" s="78">
        <f>0</f>
        <v>0</v>
      </c>
      <c r="K50" s="78">
        <f>0</f>
        <v>0</v>
      </c>
      <c r="L50" s="78">
        <f>0</f>
        <v>0</v>
      </c>
      <c r="M50" s="78">
        <f>0</f>
        <v>0</v>
      </c>
      <c r="N50" s="78">
        <f>0</f>
        <v>0</v>
      </c>
      <c r="O50" s="78">
        <f>0</f>
        <v>0</v>
      </c>
      <c r="P50" s="78">
        <f>0</f>
        <v>0</v>
      </c>
      <c r="Q50" s="78">
        <f>0</f>
        <v>0</v>
      </c>
      <c r="R50" s="78">
        <f>0</f>
        <v>0</v>
      </c>
      <c r="S50" s="78">
        <f>0</f>
        <v>0</v>
      </c>
      <c r="T50" s="78">
        <f>0</f>
        <v>0</v>
      </c>
      <c r="U50" s="78">
        <f>0</f>
        <v>0</v>
      </c>
    </row>
    <row r="51" spans="1:21" ht="18" customHeight="1">
      <c r="A51" s="89" t="s">
        <v>235</v>
      </c>
      <c r="B51" s="82" t="s">
        <v>236</v>
      </c>
      <c r="C51" s="83">
        <f>50127167.81</f>
        <v>50127167.810000002</v>
      </c>
      <c r="D51" s="84">
        <f>51474135.93</f>
        <v>51474135.93</v>
      </c>
      <c r="E51" s="84">
        <f>53564762</f>
        <v>53564762</v>
      </c>
      <c r="F51" s="85">
        <f>53564762.05</f>
        <v>53564762.049999997</v>
      </c>
      <c r="G51" s="86">
        <f>63368000</f>
        <v>63368000</v>
      </c>
      <c r="H51" s="87">
        <f>61926000</f>
        <v>61926000</v>
      </c>
      <c r="I51" s="87">
        <f>60344000</f>
        <v>60344000</v>
      </c>
      <c r="J51" s="87">
        <f>55872000</f>
        <v>55872000</v>
      </c>
      <c r="K51" s="87">
        <f>50200000</f>
        <v>50200000</v>
      </c>
      <c r="L51" s="87">
        <f>44660000</f>
        <v>44660000</v>
      </c>
      <c r="M51" s="87">
        <f>37960000</f>
        <v>37960000</v>
      </c>
      <c r="N51" s="87">
        <f>31260000</f>
        <v>31260000</v>
      </c>
      <c r="O51" s="87">
        <f>25260000</f>
        <v>25260000</v>
      </c>
      <c r="P51" s="87">
        <f>19680000</f>
        <v>19680000</v>
      </c>
      <c r="Q51" s="87">
        <f>13080000</f>
        <v>13080000</v>
      </c>
      <c r="R51" s="87">
        <f>9040000</f>
        <v>9040000</v>
      </c>
      <c r="S51" s="87">
        <f>5000000</f>
        <v>5000000</v>
      </c>
      <c r="T51" s="87">
        <f>2500000</f>
        <v>2500000</v>
      </c>
      <c r="U51" s="87">
        <f>0</f>
        <v>0</v>
      </c>
    </row>
    <row r="52" spans="1:21" ht="30.75" customHeight="1">
      <c r="A52" s="72" t="s">
        <v>237</v>
      </c>
      <c r="B52" s="73" t="s">
        <v>238</v>
      </c>
      <c r="C52" s="74">
        <f>1964285.81</f>
        <v>1964285.81</v>
      </c>
      <c r="D52" s="75">
        <f>1309523.93</f>
        <v>1309523.93</v>
      </c>
      <c r="E52" s="75">
        <f>654761.93</f>
        <v>654761.93000000005</v>
      </c>
      <c r="F52" s="76">
        <f>654762.05</f>
        <v>654762.05000000005</v>
      </c>
      <c r="G52" s="77">
        <f>0</f>
        <v>0</v>
      </c>
      <c r="H52" s="78">
        <f>0</f>
        <v>0</v>
      </c>
      <c r="I52" s="78">
        <f>0</f>
        <v>0</v>
      </c>
      <c r="J52" s="78">
        <f>0</f>
        <v>0</v>
      </c>
      <c r="K52" s="78">
        <f>0</f>
        <v>0</v>
      </c>
      <c r="L52" s="78">
        <f>0</f>
        <v>0</v>
      </c>
      <c r="M52" s="78">
        <f>0</f>
        <v>0</v>
      </c>
      <c r="N52" s="78">
        <f>0</f>
        <v>0</v>
      </c>
      <c r="O52" s="78">
        <f>0</f>
        <v>0</v>
      </c>
      <c r="P52" s="78">
        <f>0</f>
        <v>0</v>
      </c>
      <c r="Q52" s="78">
        <f>0</f>
        <v>0</v>
      </c>
      <c r="R52" s="78">
        <f>0</f>
        <v>0</v>
      </c>
      <c r="S52" s="78">
        <f>0</f>
        <v>0</v>
      </c>
      <c r="T52" s="78">
        <f>0</f>
        <v>0</v>
      </c>
      <c r="U52" s="78">
        <f>0</f>
        <v>0</v>
      </c>
    </row>
    <row r="53" spans="1:21" ht="31.5" customHeight="1">
      <c r="A53" s="81">
        <v>7</v>
      </c>
      <c r="B53" s="82" t="s">
        <v>239</v>
      </c>
      <c r="C53" s="90" t="s">
        <v>240</v>
      </c>
      <c r="D53" s="91" t="s">
        <v>240</v>
      </c>
      <c r="E53" s="91" t="s">
        <v>240</v>
      </c>
      <c r="F53" s="92" t="s">
        <v>240</v>
      </c>
      <c r="G53" s="93" t="s">
        <v>240</v>
      </c>
      <c r="H53" s="94" t="s">
        <v>240</v>
      </c>
      <c r="I53" s="94" t="s">
        <v>240</v>
      </c>
      <c r="J53" s="94" t="s">
        <v>240</v>
      </c>
      <c r="K53" s="94" t="s">
        <v>240</v>
      </c>
      <c r="L53" s="94" t="s">
        <v>240</v>
      </c>
      <c r="M53" s="94" t="s">
        <v>240</v>
      </c>
      <c r="N53" s="94" t="s">
        <v>240</v>
      </c>
      <c r="O53" s="94" t="s">
        <v>240</v>
      </c>
      <c r="P53" s="94" t="s">
        <v>240</v>
      </c>
      <c r="Q53" s="94" t="s">
        <v>240</v>
      </c>
      <c r="R53" s="94" t="s">
        <v>240</v>
      </c>
      <c r="S53" s="94" t="s">
        <v>240</v>
      </c>
      <c r="T53" s="94" t="s">
        <v>240</v>
      </c>
      <c r="U53" s="94" t="s">
        <v>240</v>
      </c>
    </row>
    <row r="54" spans="1:21" ht="32.25" customHeight="1">
      <c r="A54" s="95" t="s">
        <v>241</v>
      </c>
      <c r="B54" s="96" t="s">
        <v>242</v>
      </c>
      <c r="C54" s="74">
        <f>12233922.28</f>
        <v>12233922.279999999</v>
      </c>
      <c r="D54" s="75">
        <f>13758395.25</f>
        <v>13758395.25</v>
      </c>
      <c r="E54" s="75">
        <f>3958710</f>
        <v>3958710</v>
      </c>
      <c r="F54" s="76">
        <f>15891502.19</f>
        <v>15891502.189999999</v>
      </c>
      <c r="G54" s="77">
        <f>-688132</f>
        <v>-688132</v>
      </c>
      <c r="H54" s="78">
        <f>7159274</f>
        <v>7159274</v>
      </c>
      <c r="I54" s="78">
        <f>10321424</f>
        <v>10321424</v>
      </c>
      <c r="J54" s="78">
        <f>14056201</f>
        <v>14056201</v>
      </c>
      <c r="K54" s="78">
        <f>14688959</f>
        <v>14688959</v>
      </c>
      <c r="L54" s="78">
        <f>15968587</f>
        <v>15968587</v>
      </c>
      <c r="M54" s="78">
        <f>17576186</f>
        <v>17576186</v>
      </c>
      <c r="N54" s="78">
        <f>19081065</f>
        <v>19081065</v>
      </c>
      <c r="O54" s="78">
        <f>19284272</f>
        <v>19284272</v>
      </c>
      <c r="P54" s="78">
        <f>20532492</f>
        <v>20532492</v>
      </c>
      <c r="Q54" s="78">
        <f>21629312</f>
        <v>21629312</v>
      </c>
      <c r="R54" s="78">
        <f>24538349</f>
        <v>24538349</v>
      </c>
      <c r="S54" s="78">
        <f>25238138</f>
        <v>25238138</v>
      </c>
      <c r="T54" s="78">
        <f>25725910</f>
        <v>25725910</v>
      </c>
      <c r="U54" s="78">
        <f>25986569</f>
        <v>25986569</v>
      </c>
    </row>
    <row r="55" spans="1:21" ht="36">
      <c r="A55" s="72" t="s">
        <v>243</v>
      </c>
      <c r="B55" s="73" t="s">
        <v>244</v>
      </c>
      <c r="C55" s="74">
        <f>18724087.64</f>
        <v>18724087.640000001</v>
      </c>
      <c r="D55" s="75">
        <f>18675952.97</f>
        <v>18675952.969999999</v>
      </c>
      <c r="E55" s="75">
        <f>12112894</f>
        <v>12112894</v>
      </c>
      <c r="F55" s="76">
        <f>28231004.49</f>
        <v>28231004.489999998</v>
      </c>
      <c r="G55" s="77">
        <f>7861214</f>
        <v>7861214</v>
      </c>
      <c r="H55" s="78">
        <f>7159274</f>
        <v>7159274</v>
      </c>
      <c r="I55" s="78">
        <f>10321424</f>
        <v>10321424</v>
      </c>
      <c r="J55" s="78">
        <f>14056201</f>
        <v>14056201</v>
      </c>
      <c r="K55" s="78">
        <f>14688959</f>
        <v>14688959</v>
      </c>
      <c r="L55" s="78">
        <f>15968587</f>
        <v>15968587</v>
      </c>
      <c r="M55" s="78">
        <f>17576186</f>
        <v>17576186</v>
      </c>
      <c r="N55" s="78">
        <f>19081065</f>
        <v>19081065</v>
      </c>
      <c r="O55" s="78">
        <f>19284272</f>
        <v>19284272</v>
      </c>
      <c r="P55" s="78">
        <f>20532492</f>
        <v>20532492</v>
      </c>
      <c r="Q55" s="78">
        <f>21629312</f>
        <v>21629312</v>
      </c>
      <c r="R55" s="78">
        <f>24538349</f>
        <v>24538349</v>
      </c>
      <c r="S55" s="78">
        <f>25238138</f>
        <v>25238138</v>
      </c>
      <c r="T55" s="78">
        <f>25725910</f>
        <v>25725910</v>
      </c>
      <c r="U55" s="78">
        <f>25986569</f>
        <v>25986569</v>
      </c>
    </row>
    <row r="56" spans="1:21" ht="18" customHeight="1">
      <c r="A56" s="81">
        <v>8</v>
      </c>
      <c r="B56" s="82" t="s">
        <v>245</v>
      </c>
      <c r="C56" s="90" t="s">
        <v>240</v>
      </c>
      <c r="D56" s="91" t="s">
        <v>240</v>
      </c>
      <c r="E56" s="91" t="s">
        <v>240</v>
      </c>
      <c r="F56" s="92" t="s">
        <v>240</v>
      </c>
      <c r="G56" s="93" t="s">
        <v>240</v>
      </c>
      <c r="H56" s="94" t="s">
        <v>240</v>
      </c>
      <c r="I56" s="94" t="s">
        <v>240</v>
      </c>
      <c r="J56" s="94" t="s">
        <v>240</v>
      </c>
      <c r="K56" s="94" t="s">
        <v>240</v>
      </c>
      <c r="L56" s="94" t="s">
        <v>240</v>
      </c>
      <c r="M56" s="94" t="s">
        <v>240</v>
      </c>
      <c r="N56" s="94" t="s">
        <v>240</v>
      </c>
      <c r="O56" s="94" t="s">
        <v>240</v>
      </c>
      <c r="P56" s="94" t="s">
        <v>240</v>
      </c>
      <c r="Q56" s="94" t="s">
        <v>240</v>
      </c>
      <c r="R56" s="94" t="s">
        <v>240</v>
      </c>
      <c r="S56" s="94" t="s">
        <v>240</v>
      </c>
      <c r="T56" s="94" t="s">
        <v>240</v>
      </c>
      <c r="U56" s="94" t="s">
        <v>240</v>
      </c>
    </row>
    <row r="57" spans="1:21" ht="90.75" customHeight="1">
      <c r="A57" s="72" t="s">
        <v>246</v>
      </c>
      <c r="B57" s="73" t="s">
        <v>247</v>
      </c>
      <c r="C57" s="90" t="s">
        <v>240</v>
      </c>
      <c r="D57" s="91" t="s">
        <v>240</v>
      </c>
      <c r="E57" s="91" t="s">
        <v>240</v>
      </c>
      <c r="F57" s="92" t="s">
        <v>240</v>
      </c>
      <c r="G57" s="97">
        <f>0.065</f>
        <v>6.5000000000000002E-2</v>
      </c>
      <c r="H57" s="98">
        <f>0.0629</f>
        <v>6.2899999999999998E-2</v>
      </c>
      <c r="I57" s="98">
        <f>0.0579</f>
        <v>5.79E-2</v>
      </c>
      <c r="J57" s="98">
        <f>0.0395</f>
        <v>3.95E-2</v>
      </c>
      <c r="K57" s="98">
        <f>0.0504</f>
        <v>5.04E-2</v>
      </c>
      <c r="L57" s="98">
        <f>0.049</f>
        <v>4.9000000000000002E-2</v>
      </c>
      <c r="M57" s="98">
        <f>0.0492</f>
        <v>4.9200000000000001E-2</v>
      </c>
      <c r="N57" s="98">
        <f>0.047</f>
        <v>4.7E-2</v>
      </c>
      <c r="O57" s="98">
        <f>0.0516</f>
        <v>5.16E-2</v>
      </c>
      <c r="P57" s="98">
        <f>0.047</f>
        <v>4.7E-2</v>
      </c>
      <c r="Q57" s="98">
        <f>0.0508</f>
        <v>5.0799999999999998E-2</v>
      </c>
      <c r="R57" s="98">
        <f>0.0236</f>
        <v>2.3599999999999999E-2</v>
      </c>
      <c r="S57" s="98">
        <f>0.0226</f>
        <v>2.2599999999999999E-2</v>
      </c>
      <c r="T57" s="98">
        <f>0.0136</f>
        <v>1.3599999999999999E-2</v>
      </c>
      <c r="U57" s="98">
        <f>0.013</f>
        <v>1.2999999999999999E-2</v>
      </c>
    </row>
    <row r="58" spans="1:21" ht="18" customHeight="1">
      <c r="A58" s="72" t="s">
        <v>248</v>
      </c>
      <c r="B58" s="79" t="s">
        <v>248</v>
      </c>
      <c r="C58" s="90" t="s">
        <v>240</v>
      </c>
      <c r="D58" s="91" t="s">
        <v>240</v>
      </c>
      <c r="E58" s="91" t="s">
        <v>240</v>
      </c>
      <c r="F58" s="92" t="s">
        <v>240</v>
      </c>
      <c r="G58" s="97">
        <f>0.065</f>
        <v>6.5000000000000002E-2</v>
      </c>
      <c r="H58" s="98">
        <f>0.0629</f>
        <v>6.2899999999999998E-2</v>
      </c>
      <c r="I58" s="98">
        <f>0.0579</f>
        <v>5.79E-2</v>
      </c>
      <c r="J58" s="98">
        <f>0.0395</f>
        <v>3.95E-2</v>
      </c>
      <c r="K58" s="98">
        <f>0.0504</f>
        <v>5.04E-2</v>
      </c>
      <c r="L58" s="98">
        <f>0.049</f>
        <v>4.9000000000000002E-2</v>
      </c>
      <c r="M58" s="98">
        <f>0.0492</f>
        <v>4.9200000000000001E-2</v>
      </c>
      <c r="N58" s="98">
        <f>0.047</f>
        <v>4.7E-2</v>
      </c>
      <c r="O58" s="98">
        <f>0.0516</f>
        <v>5.16E-2</v>
      </c>
      <c r="P58" s="98">
        <f>0.047</f>
        <v>4.7E-2</v>
      </c>
      <c r="Q58" s="98">
        <f>0.0508</f>
        <v>5.0799999999999998E-2</v>
      </c>
      <c r="R58" s="98">
        <f>0.0236</f>
        <v>2.3599999999999999E-2</v>
      </c>
      <c r="S58" s="98">
        <f>0.0226</f>
        <v>2.2599999999999999E-2</v>
      </c>
      <c r="T58" s="98">
        <f>0.0136</f>
        <v>1.3599999999999999E-2</v>
      </c>
      <c r="U58" s="98">
        <f>0.013</f>
        <v>1.2999999999999999E-2</v>
      </c>
    </row>
    <row r="59" spans="1:21" ht="18" customHeight="1">
      <c r="A59" s="72" t="s">
        <v>249</v>
      </c>
      <c r="B59" s="79" t="s">
        <v>249</v>
      </c>
      <c r="C59" s="90" t="s">
        <v>240</v>
      </c>
      <c r="D59" s="91" t="s">
        <v>240</v>
      </c>
      <c r="E59" s="91" t="s">
        <v>240</v>
      </c>
      <c r="F59" s="92" t="s">
        <v>240</v>
      </c>
      <c r="G59" s="97">
        <f>0.065</f>
        <v>6.5000000000000002E-2</v>
      </c>
      <c r="H59" s="98">
        <f>0.0629</f>
        <v>6.2899999999999998E-2</v>
      </c>
      <c r="I59" s="98">
        <f>0.0579</f>
        <v>5.79E-2</v>
      </c>
      <c r="J59" s="98">
        <f>0.0395</f>
        <v>3.95E-2</v>
      </c>
      <c r="K59" s="98">
        <f>0.0504</f>
        <v>5.04E-2</v>
      </c>
      <c r="L59" s="98">
        <f>0.049</f>
        <v>4.9000000000000002E-2</v>
      </c>
      <c r="M59" s="98">
        <f>0.0492</f>
        <v>4.9200000000000001E-2</v>
      </c>
      <c r="N59" s="98">
        <f>0.047</f>
        <v>4.7E-2</v>
      </c>
      <c r="O59" s="98">
        <f>0.0516</f>
        <v>5.16E-2</v>
      </c>
      <c r="P59" s="98">
        <f>0.047</f>
        <v>4.7E-2</v>
      </c>
      <c r="Q59" s="98">
        <f>0.0508</f>
        <v>5.0799999999999998E-2</v>
      </c>
      <c r="R59" s="98">
        <f>0.0236</f>
        <v>2.3599999999999999E-2</v>
      </c>
      <c r="S59" s="98">
        <f>0.0226</f>
        <v>2.2599999999999999E-2</v>
      </c>
      <c r="T59" s="98">
        <f>0.0136</f>
        <v>1.3599999999999999E-2</v>
      </c>
      <c r="U59" s="98">
        <f>0.013</f>
        <v>1.2999999999999999E-2</v>
      </c>
    </row>
    <row r="60" spans="1:21" ht="54.75" customHeight="1">
      <c r="A60" s="72" t="s">
        <v>250</v>
      </c>
      <c r="B60" s="73" t="s">
        <v>251</v>
      </c>
      <c r="C60" s="99">
        <f>0.1208</f>
        <v>0.1208</v>
      </c>
      <c r="D60" s="100">
        <f>0.1151</f>
        <v>0.11509999999999999</v>
      </c>
      <c r="E60" s="100">
        <f>0.0577</f>
        <v>5.7700000000000001E-2</v>
      </c>
      <c r="F60" s="101">
        <f>0.1338</f>
        <v>0.1338</v>
      </c>
      <c r="G60" s="97">
        <f>0.0179</f>
        <v>1.7899999999999999E-2</v>
      </c>
      <c r="H60" s="98">
        <f>0.0595</f>
        <v>5.9499999999999997E-2</v>
      </c>
      <c r="I60" s="98">
        <f>0.0803</f>
        <v>8.0299999999999996E-2</v>
      </c>
      <c r="J60" s="98">
        <f>0.104</f>
        <v>0.104</v>
      </c>
      <c r="K60" s="98">
        <f>0.1048</f>
        <v>0.1048</v>
      </c>
      <c r="L60" s="98">
        <f>0.1095</f>
        <v>0.1095</v>
      </c>
      <c r="M60" s="98">
        <f>0.1159</f>
        <v>0.1159</v>
      </c>
      <c r="N60" s="98">
        <f>0.1213</f>
        <v>0.12130000000000001</v>
      </c>
      <c r="O60" s="98">
        <f>0.1187</f>
        <v>0.1187</v>
      </c>
      <c r="P60" s="98">
        <f>0.1223</f>
        <v>0.12230000000000001</v>
      </c>
      <c r="Q60" s="98">
        <f>0.1249</f>
        <v>0.1249</v>
      </c>
      <c r="R60" s="98">
        <f>0.1374</f>
        <v>0.13739999999999999</v>
      </c>
      <c r="S60" s="98">
        <f>0.1374</f>
        <v>0.13739999999999999</v>
      </c>
      <c r="T60" s="98">
        <f>0.1364</f>
        <v>0.13639999999999999</v>
      </c>
      <c r="U60" s="98">
        <f>0.1344</f>
        <v>0.13439999999999999</v>
      </c>
    </row>
    <row r="61" spans="1:21" ht="18" customHeight="1">
      <c r="A61" s="72" t="s">
        <v>252</v>
      </c>
      <c r="B61" s="79" t="s">
        <v>252</v>
      </c>
      <c r="C61" s="99">
        <f>0.1293</f>
        <v>0.1293</v>
      </c>
      <c r="D61" s="100">
        <f>0.1442</f>
        <v>0.14419999999999999</v>
      </c>
      <c r="E61" s="100">
        <f>0.0976</f>
        <v>9.7600000000000006E-2</v>
      </c>
      <c r="F61" s="101">
        <f>0.1464</f>
        <v>0.1464</v>
      </c>
      <c r="G61" s="97">
        <f>0.0554</f>
        <v>5.5399999999999998E-2</v>
      </c>
      <c r="H61" s="98">
        <f>0.0817</f>
        <v>8.1699999999999995E-2</v>
      </c>
      <c r="I61" s="98">
        <f>0.0947</f>
        <v>9.4700000000000006E-2</v>
      </c>
      <c r="J61" s="98">
        <f>0.111</f>
        <v>0.111</v>
      </c>
      <c r="K61" s="98">
        <f>0</f>
        <v>0</v>
      </c>
      <c r="L61" s="98">
        <f>0</f>
        <v>0</v>
      </c>
      <c r="M61" s="98">
        <f>0</f>
        <v>0</v>
      </c>
      <c r="N61" s="98">
        <f>0</f>
        <v>0</v>
      </c>
      <c r="O61" s="98">
        <f>0</f>
        <v>0</v>
      </c>
      <c r="P61" s="98">
        <f>0</f>
        <v>0</v>
      </c>
      <c r="Q61" s="98">
        <f>0</f>
        <v>0</v>
      </c>
      <c r="R61" s="98">
        <f>0</f>
        <v>0</v>
      </c>
      <c r="S61" s="98">
        <f>0</f>
        <v>0</v>
      </c>
      <c r="T61" s="98">
        <f>0</f>
        <v>0</v>
      </c>
      <c r="U61" s="98">
        <f>0</f>
        <v>0</v>
      </c>
    </row>
    <row r="62" spans="1:21" ht="18" customHeight="1">
      <c r="A62" s="72" t="s">
        <v>253</v>
      </c>
      <c r="B62" s="79" t="s">
        <v>253</v>
      </c>
      <c r="C62" s="99">
        <f>0.1208</f>
        <v>0.1208</v>
      </c>
      <c r="D62" s="100">
        <f>0.1151</f>
        <v>0.11509999999999999</v>
      </c>
      <c r="E62" s="100">
        <f>0.0577</f>
        <v>5.7700000000000001E-2</v>
      </c>
      <c r="F62" s="101">
        <f>0.1338</f>
        <v>0.1338</v>
      </c>
      <c r="G62" s="97">
        <f>0.0179</f>
        <v>1.7899999999999999E-2</v>
      </c>
      <c r="H62" s="98">
        <f>0.0595</f>
        <v>5.9499999999999997E-2</v>
      </c>
      <c r="I62" s="98">
        <f>0.0803</f>
        <v>8.0299999999999996E-2</v>
      </c>
      <c r="J62" s="98">
        <f>0.104</f>
        <v>0.104</v>
      </c>
      <c r="K62" s="98">
        <f>0.1048</f>
        <v>0.1048</v>
      </c>
      <c r="L62" s="98">
        <f>0.1095</f>
        <v>0.1095</v>
      </c>
      <c r="M62" s="98">
        <f>0.1159</f>
        <v>0.1159</v>
      </c>
      <c r="N62" s="98">
        <f>0.1213</f>
        <v>0.12130000000000001</v>
      </c>
      <c r="O62" s="98">
        <f>0.1187</f>
        <v>0.1187</v>
      </c>
      <c r="P62" s="98">
        <f>0.1223</f>
        <v>0.12230000000000001</v>
      </c>
      <c r="Q62" s="98">
        <f>0.1249</f>
        <v>0.1249</v>
      </c>
      <c r="R62" s="98">
        <f>0.1374</f>
        <v>0.13739999999999999</v>
      </c>
      <c r="S62" s="98">
        <f>0.1374</f>
        <v>0.13739999999999999</v>
      </c>
      <c r="T62" s="98">
        <f>0.1364</f>
        <v>0.13639999999999999</v>
      </c>
      <c r="U62" s="98">
        <f>0.1344</f>
        <v>0.13439999999999999</v>
      </c>
    </row>
    <row r="63" spans="1:21" ht="108.75" customHeight="1">
      <c r="A63" s="72" t="s">
        <v>254</v>
      </c>
      <c r="B63" s="73" t="s">
        <v>255</v>
      </c>
      <c r="C63" s="90" t="s">
        <v>240</v>
      </c>
      <c r="D63" s="91" t="s">
        <v>240</v>
      </c>
      <c r="E63" s="91" t="s">
        <v>240</v>
      </c>
      <c r="F63" s="92" t="s">
        <v>240</v>
      </c>
      <c r="G63" s="97">
        <f>0.1237</f>
        <v>0.1237</v>
      </c>
      <c r="H63" s="98">
        <f>0.0991</f>
        <v>9.9099999999999994E-2</v>
      </c>
      <c r="I63" s="98">
        <f>0.0782</f>
        <v>7.8200000000000006E-2</v>
      </c>
      <c r="J63" s="98">
        <f>0.0773</f>
        <v>7.7299999999999994E-2</v>
      </c>
      <c r="K63" s="98">
        <f>0.0958</f>
        <v>9.5799999999999996E-2</v>
      </c>
      <c r="L63" s="98">
        <f>0.077</f>
        <v>7.6999999999999999E-2</v>
      </c>
      <c r="M63" s="98">
        <f>0.0762</f>
        <v>7.6200000000000004E-2</v>
      </c>
      <c r="N63" s="98">
        <f>0.0846</f>
        <v>8.4599999999999995E-2</v>
      </c>
      <c r="O63" s="98">
        <f>0.0993</f>
        <v>9.9299999999999999E-2</v>
      </c>
      <c r="P63" s="98">
        <f>0.1078</f>
        <v>0.10780000000000001</v>
      </c>
      <c r="Q63" s="98">
        <f>0.1138</f>
        <v>0.1138</v>
      </c>
      <c r="R63" s="98">
        <f>0.1168</f>
        <v>0.1168</v>
      </c>
      <c r="S63" s="98">
        <f>0.1214</f>
        <v>0.12139999999999999</v>
      </c>
      <c r="T63" s="98">
        <f>0.1254</f>
        <v>0.12540000000000001</v>
      </c>
      <c r="U63" s="98">
        <f>0.1283</f>
        <v>0.1283</v>
      </c>
    </row>
    <row r="64" spans="1:21" ht="108.75" customHeight="1">
      <c r="A64" s="72" t="s">
        <v>256</v>
      </c>
      <c r="B64" s="79" t="s">
        <v>257</v>
      </c>
      <c r="C64" s="90" t="s">
        <v>240</v>
      </c>
      <c r="D64" s="91" t="s">
        <v>240</v>
      </c>
      <c r="E64" s="91" t="s">
        <v>240</v>
      </c>
      <c r="F64" s="92" t="s">
        <v>240</v>
      </c>
      <c r="G64" s="97">
        <f>0.14</f>
        <v>0.14000000000000001</v>
      </c>
      <c r="H64" s="98">
        <f>0.1153</f>
        <v>0.1153</v>
      </c>
      <c r="I64" s="98">
        <f>0.0945</f>
        <v>9.4500000000000001E-2</v>
      </c>
      <c r="J64" s="98">
        <f>0.0773</f>
        <v>7.7299999999999994E-2</v>
      </c>
      <c r="K64" s="98">
        <f>0.0958</f>
        <v>9.5799999999999996E-2</v>
      </c>
      <c r="L64" s="98">
        <f>0.0879</f>
        <v>8.7900000000000006E-2</v>
      </c>
      <c r="M64" s="98">
        <f>0.0871</f>
        <v>8.7099999999999997E-2</v>
      </c>
      <c r="N64" s="98">
        <f>0.0846</f>
        <v>8.4599999999999995E-2</v>
      </c>
      <c r="O64" s="98">
        <f>0.0993</f>
        <v>9.9299999999999999E-2</v>
      </c>
      <c r="P64" s="98">
        <f>0.1078</f>
        <v>0.10780000000000001</v>
      </c>
      <c r="Q64" s="98">
        <f>0.1138</f>
        <v>0.1138</v>
      </c>
      <c r="R64" s="98">
        <f>0.1168</f>
        <v>0.1168</v>
      </c>
      <c r="S64" s="98">
        <f>0.1214</f>
        <v>0.12139999999999999</v>
      </c>
      <c r="T64" s="98">
        <f>0.1254</f>
        <v>0.12540000000000001</v>
      </c>
      <c r="U64" s="98">
        <f>0.1283</f>
        <v>0.1283</v>
      </c>
    </row>
    <row r="65" spans="1:21" ht="104.25" customHeight="1">
      <c r="A65" s="72" t="s">
        <v>258</v>
      </c>
      <c r="B65" s="73" t="s">
        <v>259</v>
      </c>
      <c r="C65" s="90" t="s">
        <v>240</v>
      </c>
      <c r="D65" s="91" t="s">
        <v>240</v>
      </c>
      <c r="E65" s="91" t="s">
        <v>240</v>
      </c>
      <c r="F65" s="92" t="s">
        <v>240</v>
      </c>
      <c r="G65" s="102" t="str">
        <f t="shared" ref="G65:U65" si="1">IF(G$57&lt;=G$63,"Spełniona","Nie spełniona")</f>
        <v>Spełniona</v>
      </c>
      <c r="H65" s="103" t="str">
        <f t="shared" si="1"/>
        <v>Spełniona</v>
      </c>
      <c r="I65" s="103" t="str">
        <f t="shared" si="1"/>
        <v>Spełniona</v>
      </c>
      <c r="J65" s="103" t="str">
        <f t="shared" si="1"/>
        <v>Spełniona</v>
      </c>
      <c r="K65" s="103" t="str">
        <f t="shared" si="1"/>
        <v>Spełniona</v>
      </c>
      <c r="L65" s="103" t="str">
        <f t="shared" si="1"/>
        <v>Spełniona</v>
      </c>
      <c r="M65" s="103" t="str">
        <f t="shared" si="1"/>
        <v>Spełniona</v>
      </c>
      <c r="N65" s="103" t="str">
        <f t="shared" si="1"/>
        <v>Spełniona</v>
      </c>
      <c r="O65" s="103" t="str">
        <f t="shared" si="1"/>
        <v>Spełniona</v>
      </c>
      <c r="P65" s="103" t="str">
        <f t="shared" si="1"/>
        <v>Spełniona</v>
      </c>
      <c r="Q65" s="103" t="str">
        <f t="shared" si="1"/>
        <v>Spełniona</v>
      </c>
      <c r="R65" s="103" t="str">
        <f t="shared" si="1"/>
        <v>Spełniona</v>
      </c>
      <c r="S65" s="103" t="str">
        <f t="shared" si="1"/>
        <v>Spełniona</v>
      </c>
      <c r="T65" s="103" t="str">
        <f t="shared" si="1"/>
        <v>Spełniona</v>
      </c>
      <c r="U65" s="103" t="str">
        <f t="shared" si="1"/>
        <v>Spełniona</v>
      </c>
    </row>
    <row r="66" spans="1:21" ht="102.75" customHeight="1">
      <c r="A66" s="72" t="s">
        <v>260</v>
      </c>
      <c r="B66" s="79" t="s">
        <v>261</v>
      </c>
      <c r="C66" s="90" t="s">
        <v>240</v>
      </c>
      <c r="D66" s="91" t="s">
        <v>240</v>
      </c>
      <c r="E66" s="91" t="s">
        <v>240</v>
      </c>
      <c r="F66" s="92" t="s">
        <v>240</v>
      </c>
      <c r="G66" s="102" t="str">
        <f t="shared" ref="G66:U66" si="2">IF(G$57&lt;=G$64,"Spełniona","Nie spełniona")</f>
        <v>Spełniona</v>
      </c>
      <c r="H66" s="103" t="str">
        <f t="shared" si="2"/>
        <v>Spełniona</v>
      </c>
      <c r="I66" s="103" t="str">
        <f t="shared" si="2"/>
        <v>Spełniona</v>
      </c>
      <c r="J66" s="103" t="str">
        <f t="shared" si="2"/>
        <v>Spełniona</v>
      </c>
      <c r="K66" s="103" t="str">
        <f t="shared" si="2"/>
        <v>Spełniona</v>
      </c>
      <c r="L66" s="103" t="str">
        <f t="shared" si="2"/>
        <v>Spełniona</v>
      </c>
      <c r="M66" s="103" t="str">
        <f t="shared" si="2"/>
        <v>Spełniona</v>
      </c>
      <c r="N66" s="103" t="str">
        <f t="shared" si="2"/>
        <v>Spełniona</v>
      </c>
      <c r="O66" s="103" t="str">
        <f t="shared" si="2"/>
        <v>Spełniona</v>
      </c>
      <c r="P66" s="103" t="str">
        <f t="shared" si="2"/>
        <v>Spełniona</v>
      </c>
      <c r="Q66" s="103" t="str">
        <f t="shared" si="2"/>
        <v>Spełniona</v>
      </c>
      <c r="R66" s="103" t="str">
        <f t="shared" si="2"/>
        <v>Spełniona</v>
      </c>
      <c r="S66" s="103" t="str">
        <f t="shared" si="2"/>
        <v>Spełniona</v>
      </c>
      <c r="T66" s="103" t="str">
        <f t="shared" si="2"/>
        <v>Spełniona</v>
      </c>
      <c r="U66" s="103" t="str">
        <f t="shared" si="2"/>
        <v>Spełniona</v>
      </c>
    </row>
    <row r="67" spans="1:21" ht="18.75" customHeight="1">
      <c r="A67" s="72" t="s">
        <v>262</v>
      </c>
      <c r="B67" s="73" t="s">
        <v>263</v>
      </c>
      <c r="C67" s="90" t="s">
        <v>240</v>
      </c>
      <c r="D67" s="91" t="s">
        <v>240</v>
      </c>
      <c r="E67" s="91" t="s">
        <v>240</v>
      </c>
      <c r="F67" s="92" t="s">
        <v>240</v>
      </c>
      <c r="G67" s="97">
        <f>0.3836</f>
        <v>0.3836</v>
      </c>
      <c r="H67" s="98">
        <f>0.3854</f>
        <v>0.38540000000000002</v>
      </c>
      <c r="I67" s="98">
        <f>0.3651</f>
        <v>0.36509999999999998</v>
      </c>
      <c r="J67" s="98">
        <f>0.3287</f>
        <v>0.32869999999999999</v>
      </c>
      <c r="K67" s="98">
        <f>0.2882</f>
        <v>0.28820000000000001</v>
      </c>
      <c r="L67" s="98">
        <f>0.2538</f>
        <v>0.25380000000000003</v>
      </c>
      <c r="M67" s="98">
        <f>0.2099</f>
        <v>0.2099</v>
      </c>
      <c r="N67" s="98">
        <f>0.1682</f>
        <v>0.16819999999999999</v>
      </c>
      <c r="O67" s="98">
        <f>0.1322</f>
        <v>0.13220000000000001</v>
      </c>
      <c r="P67" s="98">
        <f>0.1002</f>
        <v>0.1002</v>
      </c>
      <c r="Q67" s="98">
        <f>0.0649</f>
        <v>6.4899999999999999E-2</v>
      </c>
      <c r="R67" s="98">
        <f>0.0437</f>
        <v>4.3700000000000003E-2</v>
      </c>
      <c r="S67" s="98">
        <f>0.0236</f>
        <v>2.3599999999999999E-2</v>
      </c>
      <c r="T67" s="98">
        <f>0.0115</f>
        <v>1.15E-2</v>
      </c>
      <c r="U67" s="98">
        <f>0</f>
        <v>0</v>
      </c>
    </row>
    <row r="68" spans="1:21" ht="99" customHeight="1">
      <c r="A68" s="72" t="s">
        <v>264</v>
      </c>
      <c r="B68" s="73" t="s">
        <v>265</v>
      </c>
      <c r="C68" s="90" t="s">
        <v>240</v>
      </c>
      <c r="D68" s="91" t="s">
        <v>240</v>
      </c>
      <c r="E68" s="91" t="s">
        <v>240</v>
      </c>
      <c r="F68" s="92" t="s">
        <v>240</v>
      </c>
      <c r="G68" s="97">
        <f>0.0651</f>
        <v>6.5100000000000005E-2</v>
      </c>
      <c r="H68" s="98">
        <f>0.0631</f>
        <v>6.3100000000000003E-2</v>
      </c>
      <c r="I68" s="98">
        <f>0.058</f>
        <v>5.8000000000000003E-2</v>
      </c>
      <c r="J68" s="98">
        <f>0.0396</f>
        <v>3.9600000000000003E-2</v>
      </c>
      <c r="K68" s="98">
        <f>0.0505</f>
        <v>5.0500000000000003E-2</v>
      </c>
      <c r="L68" s="98">
        <f>0.0491</f>
        <v>4.9099999999999998E-2</v>
      </c>
      <c r="M68" s="98">
        <f>0.0543</f>
        <v>5.4300000000000001E-2</v>
      </c>
      <c r="N68" s="98">
        <f>0.052</f>
        <v>5.1999999999999998E-2</v>
      </c>
      <c r="O68" s="98">
        <f>0.0516</f>
        <v>5.16E-2</v>
      </c>
      <c r="P68" s="98">
        <f>0.047</f>
        <v>4.7E-2</v>
      </c>
      <c r="Q68" s="98">
        <f>0.0508</f>
        <v>5.0799999999999998E-2</v>
      </c>
      <c r="R68" s="98">
        <f>0.0236</f>
        <v>2.3599999999999999E-2</v>
      </c>
      <c r="S68" s="98">
        <f>0.0226</f>
        <v>2.2599999999999999E-2</v>
      </c>
      <c r="T68" s="98">
        <f>0.0136</f>
        <v>1.3599999999999999E-2</v>
      </c>
      <c r="U68" s="98">
        <f>0.013</f>
        <v>1.2999999999999999E-2</v>
      </c>
    </row>
    <row r="69" spans="1:21" ht="105" customHeight="1">
      <c r="A69" s="72" t="s">
        <v>266</v>
      </c>
      <c r="B69" s="73" t="s">
        <v>267</v>
      </c>
      <c r="C69" s="90" t="s">
        <v>240</v>
      </c>
      <c r="D69" s="91" t="s">
        <v>240</v>
      </c>
      <c r="E69" s="91" t="s">
        <v>240</v>
      </c>
      <c r="F69" s="92" t="s">
        <v>240</v>
      </c>
      <c r="G69" s="102" t="str">
        <f t="shared" ref="G69:U69" si="3">IF(G$68&lt;=G$63,"Spełniona","Nie spełniona")</f>
        <v>Spełniona</v>
      </c>
      <c r="H69" s="103" t="str">
        <f t="shared" si="3"/>
        <v>Spełniona</v>
      </c>
      <c r="I69" s="103" t="str">
        <f t="shared" si="3"/>
        <v>Spełniona</v>
      </c>
      <c r="J69" s="103" t="str">
        <f t="shared" si="3"/>
        <v>Spełniona</v>
      </c>
      <c r="K69" s="103" t="str">
        <f t="shared" si="3"/>
        <v>Spełniona</v>
      </c>
      <c r="L69" s="103" t="str">
        <f t="shared" si="3"/>
        <v>Spełniona</v>
      </c>
      <c r="M69" s="103" t="str">
        <f t="shared" si="3"/>
        <v>Spełniona</v>
      </c>
      <c r="N69" s="103" t="str">
        <f t="shared" si="3"/>
        <v>Spełniona</v>
      </c>
      <c r="O69" s="103" t="str">
        <f t="shared" si="3"/>
        <v>Spełniona</v>
      </c>
      <c r="P69" s="103" t="str">
        <f t="shared" si="3"/>
        <v>Spełniona</v>
      </c>
      <c r="Q69" s="103" t="str">
        <f t="shared" si="3"/>
        <v>Spełniona</v>
      </c>
      <c r="R69" s="103" t="str">
        <f t="shared" si="3"/>
        <v>Spełniona</v>
      </c>
      <c r="S69" s="103" t="str">
        <f t="shared" si="3"/>
        <v>Spełniona</v>
      </c>
      <c r="T69" s="103" t="str">
        <f t="shared" si="3"/>
        <v>Spełniona</v>
      </c>
      <c r="U69" s="103" t="str">
        <f t="shared" si="3"/>
        <v>Spełniona</v>
      </c>
    </row>
    <row r="70" spans="1:21" ht="108" customHeight="1">
      <c r="A70" s="72" t="s">
        <v>268</v>
      </c>
      <c r="B70" s="79" t="s">
        <v>269</v>
      </c>
      <c r="C70" s="90" t="s">
        <v>240</v>
      </c>
      <c r="D70" s="91" t="s">
        <v>240</v>
      </c>
      <c r="E70" s="91" t="s">
        <v>240</v>
      </c>
      <c r="F70" s="92" t="s">
        <v>240</v>
      </c>
      <c r="G70" s="102" t="str">
        <f t="shared" ref="G70:U70" si="4">IF(G$68&lt;=G$64,"Spełniona","Nie spełniona")</f>
        <v>Spełniona</v>
      </c>
      <c r="H70" s="103" t="str">
        <f t="shared" si="4"/>
        <v>Spełniona</v>
      </c>
      <c r="I70" s="103" t="str">
        <f t="shared" si="4"/>
        <v>Spełniona</v>
      </c>
      <c r="J70" s="103" t="str">
        <f t="shared" si="4"/>
        <v>Spełniona</v>
      </c>
      <c r="K70" s="103" t="str">
        <f t="shared" si="4"/>
        <v>Spełniona</v>
      </c>
      <c r="L70" s="103" t="str">
        <f t="shared" si="4"/>
        <v>Spełniona</v>
      </c>
      <c r="M70" s="103" t="str">
        <f t="shared" si="4"/>
        <v>Spełniona</v>
      </c>
      <c r="N70" s="103" t="str">
        <f t="shared" si="4"/>
        <v>Spełniona</v>
      </c>
      <c r="O70" s="103" t="str">
        <f t="shared" si="4"/>
        <v>Spełniona</v>
      </c>
      <c r="P70" s="103" t="str">
        <f t="shared" si="4"/>
        <v>Spełniona</v>
      </c>
      <c r="Q70" s="103" t="str">
        <f t="shared" si="4"/>
        <v>Spełniona</v>
      </c>
      <c r="R70" s="103" t="str">
        <f t="shared" si="4"/>
        <v>Spełniona</v>
      </c>
      <c r="S70" s="103" t="str">
        <f t="shared" si="4"/>
        <v>Spełniona</v>
      </c>
      <c r="T70" s="103" t="str">
        <f t="shared" si="4"/>
        <v>Spełniona</v>
      </c>
      <c r="U70" s="103" t="str">
        <f t="shared" si="4"/>
        <v>Spełniona</v>
      </c>
    </row>
    <row r="71" spans="1:21" ht="45" customHeight="1">
      <c r="A71" s="81">
        <v>9</v>
      </c>
      <c r="B71" s="82" t="s">
        <v>270</v>
      </c>
      <c r="C71" s="90" t="s">
        <v>240</v>
      </c>
      <c r="D71" s="91" t="s">
        <v>240</v>
      </c>
      <c r="E71" s="91" t="s">
        <v>240</v>
      </c>
      <c r="F71" s="92" t="s">
        <v>240</v>
      </c>
      <c r="G71" s="93" t="s">
        <v>240</v>
      </c>
      <c r="H71" s="94" t="s">
        <v>240</v>
      </c>
      <c r="I71" s="94" t="s">
        <v>240</v>
      </c>
      <c r="J71" s="94" t="s">
        <v>240</v>
      </c>
      <c r="K71" s="94" t="s">
        <v>240</v>
      </c>
      <c r="L71" s="94" t="s">
        <v>240</v>
      </c>
      <c r="M71" s="94" t="s">
        <v>240</v>
      </c>
      <c r="N71" s="94" t="s">
        <v>240</v>
      </c>
      <c r="O71" s="94" t="s">
        <v>240</v>
      </c>
      <c r="P71" s="94" t="s">
        <v>240</v>
      </c>
      <c r="Q71" s="94" t="s">
        <v>240</v>
      </c>
      <c r="R71" s="94" t="s">
        <v>240</v>
      </c>
      <c r="S71" s="94" t="s">
        <v>240</v>
      </c>
      <c r="T71" s="94" t="s">
        <v>240</v>
      </c>
      <c r="U71" s="94" t="s">
        <v>240</v>
      </c>
    </row>
    <row r="72" spans="1:21" ht="49.5" customHeight="1">
      <c r="A72" s="72" t="s">
        <v>271</v>
      </c>
      <c r="B72" s="73" t="s">
        <v>272</v>
      </c>
      <c r="C72" s="74">
        <f>1625820.8</f>
        <v>1625820.8</v>
      </c>
      <c r="D72" s="75">
        <f>3845386.39</f>
        <v>3845386.39</v>
      </c>
      <c r="E72" s="75">
        <f>2248835</f>
        <v>2248835</v>
      </c>
      <c r="F72" s="76">
        <f>2512827.65</f>
        <v>2512827.65</v>
      </c>
      <c r="G72" s="77">
        <f>963137</f>
        <v>963137</v>
      </c>
      <c r="H72" s="78">
        <f>444516</f>
        <v>444516</v>
      </c>
      <c r="I72" s="78">
        <f>0</f>
        <v>0</v>
      </c>
      <c r="J72" s="78">
        <f>0</f>
        <v>0</v>
      </c>
      <c r="K72" s="78">
        <f>0</f>
        <v>0</v>
      </c>
      <c r="L72" s="78">
        <f>0</f>
        <v>0</v>
      </c>
      <c r="M72" s="78">
        <f>0</f>
        <v>0</v>
      </c>
      <c r="N72" s="78">
        <f>0</f>
        <v>0</v>
      </c>
      <c r="O72" s="78">
        <f>0</f>
        <v>0</v>
      </c>
      <c r="P72" s="78">
        <f>0</f>
        <v>0</v>
      </c>
      <c r="Q72" s="78">
        <f>0</f>
        <v>0</v>
      </c>
      <c r="R72" s="78">
        <f>0</f>
        <v>0</v>
      </c>
      <c r="S72" s="78">
        <f>0</f>
        <v>0</v>
      </c>
      <c r="T72" s="78">
        <f>0</f>
        <v>0</v>
      </c>
      <c r="U72" s="78">
        <f>0</f>
        <v>0</v>
      </c>
    </row>
    <row r="73" spans="1:21" ht="57" customHeight="1">
      <c r="A73" s="72" t="s">
        <v>273</v>
      </c>
      <c r="B73" s="79" t="s">
        <v>274</v>
      </c>
      <c r="C73" s="74">
        <f>1625820.8</f>
        <v>1625820.8</v>
      </c>
      <c r="D73" s="75">
        <f>3845386.39</f>
        <v>3845386.39</v>
      </c>
      <c r="E73" s="75">
        <f>2248835</f>
        <v>2248835</v>
      </c>
      <c r="F73" s="76">
        <f>2512827.65</f>
        <v>2512827.65</v>
      </c>
      <c r="G73" s="77">
        <f>963137</f>
        <v>963137</v>
      </c>
      <c r="H73" s="78">
        <f>444516</f>
        <v>444516</v>
      </c>
      <c r="I73" s="78">
        <f>0</f>
        <v>0</v>
      </c>
      <c r="J73" s="78">
        <f>0</f>
        <v>0</v>
      </c>
      <c r="K73" s="78">
        <f>0</f>
        <v>0</v>
      </c>
      <c r="L73" s="78">
        <f>0</f>
        <v>0</v>
      </c>
      <c r="M73" s="78">
        <f>0</f>
        <v>0</v>
      </c>
      <c r="N73" s="78">
        <f>0</f>
        <v>0</v>
      </c>
      <c r="O73" s="78">
        <f>0</f>
        <v>0</v>
      </c>
      <c r="P73" s="78">
        <f>0</f>
        <v>0</v>
      </c>
      <c r="Q73" s="78">
        <f>0</f>
        <v>0</v>
      </c>
      <c r="R73" s="78">
        <f>0</f>
        <v>0</v>
      </c>
      <c r="S73" s="78">
        <f>0</f>
        <v>0</v>
      </c>
      <c r="T73" s="78">
        <f>0</f>
        <v>0</v>
      </c>
      <c r="U73" s="78">
        <f>0</f>
        <v>0</v>
      </c>
    </row>
    <row r="74" spans="1:21" ht="18" customHeight="1">
      <c r="A74" s="72" t="s">
        <v>275</v>
      </c>
      <c r="B74" s="80" t="s">
        <v>276</v>
      </c>
      <c r="C74" s="74">
        <f>1560662.78</f>
        <v>1560662.78</v>
      </c>
      <c r="D74" s="75">
        <f>3604906.41</f>
        <v>3604906.41</v>
      </c>
      <c r="E74" s="75">
        <f>1983223</f>
        <v>1983223</v>
      </c>
      <c r="F74" s="76">
        <f>2223866.69</f>
        <v>2223866.69</v>
      </c>
      <c r="G74" s="77">
        <f>930551</f>
        <v>930551</v>
      </c>
      <c r="H74" s="78">
        <f>428694</f>
        <v>428694</v>
      </c>
      <c r="I74" s="78">
        <f>0</f>
        <v>0</v>
      </c>
      <c r="J74" s="78">
        <f>0</f>
        <v>0</v>
      </c>
      <c r="K74" s="78">
        <f>0</f>
        <v>0</v>
      </c>
      <c r="L74" s="78">
        <f>0</f>
        <v>0</v>
      </c>
      <c r="M74" s="78">
        <f>0</f>
        <v>0</v>
      </c>
      <c r="N74" s="78">
        <f>0</f>
        <v>0</v>
      </c>
      <c r="O74" s="78">
        <f>0</f>
        <v>0</v>
      </c>
      <c r="P74" s="78">
        <f>0</f>
        <v>0</v>
      </c>
      <c r="Q74" s="78">
        <f>0</f>
        <v>0</v>
      </c>
      <c r="R74" s="78">
        <f>0</f>
        <v>0</v>
      </c>
      <c r="S74" s="78">
        <f>0</f>
        <v>0</v>
      </c>
      <c r="T74" s="78">
        <f>0</f>
        <v>0</v>
      </c>
      <c r="U74" s="78">
        <f>0</f>
        <v>0</v>
      </c>
    </row>
    <row r="75" spans="1:21" ht="47.25" customHeight="1">
      <c r="A75" s="72" t="s">
        <v>277</v>
      </c>
      <c r="B75" s="73" t="s">
        <v>278</v>
      </c>
      <c r="C75" s="74">
        <f>586344.48</f>
        <v>586344.48</v>
      </c>
      <c r="D75" s="75">
        <f>0</f>
        <v>0</v>
      </c>
      <c r="E75" s="75">
        <f>0</f>
        <v>0</v>
      </c>
      <c r="F75" s="76">
        <f>0</f>
        <v>0</v>
      </c>
      <c r="G75" s="77">
        <f>0</f>
        <v>0</v>
      </c>
      <c r="H75" s="78">
        <f>0</f>
        <v>0</v>
      </c>
      <c r="I75" s="78">
        <f>0</f>
        <v>0</v>
      </c>
      <c r="J75" s="78">
        <f>0</f>
        <v>0</v>
      </c>
      <c r="K75" s="78">
        <f>0</f>
        <v>0</v>
      </c>
      <c r="L75" s="78">
        <f>0</f>
        <v>0</v>
      </c>
      <c r="M75" s="78">
        <f>0</f>
        <v>0</v>
      </c>
      <c r="N75" s="78">
        <f>0</f>
        <v>0</v>
      </c>
      <c r="O75" s="78">
        <f>0</f>
        <v>0</v>
      </c>
      <c r="P75" s="78">
        <f>0</f>
        <v>0</v>
      </c>
      <c r="Q75" s="78">
        <f>0</f>
        <v>0</v>
      </c>
      <c r="R75" s="78">
        <f>0</f>
        <v>0</v>
      </c>
      <c r="S75" s="78">
        <f>0</f>
        <v>0</v>
      </c>
      <c r="T75" s="78">
        <f>0</f>
        <v>0</v>
      </c>
      <c r="U75" s="78">
        <f>0</f>
        <v>0</v>
      </c>
    </row>
    <row r="76" spans="1:21" ht="56.25" customHeight="1">
      <c r="A76" s="72" t="s">
        <v>279</v>
      </c>
      <c r="B76" s="79" t="s">
        <v>280</v>
      </c>
      <c r="C76" s="74">
        <f>586344.48</f>
        <v>586344.48</v>
      </c>
      <c r="D76" s="75">
        <f>0</f>
        <v>0</v>
      </c>
      <c r="E76" s="75">
        <f>0</f>
        <v>0</v>
      </c>
      <c r="F76" s="76">
        <f>0</f>
        <v>0</v>
      </c>
      <c r="G76" s="77">
        <f>0</f>
        <v>0</v>
      </c>
      <c r="H76" s="78">
        <f>0</f>
        <v>0</v>
      </c>
      <c r="I76" s="78">
        <f>0</f>
        <v>0</v>
      </c>
      <c r="J76" s="78">
        <f>0</f>
        <v>0</v>
      </c>
      <c r="K76" s="78">
        <f>0</f>
        <v>0</v>
      </c>
      <c r="L76" s="78">
        <f>0</f>
        <v>0</v>
      </c>
      <c r="M76" s="78">
        <f>0</f>
        <v>0</v>
      </c>
      <c r="N76" s="78">
        <f>0</f>
        <v>0</v>
      </c>
      <c r="O76" s="78">
        <f>0</f>
        <v>0</v>
      </c>
      <c r="P76" s="78">
        <f>0</f>
        <v>0</v>
      </c>
      <c r="Q76" s="78">
        <f>0</f>
        <v>0</v>
      </c>
      <c r="R76" s="78">
        <f>0</f>
        <v>0</v>
      </c>
      <c r="S76" s="78">
        <f>0</f>
        <v>0</v>
      </c>
      <c r="T76" s="78">
        <f>0</f>
        <v>0</v>
      </c>
      <c r="U76" s="78">
        <f>0</f>
        <v>0</v>
      </c>
    </row>
    <row r="77" spans="1:21" ht="18" customHeight="1">
      <c r="A77" s="72" t="s">
        <v>281</v>
      </c>
      <c r="B77" s="80" t="s">
        <v>276</v>
      </c>
      <c r="C77" s="74">
        <f>586344.48</f>
        <v>586344.48</v>
      </c>
      <c r="D77" s="75">
        <f>0</f>
        <v>0</v>
      </c>
      <c r="E77" s="75">
        <f>0</f>
        <v>0</v>
      </c>
      <c r="F77" s="76">
        <f>0</f>
        <v>0</v>
      </c>
      <c r="G77" s="77">
        <f>0</f>
        <v>0</v>
      </c>
      <c r="H77" s="78">
        <f>0</f>
        <v>0</v>
      </c>
      <c r="I77" s="78">
        <f>0</f>
        <v>0</v>
      </c>
      <c r="J77" s="78">
        <f>0</f>
        <v>0</v>
      </c>
      <c r="K77" s="78">
        <f>0</f>
        <v>0</v>
      </c>
      <c r="L77" s="78">
        <f>0</f>
        <v>0</v>
      </c>
      <c r="M77" s="78">
        <f>0</f>
        <v>0</v>
      </c>
      <c r="N77" s="78">
        <f>0</f>
        <v>0</v>
      </c>
      <c r="O77" s="78">
        <f>0</f>
        <v>0</v>
      </c>
      <c r="P77" s="78">
        <f>0</f>
        <v>0</v>
      </c>
      <c r="Q77" s="78">
        <f>0</f>
        <v>0</v>
      </c>
      <c r="R77" s="78">
        <f>0</f>
        <v>0</v>
      </c>
      <c r="S77" s="78">
        <f>0</f>
        <v>0</v>
      </c>
      <c r="T77" s="78">
        <f>0</f>
        <v>0</v>
      </c>
      <c r="U77" s="78">
        <f>0</f>
        <v>0</v>
      </c>
    </row>
    <row r="78" spans="1:21" ht="45.75" customHeight="1">
      <c r="A78" s="72" t="s">
        <v>282</v>
      </c>
      <c r="B78" s="73" t="s">
        <v>283</v>
      </c>
      <c r="C78" s="74">
        <f>1441015.01</f>
        <v>1441015.01</v>
      </c>
      <c r="D78" s="75">
        <f>2856622.21</f>
        <v>2856622.21</v>
      </c>
      <c r="E78" s="75">
        <f>3908647</f>
        <v>3908647</v>
      </c>
      <c r="F78" s="76">
        <f>2287076.65</f>
        <v>2287076.65</v>
      </c>
      <c r="G78" s="77">
        <f>2796285</f>
        <v>2796285</v>
      </c>
      <c r="H78" s="78">
        <f>475257</f>
        <v>475257</v>
      </c>
      <c r="I78" s="78">
        <f>0</f>
        <v>0</v>
      </c>
      <c r="J78" s="78">
        <f>0</f>
        <v>0</v>
      </c>
      <c r="K78" s="78">
        <f>0</f>
        <v>0</v>
      </c>
      <c r="L78" s="78">
        <f>0</f>
        <v>0</v>
      </c>
      <c r="M78" s="78">
        <f>0</f>
        <v>0</v>
      </c>
      <c r="N78" s="78">
        <f>0</f>
        <v>0</v>
      </c>
      <c r="O78" s="78">
        <f>0</f>
        <v>0</v>
      </c>
      <c r="P78" s="78">
        <f>0</f>
        <v>0</v>
      </c>
      <c r="Q78" s="78">
        <f>0</f>
        <v>0</v>
      </c>
      <c r="R78" s="78">
        <f>0</f>
        <v>0</v>
      </c>
      <c r="S78" s="78">
        <f>0</f>
        <v>0</v>
      </c>
      <c r="T78" s="78">
        <f>0</f>
        <v>0</v>
      </c>
      <c r="U78" s="78">
        <f>0</f>
        <v>0</v>
      </c>
    </row>
    <row r="79" spans="1:21" ht="59.25" customHeight="1">
      <c r="A79" s="72" t="s">
        <v>284</v>
      </c>
      <c r="B79" s="79" t="s">
        <v>285</v>
      </c>
      <c r="C79" s="74">
        <f>1441015.01</f>
        <v>1441015.01</v>
      </c>
      <c r="D79" s="75">
        <f>2856622.21</f>
        <v>2856622.21</v>
      </c>
      <c r="E79" s="75">
        <f>3908647</f>
        <v>3908647</v>
      </c>
      <c r="F79" s="76">
        <f>2287076.65</f>
        <v>2287076.65</v>
      </c>
      <c r="G79" s="77">
        <f>2796285</f>
        <v>2796285</v>
      </c>
      <c r="H79" s="78">
        <f>475257</f>
        <v>475257</v>
      </c>
      <c r="I79" s="78">
        <f>0</f>
        <v>0</v>
      </c>
      <c r="J79" s="78">
        <f>0</f>
        <v>0</v>
      </c>
      <c r="K79" s="78">
        <f>0</f>
        <v>0</v>
      </c>
      <c r="L79" s="78">
        <f>0</f>
        <v>0</v>
      </c>
      <c r="M79" s="78">
        <f>0</f>
        <v>0</v>
      </c>
      <c r="N79" s="78">
        <f>0</f>
        <v>0</v>
      </c>
      <c r="O79" s="78">
        <f>0</f>
        <v>0</v>
      </c>
      <c r="P79" s="78">
        <f>0</f>
        <v>0</v>
      </c>
      <c r="Q79" s="78">
        <f>0</f>
        <v>0</v>
      </c>
      <c r="R79" s="78">
        <f>0</f>
        <v>0</v>
      </c>
      <c r="S79" s="78">
        <f>0</f>
        <v>0</v>
      </c>
      <c r="T79" s="78">
        <f>0</f>
        <v>0</v>
      </c>
      <c r="U79" s="78">
        <f>0</f>
        <v>0</v>
      </c>
    </row>
    <row r="80" spans="1:21" ht="35.25" customHeight="1">
      <c r="A80" s="72" t="s">
        <v>286</v>
      </c>
      <c r="B80" s="80" t="s">
        <v>287</v>
      </c>
      <c r="C80" s="74">
        <f>1322318.02</f>
        <v>1322318.02</v>
      </c>
      <c r="D80" s="75">
        <f>2541514.82</f>
        <v>2541514.8199999998</v>
      </c>
      <c r="E80" s="75">
        <f>3443254</f>
        <v>3443254</v>
      </c>
      <c r="F80" s="76">
        <f>1942945.36</f>
        <v>1942945.36</v>
      </c>
      <c r="G80" s="77">
        <f>2530696</f>
        <v>2530696</v>
      </c>
      <c r="H80" s="78">
        <f>429444</f>
        <v>429444</v>
      </c>
      <c r="I80" s="78">
        <f>0</f>
        <v>0</v>
      </c>
      <c r="J80" s="78">
        <f>0</f>
        <v>0</v>
      </c>
      <c r="K80" s="78">
        <f>0</f>
        <v>0</v>
      </c>
      <c r="L80" s="78">
        <f>0</f>
        <v>0</v>
      </c>
      <c r="M80" s="78">
        <f>0</f>
        <v>0</v>
      </c>
      <c r="N80" s="78">
        <f>0</f>
        <v>0</v>
      </c>
      <c r="O80" s="78">
        <f>0</f>
        <v>0</v>
      </c>
      <c r="P80" s="78">
        <f>0</f>
        <v>0</v>
      </c>
      <c r="Q80" s="78">
        <f>0</f>
        <v>0</v>
      </c>
      <c r="R80" s="78">
        <f>0</f>
        <v>0</v>
      </c>
      <c r="S80" s="78">
        <f>0</f>
        <v>0</v>
      </c>
      <c r="T80" s="78">
        <f>0</f>
        <v>0</v>
      </c>
      <c r="U80" s="78">
        <f>0</f>
        <v>0</v>
      </c>
    </row>
    <row r="81" spans="1:21" ht="45.75" customHeight="1">
      <c r="A81" s="72" t="s">
        <v>288</v>
      </c>
      <c r="B81" s="73" t="s">
        <v>289</v>
      </c>
      <c r="C81" s="74">
        <f>204170.41</f>
        <v>204170.41</v>
      </c>
      <c r="D81" s="75">
        <f>0</f>
        <v>0</v>
      </c>
      <c r="E81" s="75">
        <f>13255</f>
        <v>13255</v>
      </c>
      <c r="F81" s="76">
        <f>0</f>
        <v>0</v>
      </c>
      <c r="G81" s="77">
        <f>97666</f>
        <v>97666</v>
      </c>
      <c r="H81" s="78">
        <f>31734</f>
        <v>31734</v>
      </c>
      <c r="I81" s="78">
        <f>12000</f>
        <v>12000</v>
      </c>
      <c r="J81" s="78">
        <f>0</f>
        <v>0</v>
      </c>
      <c r="K81" s="78">
        <f>0</f>
        <v>0</v>
      </c>
      <c r="L81" s="78">
        <f>0</f>
        <v>0</v>
      </c>
      <c r="M81" s="78">
        <f>0</f>
        <v>0</v>
      </c>
      <c r="N81" s="78">
        <f>0</f>
        <v>0</v>
      </c>
      <c r="O81" s="78">
        <f>0</f>
        <v>0</v>
      </c>
      <c r="P81" s="78">
        <f>0</f>
        <v>0</v>
      </c>
      <c r="Q81" s="78">
        <f>0</f>
        <v>0</v>
      </c>
      <c r="R81" s="78">
        <f>0</f>
        <v>0</v>
      </c>
      <c r="S81" s="78">
        <f>0</f>
        <v>0</v>
      </c>
      <c r="T81" s="78">
        <f>0</f>
        <v>0</v>
      </c>
      <c r="U81" s="78">
        <f>0</f>
        <v>0</v>
      </c>
    </row>
    <row r="82" spans="1:21" ht="55.5" customHeight="1">
      <c r="A82" s="72" t="s">
        <v>290</v>
      </c>
      <c r="B82" s="79" t="s">
        <v>291</v>
      </c>
      <c r="C82" s="74">
        <f>204170.41</f>
        <v>204170.41</v>
      </c>
      <c r="D82" s="75">
        <f>0</f>
        <v>0</v>
      </c>
      <c r="E82" s="75">
        <f>13255</f>
        <v>13255</v>
      </c>
      <c r="F82" s="76">
        <f>0</f>
        <v>0</v>
      </c>
      <c r="G82" s="77">
        <f>97666</f>
        <v>97666</v>
      </c>
      <c r="H82" s="78">
        <f>31734</f>
        <v>31734</v>
      </c>
      <c r="I82" s="78">
        <f>12000</f>
        <v>12000</v>
      </c>
      <c r="J82" s="78">
        <f>0</f>
        <v>0</v>
      </c>
      <c r="K82" s="78">
        <f>0</f>
        <v>0</v>
      </c>
      <c r="L82" s="78">
        <f>0</f>
        <v>0</v>
      </c>
      <c r="M82" s="78">
        <f>0</f>
        <v>0</v>
      </c>
      <c r="N82" s="78">
        <f>0</f>
        <v>0</v>
      </c>
      <c r="O82" s="78">
        <f>0</f>
        <v>0</v>
      </c>
      <c r="P82" s="78">
        <f>0</f>
        <v>0</v>
      </c>
      <c r="Q82" s="78">
        <f>0</f>
        <v>0</v>
      </c>
      <c r="R82" s="78">
        <f>0</f>
        <v>0</v>
      </c>
      <c r="S82" s="78">
        <f>0</f>
        <v>0</v>
      </c>
      <c r="T82" s="78">
        <f>0</f>
        <v>0</v>
      </c>
      <c r="U82" s="78">
        <f>0</f>
        <v>0</v>
      </c>
    </row>
    <row r="83" spans="1:21" ht="30" customHeight="1">
      <c r="A83" s="72" t="s">
        <v>292</v>
      </c>
      <c r="B83" s="80" t="s">
        <v>287</v>
      </c>
      <c r="C83" s="74">
        <f>0</f>
        <v>0</v>
      </c>
      <c r="D83" s="75">
        <f>0</f>
        <v>0</v>
      </c>
      <c r="E83" s="75">
        <f>0</f>
        <v>0</v>
      </c>
      <c r="F83" s="76">
        <f>0</f>
        <v>0</v>
      </c>
      <c r="G83" s="77">
        <f>0</f>
        <v>0</v>
      </c>
      <c r="H83" s="78">
        <f>0</f>
        <v>0</v>
      </c>
      <c r="I83" s="78">
        <f>0</f>
        <v>0</v>
      </c>
      <c r="J83" s="78">
        <f>0</f>
        <v>0</v>
      </c>
      <c r="K83" s="78">
        <f>0</f>
        <v>0</v>
      </c>
      <c r="L83" s="78">
        <f>0</f>
        <v>0</v>
      </c>
      <c r="M83" s="78">
        <f>0</f>
        <v>0</v>
      </c>
      <c r="N83" s="78">
        <f>0</f>
        <v>0</v>
      </c>
      <c r="O83" s="78">
        <f>0</f>
        <v>0</v>
      </c>
      <c r="P83" s="78">
        <f>0</f>
        <v>0</v>
      </c>
      <c r="Q83" s="78">
        <f>0</f>
        <v>0</v>
      </c>
      <c r="R83" s="78">
        <f>0</f>
        <v>0</v>
      </c>
      <c r="S83" s="78">
        <f>0</f>
        <v>0</v>
      </c>
      <c r="T83" s="78">
        <f>0</f>
        <v>0</v>
      </c>
      <c r="U83" s="78">
        <f>0</f>
        <v>0</v>
      </c>
    </row>
    <row r="84" spans="1:21" ht="33.75" customHeight="1">
      <c r="A84" s="81">
        <v>10</v>
      </c>
      <c r="B84" s="82" t="s">
        <v>293</v>
      </c>
      <c r="C84" s="90" t="s">
        <v>240</v>
      </c>
      <c r="D84" s="91" t="s">
        <v>240</v>
      </c>
      <c r="E84" s="91" t="s">
        <v>240</v>
      </c>
      <c r="F84" s="92" t="s">
        <v>240</v>
      </c>
      <c r="G84" s="93" t="s">
        <v>240</v>
      </c>
      <c r="H84" s="94" t="s">
        <v>240</v>
      </c>
      <c r="I84" s="94" t="s">
        <v>240</v>
      </c>
      <c r="J84" s="94" t="s">
        <v>240</v>
      </c>
      <c r="K84" s="94" t="s">
        <v>240</v>
      </c>
      <c r="L84" s="94" t="s">
        <v>240</v>
      </c>
      <c r="M84" s="94" t="s">
        <v>240</v>
      </c>
      <c r="N84" s="94" t="s">
        <v>240</v>
      </c>
      <c r="O84" s="94" t="s">
        <v>240</v>
      </c>
      <c r="P84" s="94" t="s">
        <v>240</v>
      </c>
      <c r="Q84" s="94" t="s">
        <v>240</v>
      </c>
      <c r="R84" s="94" t="s">
        <v>240</v>
      </c>
      <c r="S84" s="94" t="s">
        <v>240</v>
      </c>
      <c r="T84" s="94" t="s">
        <v>240</v>
      </c>
      <c r="U84" s="94" t="s">
        <v>240</v>
      </c>
    </row>
    <row r="85" spans="1:21" ht="31.5" customHeight="1">
      <c r="A85" s="72" t="s">
        <v>294</v>
      </c>
      <c r="B85" s="104" t="s">
        <v>295</v>
      </c>
      <c r="C85" s="74">
        <f>28121021.88</f>
        <v>28121021.879999999</v>
      </c>
      <c r="D85" s="75">
        <f>15921743.49</f>
        <v>15921743.49</v>
      </c>
      <c r="E85" s="75">
        <f>18586295</f>
        <v>18586295</v>
      </c>
      <c r="F85" s="76">
        <f>14163254.87</f>
        <v>14163254.869999999</v>
      </c>
      <c r="G85" s="77">
        <v>15007729</v>
      </c>
      <c r="H85" s="78">
        <f>10928926</f>
        <v>10928926</v>
      </c>
      <c r="I85" s="78">
        <f>12354413</f>
        <v>12354413</v>
      </c>
      <c r="J85" s="78">
        <f>14460766</f>
        <v>14460766</v>
      </c>
      <c r="K85" s="78">
        <f>10750000</f>
        <v>10750000</v>
      </c>
      <c r="L85" s="78">
        <f>5050000</f>
        <v>5050000</v>
      </c>
      <c r="M85" s="78">
        <f>3450000</f>
        <v>3450000</v>
      </c>
      <c r="N85" s="78">
        <f>2450000</f>
        <v>2450000</v>
      </c>
      <c r="O85" s="78">
        <f>0</f>
        <v>0</v>
      </c>
      <c r="P85" s="78">
        <f>0</f>
        <v>0</v>
      </c>
      <c r="Q85" s="78">
        <f>0</f>
        <v>0</v>
      </c>
      <c r="R85" s="78">
        <f>0</f>
        <v>0</v>
      </c>
      <c r="S85" s="78">
        <f>0</f>
        <v>0</v>
      </c>
      <c r="T85" s="78">
        <f>0</f>
        <v>0</v>
      </c>
      <c r="U85" s="78">
        <f>0</f>
        <v>0</v>
      </c>
    </row>
    <row r="86" spans="1:21" ht="18" customHeight="1">
      <c r="A86" s="72" t="s">
        <v>296</v>
      </c>
      <c r="B86" s="79" t="s">
        <v>297</v>
      </c>
      <c r="C86" s="74">
        <f>1763345.01</f>
        <v>1763345.01</v>
      </c>
      <c r="D86" s="75">
        <f>3176982.75</f>
        <v>3176982.75</v>
      </c>
      <c r="E86" s="75">
        <f>3854423</f>
        <v>3854423</v>
      </c>
      <c r="F86" s="76">
        <f>1970649.58</f>
        <v>1970649.58</v>
      </c>
      <c r="G86" s="77">
        <f>4060867</f>
        <v>4060867</v>
      </c>
      <c r="H86" s="78">
        <f>1462192</f>
        <v>1462192</v>
      </c>
      <c r="I86" s="78">
        <f>821535</f>
        <v>821535</v>
      </c>
      <c r="J86" s="78">
        <f>410766</f>
        <v>410766</v>
      </c>
      <c r="K86" s="78">
        <f>0</f>
        <v>0</v>
      </c>
      <c r="L86" s="78">
        <f>0</f>
        <v>0</v>
      </c>
      <c r="M86" s="78">
        <f>0</f>
        <v>0</v>
      </c>
      <c r="N86" s="78">
        <f>0</f>
        <v>0</v>
      </c>
      <c r="O86" s="78">
        <f>0</f>
        <v>0</v>
      </c>
      <c r="P86" s="78">
        <f>0</f>
        <v>0</v>
      </c>
      <c r="Q86" s="78">
        <f>0</f>
        <v>0</v>
      </c>
      <c r="R86" s="78">
        <f>0</f>
        <v>0</v>
      </c>
      <c r="S86" s="78">
        <f>0</f>
        <v>0</v>
      </c>
      <c r="T86" s="78">
        <f>0</f>
        <v>0</v>
      </c>
      <c r="U86" s="78">
        <f>0</f>
        <v>0</v>
      </c>
    </row>
    <row r="87" spans="1:21" ht="18" customHeight="1">
      <c r="A87" s="72" t="s">
        <v>298</v>
      </c>
      <c r="B87" s="79" t="s">
        <v>299</v>
      </c>
      <c r="C87" s="74">
        <f>26357676.87</f>
        <v>26357676.870000001</v>
      </c>
      <c r="D87" s="75">
        <f>12744760.74</f>
        <v>12744760.74</v>
      </c>
      <c r="E87" s="75">
        <f>14731872</f>
        <v>14731872</v>
      </c>
      <c r="F87" s="76">
        <f>12192605.29</f>
        <v>12192605.289999999</v>
      </c>
      <c r="G87" s="77">
        <v>10946862</v>
      </c>
      <c r="H87" s="78">
        <f>9466734</f>
        <v>9466734</v>
      </c>
      <c r="I87" s="78">
        <f>11532878</f>
        <v>11532878</v>
      </c>
      <c r="J87" s="78">
        <f>14050000</f>
        <v>14050000</v>
      </c>
      <c r="K87" s="78">
        <f>10750000</f>
        <v>10750000</v>
      </c>
      <c r="L87" s="78">
        <f>5050000</f>
        <v>5050000</v>
      </c>
      <c r="M87" s="78">
        <f>3450000</f>
        <v>3450000</v>
      </c>
      <c r="N87" s="78">
        <f>2450000</f>
        <v>2450000</v>
      </c>
      <c r="O87" s="78">
        <f>0</f>
        <v>0</v>
      </c>
      <c r="P87" s="78">
        <f>0</f>
        <v>0</v>
      </c>
      <c r="Q87" s="78">
        <f>0</f>
        <v>0</v>
      </c>
      <c r="R87" s="78">
        <f>0</f>
        <v>0</v>
      </c>
      <c r="S87" s="78">
        <f>0</f>
        <v>0</v>
      </c>
      <c r="T87" s="78">
        <f>0</f>
        <v>0</v>
      </c>
      <c r="U87" s="78">
        <f>0</f>
        <v>0</v>
      </c>
    </row>
    <row r="88" spans="1:21" ht="46.5" customHeight="1">
      <c r="A88" s="72" t="s">
        <v>300</v>
      </c>
      <c r="B88" s="73" t="s">
        <v>301</v>
      </c>
      <c r="C88" s="74">
        <f>0</f>
        <v>0</v>
      </c>
      <c r="D88" s="75">
        <f>0</f>
        <v>0</v>
      </c>
      <c r="E88" s="75">
        <f>0</f>
        <v>0</v>
      </c>
      <c r="F88" s="76">
        <f>0</f>
        <v>0</v>
      </c>
      <c r="G88" s="77">
        <f>0</f>
        <v>0</v>
      </c>
      <c r="H88" s="78">
        <f>0</f>
        <v>0</v>
      </c>
      <c r="I88" s="78">
        <f>0</f>
        <v>0</v>
      </c>
      <c r="J88" s="78">
        <f>0</f>
        <v>0</v>
      </c>
      <c r="K88" s="78">
        <f>0</f>
        <v>0</v>
      </c>
      <c r="L88" s="78">
        <f>0</f>
        <v>0</v>
      </c>
      <c r="M88" s="78">
        <f>0</f>
        <v>0</v>
      </c>
      <c r="N88" s="78">
        <f>0</f>
        <v>0</v>
      </c>
      <c r="O88" s="78">
        <f>0</f>
        <v>0</v>
      </c>
      <c r="P88" s="78">
        <f>0</f>
        <v>0</v>
      </c>
      <c r="Q88" s="78">
        <f>0</f>
        <v>0</v>
      </c>
      <c r="R88" s="78">
        <f>0</f>
        <v>0</v>
      </c>
      <c r="S88" s="78">
        <f>0</f>
        <v>0</v>
      </c>
      <c r="T88" s="78">
        <f>0</f>
        <v>0</v>
      </c>
      <c r="U88" s="78">
        <f>0</f>
        <v>0</v>
      </c>
    </row>
    <row r="89" spans="1:21" ht="58.5" customHeight="1">
      <c r="A89" s="72" t="s">
        <v>302</v>
      </c>
      <c r="B89" s="73" t="s">
        <v>303</v>
      </c>
      <c r="C89" s="74">
        <f>654761.88</f>
        <v>654761.88</v>
      </c>
      <c r="D89" s="75">
        <f>654761.88</f>
        <v>654761.88</v>
      </c>
      <c r="E89" s="75">
        <f>654762</f>
        <v>654762</v>
      </c>
      <c r="F89" s="76">
        <f>654761.88</f>
        <v>654761.88</v>
      </c>
      <c r="G89" s="77">
        <f>654763</f>
        <v>654763</v>
      </c>
      <c r="H89" s="78">
        <f>0</f>
        <v>0</v>
      </c>
      <c r="I89" s="78">
        <f>0</f>
        <v>0</v>
      </c>
      <c r="J89" s="78">
        <f>0</f>
        <v>0</v>
      </c>
      <c r="K89" s="78">
        <f>0</f>
        <v>0</v>
      </c>
      <c r="L89" s="78">
        <f>0</f>
        <v>0</v>
      </c>
      <c r="M89" s="78">
        <f>0</f>
        <v>0</v>
      </c>
      <c r="N89" s="78">
        <f>0</f>
        <v>0</v>
      </c>
      <c r="O89" s="78">
        <f>0</f>
        <v>0</v>
      </c>
      <c r="P89" s="78">
        <f>0</f>
        <v>0</v>
      </c>
      <c r="Q89" s="78">
        <f>0</f>
        <v>0</v>
      </c>
      <c r="R89" s="78">
        <f>0</f>
        <v>0</v>
      </c>
      <c r="S89" s="78">
        <f>0</f>
        <v>0</v>
      </c>
      <c r="T89" s="78">
        <f>0</f>
        <v>0</v>
      </c>
      <c r="U89" s="78">
        <f>0</f>
        <v>0</v>
      </c>
    </row>
    <row r="90" spans="1:21" ht="81" customHeight="1">
      <c r="A90" s="72" t="s">
        <v>304</v>
      </c>
      <c r="B90" s="73" t="s">
        <v>305</v>
      </c>
      <c r="C90" s="74">
        <f>0</f>
        <v>0</v>
      </c>
      <c r="D90" s="75">
        <f>0</f>
        <v>0</v>
      </c>
      <c r="E90" s="75">
        <f>0</f>
        <v>0</v>
      </c>
      <c r="F90" s="76">
        <f>0</f>
        <v>0</v>
      </c>
      <c r="G90" s="77">
        <f>0</f>
        <v>0</v>
      </c>
      <c r="H90" s="78">
        <f>0</f>
        <v>0</v>
      </c>
      <c r="I90" s="78">
        <f>0</f>
        <v>0</v>
      </c>
      <c r="J90" s="78">
        <f>0</f>
        <v>0</v>
      </c>
      <c r="K90" s="78">
        <f>0</f>
        <v>0</v>
      </c>
      <c r="L90" s="78">
        <f>0</f>
        <v>0</v>
      </c>
      <c r="M90" s="78">
        <f>0</f>
        <v>0</v>
      </c>
      <c r="N90" s="78">
        <f>0</f>
        <v>0</v>
      </c>
      <c r="O90" s="78">
        <f>0</f>
        <v>0</v>
      </c>
      <c r="P90" s="78">
        <f>0</f>
        <v>0</v>
      </c>
      <c r="Q90" s="78">
        <f>0</f>
        <v>0</v>
      </c>
      <c r="R90" s="78">
        <f>0</f>
        <v>0</v>
      </c>
      <c r="S90" s="78">
        <f>0</f>
        <v>0</v>
      </c>
      <c r="T90" s="78">
        <f>0</f>
        <v>0</v>
      </c>
      <c r="U90" s="78">
        <f>0</f>
        <v>0</v>
      </c>
    </row>
    <row r="91" spans="1:21" ht="66" customHeight="1">
      <c r="A91" s="72" t="s">
        <v>306</v>
      </c>
      <c r="B91" s="73" t="s">
        <v>307</v>
      </c>
      <c r="C91" s="74">
        <f>1964285.81</f>
        <v>1964285.81</v>
      </c>
      <c r="D91" s="75">
        <f>1309523.93</f>
        <v>1309523.93</v>
      </c>
      <c r="E91" s="75">
        <f>654761.93</f>
        <v>654761.93000000005</v>
      </c>
      <c r="F91" s="76">
        <f>654762.05</f>
        <v>654762.05000000005</v>
      </c>
      <c r="G91" s="77">
        <f>0</f>
        <v>0</v>
      </c>
      <c r="H91" s="78">
        <f>0</f>
        <v>0</v>
      </c>
      <c r="I91" s="78">
        <f>0</f>
        <v>0</v>
      </c>
      <c r="J91" s="78">
        <f>0</f>
        <v>0</v>
      </c>
      <c r="K91" s="78">
        <f>0</f>
        <v>0</v>
      </c>
      <c r="L91" s="78">
        <f>0</f>
        <v>0</v>
      </c>
      <c r="M91" s="78">
        <f>0</f>
        <v>0</v>
      </c>
      <c r="N91" s="78">
        <f>0</f>
        <v>0</v>
      </c>
      <c r="O91" s="78">
        <f>0</f>
        <v>0</v>
      </c>
      <c r="P91" s="78">
        <f>0</f>
        <v>0</v>
      </c>
      <c r="Q91" s="78">
        <f>0</f>
        <v>0</v>
      </c>
      <c r="R91" s="78">
        <f>0</f>
        <v>0</v>
      </c>
      <c r="S91" s="78">
        <f>0</f>
        <v>0</v>
      </c>
      <c r="T91" s="78">
        <f>0</f>
        <v>0</v>
      </c>
      <c r="U91" s="78">
        <f>0</f>
        <v>0</v>
      </c>
    </row>
    <row r="92" spans="1:21" ht="42" customHeight="1">
      <c r="A92" s="72" t="s">
        <v>308</v>
      </c>
      <c r="B92" s="73" t="s">
        <v>309</v>
      </c>
      <c r="C92" s="74">
        <f>6560935</f>
        <v>6560935</v>
      </c>
      <c r="D92" s="75">
        <f>5788270</f>
        <v>5788270</v>
      </c>
      <c r="E92" s="75">
        <f>5254612</f>
        <v>5254612</v>
      </c>
      <c r="F92" s="76">
        <f>5254612</f>
        <v>5254612</v>
      </c>
      <c r="G92" s="77">
        <f>4542000</f>
        <v>4542000</v>
      </c>
      <c r="H92" s="78">
        <f>4742000</f>
        <v>4742000</v>
      </c>
      <c r="I92" s="78">
        <f>4242000</f>
        <v>4242000</v>
      </c>
      <c r="J92" s="78">
        <f>4392000</f>
        <v>4392000</v>
      </c>
      <c r="K92" s="78">
        <f>4592000</f>
        <v>4592000</v>
      </c>
      <c r="L92" s="78">
        <f>4300000</f>
        <v>4300000</v>
      </c>
      <c r="M92" s="78">
        <f>5300000</f>
        <v>5300000</v>
      </c>
      <c r="N92" s="78">
        <f>5300000</f>
        <v>5300000</v>
      </c>
      <c r="O92" s="78">
        <f>4600000</f>
        <v>4600000</v>
      </c>
      <c r="P92" s="78">
        <f>5000000</f>
        <v>5000000</v>
      </c>
      <c r="Q92" s="78">
        <f>5900000</f>
        <v>5900000</v>
      </c>
      <c r="R92" s="78">
        <f>0</f>
        <v>0</v>
      </c>
      <c r="S92" s="78">
        <f>0</f>
        <v>0</v>
      </c>
      <c r="T92" s="78">
        <f>0</f>
        <v>0</v>
      </c>
      <c r="U92" s="78">
        <f>0</f>
        <v>0</v>
      </c>
    </row>
    <row r="93" spans="1:21" ht="18.75" customHeight="1">
      <c r="A93" s="72" t="s">
        <v>310</v>
      </c>
      <c r="B93" s="73" t="s">
        <v>311</v>
      </c>
      <c r="C93" s="74">
        <f>654761.88</f>
        <v>654761.88</v>
      </c>
      <c r="D93" s="75">
        <f>654761.88</f>
        <v>654761.88</v>
      </c>
      <c r="E93" s="75">
        <f>654762</f>
        <v>654762</v>
      </c>
      <c r="F93" s="76">
        <f>654761.88</f>
        <v>654761.88</v>
      </c>
      <c r="G93" s="77">
        <f>654762.05</f>
        <v>654762.05000000005</v>
      </c>
      <c r="H93" s="78">
        <f>0</f>
        <v>0</v>
      </c>
      <c r="I93" s="78">
        <f>0</f>
        <v>0</v>
      </c>
      <c r="J93" s="78">
        <f>0</f>
        <v>0</v>
      </c>
      <c r="K93" s="78">
        <f>0</f>
        <v>0</v>
      </c>
      <c r="L93" s="78">
        <f>0</f>
        <v>0</v>
      </c>
      <c r="M93" s="78">
        <f>0</f>
        <v>0</v>
      </c>
      <c r="N93" s="78">
        <f>0</f>
        <v>0</v>
      </c>
      <c r="O93" s="78">
        <f>0</f>
        <v>0</v>
      </c>
      <c r="P93" s="78">
        <f>0</f>
        <v>0</v>
      </c>
      <c r="Q93" s="78">
        <f>0</f>
        <v>0</v>
      </c>
      <c r="R93" s="78">
        <f>0</f>
        <v>0</v>
      </c>
      <c r="S93" s="78">
        <f>0</f>
        <v>0</v>
      </c>
      <c r="T93" s="78">
        <f>0</f>
        <v>0</v>
      </c>
      <c r="U93" s="78">
        <f>0</f>
        <v>0</v>
      </c>
    </row>
    <row r="94" spans="1:21" ht="30.75" customHeight="1">
      <c r="A94" s="72" t="s">
        <v>312</v>
      </c>
      <c r="B94" s="79" t="s">
        <v>313</v>
      </c>
      <c r="C94" s="74">
        <f>0</f>
        <v>0</v>
      </c>
      <c r="D94" s="75">
        <f>0</f>
        <v>0</v>
      </c>
      <c r="E94" s="75">
        <f>0</f>
        <v>0</v>
      </c>
      <c r="F94" s="76">
        <f>0</f>
        <v>0</v>
      </c>
      <c r="G94" s="77">
        <f>0</f>
        <v>0</v>
      </c>
      <c r="H94" s="78">
        <f>0</f>
        <v>0</v>
      </c>
      <c r="I94" s="78">
        <f>0</f>
        <v>0</v>
      </c>
      <c r="J94" s="78">
        <f>0</f>
        <v>0</v>
      </c>
      <c r="K94" s="78">
        <f>0</f>
        <v>0</v>
      </c>
      <c r="L94" s="78">
        <f>0</f>
        <v>0</v>
      </c>
      <c r="M94" s="78">
        <f>0</f>
        <v>0</v>
      </c>
      <c r="N94" s="78">
        <f>0</f>
        <v>0</v>
      </c>
      <c r="O94" s="78">
        <f>0</f>
        <v>0</v>
      </c>
      <c r="P94" s="78">
        <f>0</f>
        <v>0</v>
      </c>
      <c r="Q94" s="78">
        <f>0</f>
        <v>0</v>
      </c>
      <c r="R94" s="78">
        <f>0</f>
        <v>0</v>
      </c>
      <c r="S94" s="78">
        <f>0</f>
        <v>0</v>
      </c>
      <c r="T94" s="78">
        <f>0</f>
        <v>0</v>
      </c>
      <c r="U94" s="78">
        <f>0</f>
        <v>0</v>
      </c>
    </row>
    <row r="95" spans="1:21" ht="34.5" customHeight="1">
      <c r="A95" s="72" t="s">
        <v>314</v>
      </c>
      <c r="B95" s="79" t="s">
        <v>315</v>
      </c>
      <c r="C95" s="74">
        <f>654761.88</f>
        <v>654761.88</v>
      </c>
      <c r="D95" s="75">
        <f>654761.88</f>
        <v>654761.88</v>
      </c>
      <c r="E95" s="75">
        <f>654762</f>
        <v>654762</v>
      </c>
      <c r="F95" s="76">
        <f>654761.88</f>
        <v>654761.88</v>
      </c>
      <c r="G95" s="77">
        <f>654762.05</f>
        <v>654762.05000000005</v>
      </c>
      <c r="H95" s="78">
        <f>0</f>
        <v>0</v>
      </c>
      <c r="I95" s="78">
        <f>0</f>
        <v>0</v>
      </c>
      <c r="J95" s="78">
        <f>0</f>
        <v>0</v>
      </c>
      <c r="K95" s="78">
        <f>0</f>
        <v>0</v>
      </c>
      <c r="L95" s="78">
        <f>0</f>
        <v>0</v>
      </c>
      <c r="M95" s="78">
        <f>0</f>
        <v>0</v>
      </c>
      <c r="N95" s="78">
        <f>0</f>
        <v>0</v>
      </c>
      <c r="O95" s="78">
        <f>0</f>
        <v>0</v>
      </c>
      <c r="P95" s="78">
        <f>0</f>
        <v>0</v>
      </c>
      <c r="Q95" s="78">
        <f>0</f>
        <v>0</v>
      </c>
      <c r="R95" s="78">
        <f>0</f>
        <v>0</v>
      </c>
      <c r="S95" s="78">
        <f>0</f>
        <v>0</v>
      </c>
      <c r="T95" s="78">
        <f>0</f>
        <v>0</v>
      </c>
      <c r="U95" s="78">
        <f>0</f>
        <v>0</v>
      </c>
    </row>
    <row r="96" spans="1:21" ht="30" customHeight="1">
      <c r="A96" s="72" t="s">
        <v>316</v>
      </c>
      <c r="B96" s="80" t="s">
        <v>317</v>
      </c>
      <c r="C96" s="74">
        <f>0</f>
        <v>0</v>
      </c>
      <c r="D96" s="75">
        <f>0</f>
        <v>0</v>
      </c>
      <c r="E96" s="75">
        <f>0</f>
        <v>0</v>
      </c>
      <c r="F96" s="76">
        <f>0</f>
        <v>0</v>
      </c>
      <c r="G96" s="77">
        <f>0</f>
        <v>0</v>
      </c>
      <c r="H96" s="78">
        <f>0</f>
        <v>0</v>
      </c>
      <c r="I96" s="78">
        <f>0</f>
        <v>0</v>
      </c>
      <c r="J96" s="78">
        <f>0</f>
        <v>0</v>
      </c>
      <c r="K96" s="78">
        <f>0</f>
        <v>0</v>
      </c>
      <c r="L96" s="78">
        <f>0</f>
        <v>0</v>
      </c>
      <c r="M96" s="78">
        <f>0</f>
        <v>0</v>
      </c>
      <c r="N96" s="78">
        <f>0</f>
        <v>0</v>
      </c>
      <c r="O96" s="78">
        <f>0</f>
        <v>0</v>
      </c>
      <c r="P96" s="78">
        <f>0</f>
        <v>0</v>
      </c>
      <c r="Q96" s="78">
        <f>0</f>
        <v>0</v>
      </c>
      <c r="R96" s="78">
        <f>0</f>
        <v>0</v>
      </c>
      <c r="S96" s="78">
        <f>0</f>
        <v>0</v>
      </c>
      <c r="T96" s="78">
        <f>0</f>
        <v>0</v>
      </c>
      <c r="U96" s="78">
        <f>0</f>
        <v>0</v>
      </c>
    </row>
    <row r="97" spans="1:21" ht="18.75" customHeight="1">
      <c r="A97" s="72" t="s">
        <v>318</v>
      </c>
      <c r="B97" s="88" t="s">
        <v>319</v>
      </c>
      <c r="C97" s="74">
        <f>0</f>
        <v>0</v>
      </c>
      <c r="D97" s="75">
        <f>0</f>
        <v>0</v>
      </c>
      <c r="E97" s="75">
        <f>0</f>
        <v>0</v>
      </c>
      <c r="F97" s="76">
        <f>0</f>
        <v>0</v>
      </c>
      <c r="G97" s="77">
        <f>0</f>
        <v>0</v>
      </c>
      <c r="H97" s="78">
        <f>0</f>
        <v>0</v>
      </c>
      <c r="I97" s="78">
        <f>0</f>
        <v>0</v>
      </c>
      <c r="J97" s="78">
        <f>0</f>
        <v>0</v>
      </c>
      <c r="K97" s="78">
        <f>0</f>
        <v>0</v>
      </c>
      <c r="L97" s="78">
        <f>0</f>
        <v>0</v>
      </c>
      <c r="M97" s="78">
        <f>0</f>
        <v>0</v>
      </c>
      <c r="N97" s="78">
        <f>0</f>
        <v>0</v>
      </c>
      <c r="O97" s="78">
        <f>0</f>
        <v>0</v>
      </c>
      <c r="P97" s="78">
        <f>0</f>
        <v>0</v>
      </c>
      <c r="Q97" s="78">
        <f>0</f>
        <v>0</v>
      </c>
      <c r="R97" s="78">
        <f>0</f>
        <v>0</v>
      </c>
      <c r="S97" s="78">
        <f>0</f>
        <v>0</v>
      </c>
      <c r="T97" s="78">
        <f>0</f>
        <v>0</v>
      </c>
      <c r="U97" s="78">
        <f>0</f>
        <v>0</v>
      </c>
    </row>
    <row r="98" spans="1:21" ht="34.5" customHeight="1">
      <c r="A98" s="72" t="s">
        <v>320</v>
      </c>
      <c r="B98" s="79" t="s">
        <v>321</v>
      </c>
      <c r="C98" s="74">
        <f>0</f>
        <v>0</v>
      </c>
      <c r="D98" s="75">
        <f>0</f>
        <v>0</v>
      </c>
      <c r="E98" s="75">
        <f>0</f>
        <v>0</v>
      </c>
      <c r="F98" s="76">
        <f>0</f>
        <v>0</v>
      </c>
      <c r="G98" s="77">
        <f>0</f>
        <v>0</v>
      </c>
      <c r="H98" s="78">
        <f>0</f>
        <v>0</v>
      </c>
      <c r="I98" s="78">
        <f>0</f>
        <v>0</v>
      </c>
      <c r="J98" s="78">
        <f>0</f>
        <v>0</v>
      </c>
      <c r="K98" s="78">
        <f>0</f>
        <v>0</v>
      </c>
      <c r="L98" s="78">
        <f>0</f>
        <v>0</v>
      </c>
      <c r="M98" s="78">
        <f>0</f>
        <v>0</v>
      </c>
      <c r="N98" s="78">
        <f>0</f>
        <v>0</v>
      </c>
      <c r="O98" s="78">
        <f>0</f>
        <v>0</v>
      </c>
      <c r="P98" s="78">
        <f>0</f>
        <v>0</v>
      </c>
      <c r="Q98" s="78">
        <f>0</f>
        <v>0</v>
      </c>
      <c r="R98" s="78">
        <f>0</f>
        <v>0</v>
      </c>
      <c r="S98" s="78">
        <f>0</f>
        <v>0</v>
      </c>
      <c r="T98" s="78">
        <f>0</f>
        <v>0</v>
      </c>
      <c r="U98" s="78">
        <f>0</f>
        <v>0</v>
      </c>
    </row>
    <row r="99" spans="1:21" ht="44.25" customHeight="1">
      <c r="A99" s="72" t="s">
        <v>322</v>
      </c>
      <c r="B99" s="73" t="s">
        <v>323</v>
      </c>
      <c r="C99" s="74">
        <f>0</f>
        <v>0</v>
      </c>
      <c r="D99" s="75">
        <f>0</f>
        <v>0</v>
      </c>
      <c r="E99" s="75">
        <f>0.07</f>
        <v>7.0000000000000007E-2</v>
      </c>
      <c r="F99" s="76">
        <f>0</f>
        <v>0</v>
      </c>
      <c r="G99" s="77">
        <f>0</f>
        <v>0</v>
      </c>
      <c r="H99" s="78">
        <f>0</f>
        <v>0</v>
      </c>
      <c r="I99" s="78">
        <f>0</f>
        <v>0</v>
      </c>
      <c r="J99" s="78">
        <f>0</f>
        <v>0</v>
      </c>
      <c r="K99" s="78">
        <f>0</f>
        <v>0</v>
      </c>
      <c r="L99" s="78">
        <f>0</f>
        <v>0</v>
      </c>
      <c r="M99" s="78">
        <f>0</f>
        <v>0</v>
      </c>
      <c r="N99" s="78">
        <f>0</f>
        <v>0</v>
      </c>
      <c r="O99" s="78">
        <f>0</f>
        <v>0</v>
      </c>
      <c r="P99" s="78">
        <f>0</f>
        <v>0</v>
      </c>
      <c r="Q99" s="78">
        <f>0</f>
        <v>0</v>
      </c>
      <c r="R99" s="78">
        <f>0</f>
        <v>0</v>
      </c>
      <c r="S99" s="78">
        <f>0</f>
        <v>0</v>
      </c>
      <c r="T99" s="78">
        <f>0</f>
        <v>0</v>
      </c>
      <c r="U99" s="78">
        <f>0</f>
        <v>0</v>
      </c>
    </row>
    <row r="100" spans="1:21" ht="46.5" customHeight="1">
      <c r="A100" s="72" t="s">
        <v>324</v>
      </c>
      <c r="B100" s="73" t="s">
        <v>325</v>
      </c>
      <c r="C100" s="74">
        <f>0</f>
        <v>0</v>
      </c>
      <c r="D100" s="75">
        <f>0</f>
        <v>0</v>
      </c>
      <c r="E100" s="75">
        <f>0</f>
        <v>0</v>
      </c>
      <c r="F100" s="76">
        <f>0</f>
        <v>0</v>
      </c>
      <c r="G100" s="77">
        <f>0</f>
        <v>0</v>
      </c>
      <c r="H100" s="78">
        <f>0</f>
        <v>0</v>
      </c>
      <c r="I100" s="78">
        <f>0</f>
        <v>0</v>
      </c>
      <c r="J100" s="78">
        <f>0</f>
        <v>0</v>
      </c>
      <c r="K100" s="78">
        <f>0</f>
        <v>0</v>
      </c>
      <c r="L100" s="78">
        <f>0</f>
        <v>0</v>
      </c>
      <c r="M100" s="78">
        <f>0</f>
        <v>0</v>
      </c>
      <c r="N100" s="78">
        <f>0</f>
        <v>0</v>
      </c>
      <c r="O100" s="78">
        <f>0</f>
        <v>0</v>
      </c>
      <c r="P100" s="78">
        <f>0</f>
        <v>0</v>
      </c>
      <c r="Q100" s="78">
        <f>0</f>
        <v>0</v>
      </c>
      <c r="R100" s="78">
        <f>0</f>
        <v>0</v>
      </c>
      <c r="S100" s="78">
        <f>0</f>
        <v>0</v>
      </c>
      <c r="T100" s="78">
        <f>0</f>
        <v>0</v>
      </c>
      <c r="U100" s="78">
        <f>0</f>
        <v>0</v>
      </c>
    </row>
    <row r="101" spans="1:21" ht="93" customHeight="1">
      <c r="A101" s="72" t="s">
        <v>326</v>
      </c>
      <c r="B101" s="73" t="s">
        <v>327</v>
      </c>
      <c r="C101" s="74">
        <f>0</f>
        <v>0</v>
      </c>
      <c r="D101" s="75">
        <f>0</f>
        <v>0</v>
      </c>
      <c r="E101" s="75">
        <f>0</f>
        <v>0</v>
      </c>
      <c r="F101" s="76">
        <f>0</f>
        <v>0</v>
      </c>
      <c r="G101" s="77">
        <f>16332</f>
        <v>16332</v>
      </c>
      <c r="H101" s="78">
        <f>16332</f>
        <v>16332</v>
      </c>
      <c r="I101" s="78">
        <f>16332</f>
        <v>16332</v>
      </c>
      <c r="J101" s="78">
        <f>16332</f>
        <v>16332</v>
      </c>
      <c r="K101" s="78">
        <f>16332</f>
        <v>16332</v>
      </c>
      <c r="L101" s="78">
        <f>16332</f>
        <v>16332</v>
      </c>
      <c r="M101" s="78">
        <f>801724</f>
        <v>801724</v>
      </c>
      <c r="N101" s="78">
        <f>800296</f>
        <v>800296</v>
      </c>
      <c r="O101" s="78">
        <f>0</f>
        <v>0</v>
      </c>
      <c r="P101" s="78">
        <f>0</f>
        <v>0</v>
      </c>
      <c r="Q101" s="78">
        <f>0</f>
        <v>0</v>
      </c>
      <c r="R101" s="78">
        <f>0</f>
        <v>0</v>
      </c>
      <c r="S101" s="78">
        <f>0</f>
        <v>0</v>
      </c>
      <c r="T101" s="78">
        <f>0</f>
        <v>0</v>
      </c>
      <c r="U101" s="78">
        <f>0</f>
        <v>0</v>
      </c>
    </row>
    <row r="102" spans="1:21" ht="31.5" customHeight="1">
      <c r="A102" s="72" t="s">
        <v>328</v>
      </c>
      <c r="B102" s="73" t="s">
        <v>329</v>
      </c>
      <c r="C102" s="74">
        <f>0</f>
        <v>0</v>
      </c>
      <c r="D102" s="75">
        <f>0</f>
        <v>0</v>
      </c>
      <c r="E102" s="75">
        <f>385330.88</f>
        <v>385330.88</v>
      </c>
      <c r="F102" s="76">
        <f>731690.06</f>
        <v>731690.06</v>
      </c>
      <c r="G102" s="77">
        <f>0</f>
        <v>0</v>
      </c>
      <c r="H102" s="78">
        <f>0</f>
        <v>0</v>
      </c>
      <c r="I102" s="78">
        <f>0</f>
        <v>0</v>
      </c>
      <c r="J102" s="78">
        <f>0</f>
        <v>0</v>
      </c>
      <c r="K102" s="78">
        <f>0</f>
        <v>0</v>
      </c>
      <c r="L102" s="78">
        <f>0</f>
        <v>0</v>
      </c>
      <c r="M102" s="78">
        <f>0</f>
        <v>0</v>
      </c>
      <c r="N102" s="78">
        <f>0</f>
        <v>0</v>
      </c>
      <c r="O102" s="78">
        <f>0</f>
        <v>0</v>
      </c>
      <c r="P102" s="78">
        <f>0</f>
        <v>0</v>
      </c>
      <c r="Q102" s="78">
        <f>0</f>
        <v>0</v>
      </c>
      <c r="R102" s="78">
        <f>0</f>
        <v>0</v>
      </c>
      <c r="S102" s="78">
        <f>0</f>
        <v>0</v>
      </c>
      <c r="T102" s="78">
        <f>0</f>
        <v>0</v>
      </c>
      <c r="U102" s="78">
        <f>0</f>
        <v>0</v>
      </c>
    </row>
    <row r="103" spans="1:21" ht="30" customHeight="1">
      <c r="A103" s="81">
        <v>11</v>
      </c>
      <c r="B103" s="82" t="s">
        <v>330</v>
      </c>
      <c r="C103" s="90" t="s">
        <v>240</v>
      </c>
      <c r="D103" s="91" t="s">
        <v>240</v>
      </c>
      <c r="E103" s="91" t="s">
        <v>240</v>
      </c>
      <c r="F103" s="92" t="s">
        <v>240</v>
      </c>
      <c r="G103" s="93" t="s">
        <v>240</v>
      </c>
      <c r="H103" s="94" t="s">
        <v>240</v>
      </c>
      <c r="I103" s="94" t="s">
        <v>240</v>
      </c>
      <c r="J103" s="94" t="s">
        <v>240</v>
      </c>
      <c r="K103" s="94" t="s">
        <v>240</v>
      </c>
      <c r="L103" s="94" t="s">
        <v>240</v>
      </c>
      <c r="M103" s="94" t="s">
        <v>240</v>
      </c>
      <c r="N103" s="94" t="s">
        <v>240</v>
      </c>
      <c r="O103" s="94" t="s">
        <v>240</v>
      </c>
      <c r="P103" s="94" t="s">
        <v>240</v>
      </c>
      <c r="Q103" s="94" t="s">
        <v>240</v>
      </c>
      <c r="R103" s="94" t="s">
        <v>240</v>
      </c>
      <c r="S103" s="94" t="s">
        <v>240</v>
      </c>
      <c r="T103" s="94" t="s">
        <v>240</v>
      </c>
      <c r="U103" s="94" t="s">
        <v>240</v>
      </c>
    </row>
    <row r="104" spans="1:21" ht="30" customHeight="1">
      <c r="A104" s="72" t="s">
        <v>331</v>
      </c>
      <c r="B104" s="73" t="s">
        <v>332</v>
      </c>
      <c r="C104" s="74">
        <f>0</f>
        <v>0</v>
      </c>
      <c r="D104" s="75">
        <f>0</f>
        <v>0</v>
      </c>
      <c r="E104" s="75">
        <f>0</f>
        <v>0</v>
      </c>
      <c r="F104" s="76">
        <f>0</f>
        <v>0</v>
      </c>
      <c r="G104" s="77">
        <f>0</f>
        <v>0</v>
      </c>
      <c r="H104" s="78">
        <f>0</f>
        <v>0</v>
      </c>
      <c r="I104" s="78">
        <f>0</f>
        <v>0</v>
      </c>
      <c r="J104" s="78">
        <f>0</f>
        <v>0</v>
      </c>
      <c r="K104" s="78">
        <f>0</f>
        <v>0</v>
      </c>
      <c r="L104" s="78">
        <f>0</f>
        <v>0</v>
      </c>
      <c r="M104" s="78">
        <f>0</f>
        <v>0</v>
      </c>
      <c r="N104" s="78">
        <f>0</f>
        <v>0</v>
      </c>
      <c r="O104" s="78">
        <f>0</f>
        <v>0</v>
      </c>
      <c r="P104" s="78">
        <f>0</f>
        <v>0</v>
      </c>
      <c r="Q104" s="78">
        <f>0</f>
        <v>0</v>
      </c>
      <c r="R104" s="78">
        <f>0</f>
        <v>0</v>
      </c>
      <c r="S104" s="78">
        <f>0</f>
        <v>0</v>
      </c>
      <c r="T104" s="78">
        <f>0</f>
        <v>0</v>
      </c>
      <c r="U104" s="78">
        <f>0</f>
        <v>0</v>
      </c>
    </row>
    <row r="105" spans="1:21" ht="24">
      <c r="A105" s="72" t="s">
        <v>333</v>
      </c>
      <c r="B105" s="79" t="s">
        <v>334</v>
      </c>
      <c r="C105" s="74">
        <f>0</f>
        <v>0</v>
      </c>
      <c r="D105" s="75">
        <f>0</f>
        <v>0</v>
      </c>
      <c r="E105" s="75">
        <f>0</f>
        <v>0</v>
      </c>
      <c r="F105" s="76">
        <f>0</f>
        <v>0</v>
      </c>
      <c r="G105" s="77">
        <f>0</f>
        <v>0</v>
      </c>
      <c r="H105" s="78">
        <f>0</f>
        <v>0</v>
      </c>
      <c r="I105" s="78">
        <f>0</f>
        <v>0</v>
      </c>
      <c r="J105" s="78">
        <f>0</f>
        <v>0</v>
      </c>
      <c r="K105" s="78">
        <f>0</f>
        <v>0</v>
      </c>
      <c r="L105" s="78">
        <f>0</f>
        <v>0</v>
      </c>
      <c r="M105" s="78">
        <f>0</f>
        <v>0</v>
      </c>
      <c r="N105" s="78">
        <f>0</f>
        <v>0</v>
      </c>
      <c r="O105" s="78">
        <f>0</f>
        <v>0</v>
      </c>
      <c r="P105" s="78">
        <f>0</f>
        <v>0</v>
      </c>
      <c r="Q105" s="78">
        <f>0</f>
        <v>0</v>
      </c>
      <c r="R105" s="78">
        <f>0</f>
        <v>0</v>
      </c>
      <c r="S105" s="78">
        <f>0</f>
        <v>0</v>
      </c>
      <c r="T105" s="78">
        <f>0</f>
        <v>0</v>
      </c>
      <c r="U105" s="78">
        <f>0</f>
        <v>0</v>
      </c>
    </row>
    <row r="106" spans="1:21" ht="42.75" customHeight="1">
      <c r="A106" s="72" t="s">
        <v>335</v>
      </c>
      <c r="B106" s="73" t="s">
        <v>336</v>
      </c>
      <c r="C106" s="74">
        <f>0</f>
        <v>0</v>
      </c>
      <c r="D106" s="75">
        <f>0</f>
        <v>0</v>
      </c>
      <c r="E106" s="75">
        <f>0</f>
        <v>0</v>
      </c>
      <c r="F106" s="76">
        <f>0</f>
        <v>0</v>
      </c>
      <c r="G106" s="77">
        <f>0</f>
        <v>0</v>
      </c>
      <c r="H106" s="78">
        <f>0</f>
        <v>0</v>
      </c>
      <c r="I106" s="78">
        <f>0</f>
        <v>0</v>
      </c>
      <c r="J106" s="78">
        <f>0</f>
        <v>0</v>
      </c>
      <c r="K106" s="78">
        <f>0</f>
        <v>0</v>
      </c>
      <c r="L106" s="78">
        <f>0</f>
        <v>0</v>
      </c>
      <c r="M106" s="78">
        <f>0</f>
        <v>0</v>
      </c>
      <c r="N106" s="78">
        <f>0</f>
        <v>0</v>
      </c>
      <c r="O106" s="78">
        <f>0</f>
        <v>0</v>
      </c>
      <c r="P106" s="78">
        <f>0</f>
        <v>0</v>
      </c>
      <c r="Q106" s="78">
        <f>0</f>
        <v>0</v>
      </c>
      <c r="R106" s="78">
        <f>0</f>
        <v>0</v>
      </c>
      <c r="S106" s="78">
        <f>0</f>
        <v>0</v>
      </c>
      <c r="T106" s="78">
        <f>0</f>
        <v>0</v>
      </c>
      <c r="U106" s="78">
        <f>0</f>
        <v>0</v>
      </c>
    </row>
    <row r="107" spans="1:21" ht="42" customHeight="1">
      <c r="A107" s="81">
        <v>12</v>
      </c>
      <c r="B107" s="82" t="s">
        <v>337</v>
      </c>
      <c r="C107" s="90" t="s">
        <v>240</v>
      </c>
      <c r="D107" s="91" t="s">
        <v>240</v>
      </c>
      <c r="E107" s="91" t="s">
        <v>240</v>
      </c>
      <c r="F107" s="92" t="s">
        <v>240</v>
      </c>
      <c r="G107" s="93" t="s">
        <v>240</v>
      </c>
      <c r="H107" s="94" t="s">
        <v>240</v>
      </c>
      <c r="I107" s="94" t="s">
        <v>240</v>
      </c>
      <c r="J107" s="94" t="s">
        <v>240</v>
      </c>
      <c r="K107" s="94" t="s">
        <v>240</v>
      </c>
      <c r="L107" s="94" t="s">
        <v>240</v>
      </c>
      <c r="M107" s="94" t="s">
        <v>240</v>
      </c>
      <c r="N107" s="94" t="s">
        <v>240</v>
      </c>
      <c r="O107" s="94" t="s">
        <v>240</v>
      </c>
      <c r="P107" s="94" t="s">
        <v>240</v>
      </c>
      <c r="Q107" s="94" t="s">
        <v>240</v>
      </c>
      <c r="R107" s="94" t="s">
        <v>240</v>
      </c>
      <c r="S107" s="94" t="s">
        <v>240</v>
      </c>
      <c r="T107" s="94" t="s">
        <v>240</v>
      </c>
      <c r="U107" s="94" t="s">
        <v>240</v>
      </c>
    </row>
    <row r="108" spans="1:21" ht="43.5" customHeight="1">
      <c r="A108" s="72" t="s">
        <v>338</v>
      </c>
      <c r="B108" s="73" t="s">
        <v>339</v>
      </c>
      <c r="C108" s="74">
        <f>0</f>
        <v>0</v>
      </c>
      <c r="D108" s="75">
        <f>0</f>
        <v>0</v>
      </c>
      <c r="E108" s="75">
        <f>0</f>
        <v>0</v>
      </c>
      <c r="F108" s="76">
        <f>0</f>
        <v>0</v>
      </c>
      <c r="G108" s="77">
        <f>0</f>
        <v>0</v>
      </c>
      <c r="H108" s="78">
        <f>0</f>
        <v>0</v>
      </c>
      <c r="I108" s="78">
        <f>0</f>
        <v>0</v>
      </c>
      <c r="J108" s="78">
        <f>0</f>
        <v>0</v>
      </c>
      <c r="K108" s="78">
        <f>0</f>
        <v>0</v>
      </c>
      <c r="L108" s="78">
        <f>0</f>
        <v>0</v>
      </c>
      <c r="M108" s="78">
        <f>0</f>
        <v>0</v>
      </c>
      <c r="N108" s="78">
        <f>0</f>
        <v>0</v>
      </c>
      <c r="O108" s="78">
        <f>0</f>
        <v>0</v>
      </c>
      <c r="P108" s="78">
        <f>0</f>
        <v>0</v>
      </c>
      <c r="Q108" s="78">
        <f>0</f>
        <v>0</v>
      </c>
      <c r="R108" s="78">
        <f>0</f>
        <v>0</v>
      </c>
      <c r="S108" s="78">
        <f>0</f>
        <v>0</v>
      </c>
      <c r="T108" s="78">
        <f>0</f>
        <v>0</v>
      </c>
      <c r="U108" s="78">
        <f>0</f>
        <v>0</v>
      </c>
    </row>
    <row r="109" spans="1:21" ht="29.25" customHeight="1">
      <c r="A109" s="72" t="s">
        <v>340</v>
      </c>
      <c r="B109" s="73" t="s">
        <v>341</v>
      </c>
      <c r="C109" s="90" t="s">
        <v>240</v>
      </c>
      <c r="D109" s="91" t="s">
        <v>240</v>
      </c>
      <c r="E109" s="91" t="s">
        <v>240</v>
      </c>
      <c r="F109" s="92" t="s">
        <v>240</v>
      </c>
      <c r="G109" s="105">
        <f>0</f>
        <v>0</v>
      </c>
      <c r="H109" s="106">
        <f>0</f>
        <v>0</v>
      </c>
      <c r="I109" s="106">
        <f>0</f>
        <v>0</v>
      </c>
      <c r="J109" s="106">
        <f>0</f>
        <v>0</v>
      </c>
      <c r="K109" s="106">
        <f>0</f>
        <v>0</v>
      </c>
      <c r="L109" s="106">
        <f>0</f>
        <v>0</v>
      </c>
      <c r="M109" s="106">
        <f>0</f>
        <v>0</v>
      </c>
      <c r="N109" s="106">
        <f>0</f>
        <v>0</v>
      </c>
      <c r="O109" s="106">
        <f>0</f>
        <v>0</v>
      </c>
      <c r="P109" s="106">
        <f>0</f>
        <v>0</v>
      </c>
      <c r="Q109" s="106">
        <f>0</f>
        <v>0</v>
      </c>
      <c r="R109" s="106">
        <f>0</f>
        <v>0</v>
      </c>
      <c r="S109" s="106">
        <f>0</f>
        <v>0</v>
      </c>
      <c r="T109" s="106">
        <f>0</f>
        <v>0</v>
      </c>
      <c r="U109" s="106">
        <f>0</f>
        <v>0</v>
      </c>
    </row>
    <row r="110" spans="1:21" ht="35.25" customHeight="1">
      <c r="A110" s="107" t="s">
        <v>342</v>
      </c>
      <c r="B110" s="108" t="s">
        <v>343</v>
      </c>
      <c r="C110" s="109" t="s">
        <v>240</v>
      </c>
      <c r="D110" s="110" t="s">
        <v>240</v>
      </c>
      <c r="E110" s="110" t="s">
        <v>240</v>
      </c>
      <c r="F110" s="111" t="s">
        <v>240</v>
      </c>
      <c r="G110" s="112">
        <f>0</f>
        <v>0</v>
      </c>
      <c r="H110" s="113">
        <f>0</f>
        <v>0</v>
      </c>
      <c r="I110" s="113">
        <f>0</f>
        <v>0</v>
      </c>
      <c r="J110" s="113">
        <f>0</f>
        <v>0</v>
      </c>
      <c r="K110" s="113">
        <f>0</f>
        <v>0</v>
      </c>
      <c r="L110" s="113">
        <f>0</f>
        <v>0</v>
      </c>
      <c r="M110" s="113">
        <f>0</f>
        <v>0</v>
      </c>
      <c r="N110" s="113">
        <f>0</f>
        <v>0</v>
      </c>
      <c r="O110" s="113">
        <f>0</f>
        <v>0</v>
      </c>
      <c r="P110" s="113">
        <f>0</f>
        <v>0</v>
      </c>
      <c r="Q110" s="113">
        <f>0</f>
        <v>0</v>
      </c>
      <c r="R110" s="113">
        <f>0</f>
        <v>0</v>
      </c>
      <c r="S110" s="113">
        <f>0</f>
        <v>0</v>
      </c>
      <c r="T110" s="113">
        <f>0</f>
        <v>0</v>
      </c>
      <c r="U110" s="113">
        <f>0</f>
        <v>0</v>
      </c>
    </row>
    <row r="111" spans="1:21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</row>
    <row r="112" spans="1:21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</row>
    <row r="113" spans="2:21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</row>
    <row r="114" spans="2:21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</row>
    <row r="115" spans="2:21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</row>
  </sheetData>
  <sheetProtection algorithmName="SHA-512" hashValue="ibauoyON7ytPOaghbFoIBFojF9Osdcd9nDKXyybjLd3BYK69V8gzdMT121MTzxYY98vqXGDJy856Nex1Zk1cQw==" saltValue="RyjC1VHsmhzicDHfNWOGWA==" spinCount="100000" sheet="1" objects="1" scenarios="1" formatCells="0" formatColumns="0" formatRows="0" insertColumns="0" deleteColumns="0"/>
  <mergeCells count="2">
    <mergeCell ref="C2:D2"/>
    <mergeCell ref="A1:U1"/>
  </mergeCells>
  <conditionalFormatting sqref="G57:U58">
    <cfRule type="expression" dxfId="1" priority="14" stopIfTrue="1">
      <formula>LEFT(G57,3)="Nie"</formula>
    </cfRule>
  </conditionalFormatting>
  <conditionalFormatting sqref="G65:U66 G69:U70">
    <cfRule type="cellIs" dxfId="0" priority="13" stopIfTrue="1" operator="equal">
      <formula>"Nie spełniona"</formula>
    </cfRule>
  </conditionalFormatting>
  <pageMargins left="0" right="0" top="1.1811023622047245" bottom="0.70866141732283472" header="0.70866141732283472" footer="0.47244094488188981"/>
  <pageSetup paperSize="9" scale="56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.................
Rady  Powiatu  Otwockiego
z dnia ...............................</firstHeader>
    <firstFooter>&amp;C&amp;P</firstFooter>
  </headerFooter>
  <rowBreaks count="3" manualBreakCount="3">
    <brk id="50" max="20" man="1"/>
    <brk id="81" max="20" man="1"/>
    <brk id="10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E188"/>
  <sheetViews>
    <sheetView zoomScale="98" zoomScaleNormal="98" workbookViewId="0">
      <pane ySplit="5" topLeftCell="A18" activePane="bottomLeft" state="frozen"/>
      <selection pane="bottomLeft" activeCell="G39" sqref="G39"/>
    </sheetView>
  </sheetViews>
  <sheetFormatPr defaultRowHeight="12.75"/>
  <cols>
    <col min="1" max="1" width="7.85546875" style="27" customWidth="1"/>
    <col min="2" max="2" width="53" style="1" customWidth="1"/>
    <col min="3" max="3" width="19.42578125" style="3" customWidth="1"/>
    <col min="4" max="5" width="7.42578125" style="27" customWidth="1"/>
    <col min="6" max="6" width="14.7109375" style="4" customWidth="1"/>
    <col min="7" max="7" width="15.42578125" style="1" customWidth="1"/>
    <col min="8" max="8" width="14.5703125" style="1" customWidth="1"/>
    <col min="9" max="9" width="13.7109375" style="1" customWidth="1"/>
    <col min="10" max="10" width="13.5703125" style="1" customWidth="1"/>
    <col min="11" max="11" width="14.28515625" style="1" customWidth="1"/>
    <col min="12" max="12" width="13.42578125" style="1" customWidth="1"/>
    <col min="13" max="13" width="13.5703125" style="1" customWidth="1"/>
    <col min="14" max="14" width="14.7109375" style="1" customWidth="1"/>
    <col min="15" max="15" width="15.85546875" style="4" customWidth="1"/>
    <col min="16" max="16" width="23.5703125" style="24" customWidth="1"/>
    <col min="17" max="213" width="9.140625" style="24"/>
    <col min="214" max="243" width="9.140625" style="1"/>
    <col min="244" max="244" width="1" style="1" customWidth="1"/>
    <col min="245" max="245" width="39.140625" style="1" customWidth="1"/>
    <col min="246" max="246" width="21.42578125" style="1" customWidth="1"/>
    <col min="247" max="247" width="11.28515625" style="1" customWidth="1"/>
    <col min="248" max="248" width="9.5703125" style="1" customWidth="1"/>
    <col min="249" max="249" width="13.5703125" style="1" customWidth="1"/>
    <col min="250" max="259" width="12.140625" style="1" customWidth="1"/>
    <col min="260" max="269" width="0" style="1" hidden="1" customWidth="1"/>
    <col min="270" max="270" width="14.140625" style="1" customWidth="1"/>
    <col min="271" max="499" width="9.140625" style="1"/>
    <col min="500" max="500" width="1" style="1" customWidth="1"/>
    <col min="501" max="501" width="39.140625" style="1" customWidth="1"/>
    <col min="502" max="502" width="21.42578125" style="1" customWidth="1"/>
    <col min="503" max="503" width="11.28515625" style="1" customWidth="1"/>
    <col min="504" max="504" width="9.5703125" style="1" customWidth="1"/>
    <col min="505" max="505" width="13.5703125" style="1" customWidth="1"/>
    <col min="506" max="515" width="12.140625" style="1" customWidth="1"/>
    <col min="516" max="525" width="0" style="1" hidden="1" customWidth="1"/>
    <col min="526" max="526" width="14.140625" style="1" customWidth="1"/>
    <col min="527" max="755" width="9.140625" style="1"/>
    <col min="756" max="756" width="1" style="1" customWidth="1"/>
    <col min="757" max="757" width="39.140625" style="1" customWidth="1"/>
    <col min="758" max="758" width="21.42578125" style="1" customWidth="1"/>
    <col min="759" max="759" width="11.28515625" style="1" customWidth="1"/>
    <col min="760" max="760" width="9.5703125" style="1" customWidth="1"/>
    <col min="761" max="761" width="13.5703125" style="1" customWidth="1"/>
    <col min="762" max="771" width="12.140625" style="1" customWidth="1"/>
    <col min="772" max="781" width="0" style="1" hidden="1" customWidth="1"/>
    <col min="782" max="782" width="14.140625" style="1" customWidth="1"/>
    <col min="783" max="1011" width="9.140625" style="1"/>
    <col min="1012" max="1012" width="1" style="1" customWidth="1"/>
    <col min="1013" max="1013" width="39.140625" style="1" customWidth="1"/>
    <col min="1014" max="1014" width="21.42578125" style="1" customWidth="1"/>
    <col min="1015" max="1015" width="11.28515625" style="1" customWidth="1"/>
    <col min="1016" max="1016" width="9.5703125" style="1" customWidth="1"/>
    <col min="1017" max="1017" width="13.5703125" style="1" customWidth="1"/>
    <col min="1018" max="1027" width="12.140625" style="1" customWidth="1"/>
    <col min="1028" max="1037" width="0" style="1" hidden="1" customWidth="1"/>
    <col min="1038" max="1038" width="14.140625" style="1" customWidth="1"/>
    <col min="1039" max="1267" width="9.140625" style="1"/>
    <col min="1268" max="1268" width="1" style="1" customWidth="1"/>
    <col min="1269" max="1269" width="39.140625" style="1" customWidth="1"/>
    <col min="1270" max="1270" width="21.42578125" style="1" customWidth="1"/>
    <col min="1271" max="1271" width="11.28515625" style="1" customWidth="1"/>
    <col min="1272" max="1272" width="9.5703125" style="1" customWidth="1"/>
    <col min="1273" max="1273" width="13.5703125" style="1" customWidth="1"/>
    <col min="1274" max="1283" width="12.140625" style="1" customWidth="1"/>
    <col min="1284" max="1293" width="0" style="1" hidden="1" customWidth="1"/>
    <col min="1294" max="1294" width="14.140625" style="1" customWidth="1"/>
    <col min="1295" max="1523" width="9.140625" style="1"/>
    <col min="1524" max="1524" width="1" style="1" customWidth="1"/>
    <col min="1525" max="1525" width="39.140625" style="1" customWidth="1"/>
    <col min="1526" max="1526" width="21.42578125" style="1" customWidth="1"/>
    <col min="1527" max="1527" width="11.28515625" style="1" customWidth="1"/>
    <col min="1528" max="1528" width="9.5703125" style="1" customWidth="1"/>
    <col min="1529" max="1529" width="13.5703125" style="1" customWidth="1"/>
    <col min="1530" max="1539" width="12.140625" style="1" customWidth="1"/>
    <col min="1540" max="1549" width="0" style="1" hidden="1" customWidth="1"/>
    <col min="1550" max="1550" width="14.140625" style="1" customWidth="1"/>
    <col min="1551" max="1779" width="9.140625" style="1"/>
    <col min="1780" max="1780" width="1" style="1" customWidth="1"/>
    <col min="1781" max="1781" width="39.140625" style="1" customWidth="1"/>
    <col min="1782" max="1782" width="21.42578125" style="1" customWidth="1"/>
    <col min="1783" max="1783" width="11.28515625" style="1" customWidth="1"/>
    <col min="1784" max="1784" width="9.5703125" style="1" customWidth="1"/>
    <col min="1785" max="1785" width="13.5703125" style="1" customWidth="1"/>
    <col min="1786" max="1795" width="12.140625" style="1" customWidth="1"/>
    <col min="1796" max="1805" width="0" style="1" hidden="1" customWidth="1"/>
    <col min="1806" max="1806" width="14.140625" style="1" customWidth="1"/>
    <col min="1807" max="2035" width="9.140625" style="1"/>
    <col min="2036" max="2036" width="1" style="1" customWidth="1"/>
    <col min="2037" max="2037" width="39.140625" style="1" customWidth="1"/>
    <col min="2038" max="2038" width="21.42578125" style="1" customWidth="1"/>
    <col min="2039" max="2039" width="11.28515625" style="1" customWidth="1"/>
    <col min="2040" max="2040" width="9.5703125" style="1" customWidth="1"/>
    <col min="2041" max="2041" width="13.5703125" style="1" customWidth="1"/>
    <col min="2042" max="2051" width="12.140625" style="1" customWidth="1"/>
    <col min="2052" max="2061" width="0" style="1" hidden="1" customWidth="1"/>
    <col min="2062" max="2062" width="14.140625" style="1" customWidth="1"/>
    <col min="2063" max="2291" width="9.140625" style="1"/>
    <col min="2292" max="2292" width="1" style="1" customWidth="1"/>
    <col min="2293" max="2293" width="39.140625" style="1" customWidth="1"/>
    <col min="2294" max="2294" width="21.42578125" style="1" customWidth="1"/>
    <col min="2295" max="2295" width="11.28515625" style="1" customWidth="1"/>
    <col min="2296" max="2296" width="9.5703125" style="1" customWidth="1"/>
    <col min="2297" max="2297" width="13.5703125" style="1" customWidth="1"/>
    <col min="2298" max="2307" width="12.140625" style="1" customWidth="1"/>
    <col min="2308" max="2317" width="0" style="1" hidden="1" customWidth="1"/>
    <col min="2318" max="2318" width="14.140625" style="1" customWidth="1"/>
    <col min="2319" max="2547" width="9.140625" style="1"/>
    <col min="2548" max="2548" width="1" style="1" customWidth="1"/>
    <col min="2549" max="2549" width="39.140625" style="1" customWidth="1"/>
    <col min="2550" max="2550" width="21.42578125" style="1" customWidth="1"/>
    <col min="2551" max="2551" width="11.28515625" style="1" customWidth="1"/>
    <col min="2552" max="2552" width="9.5703125" style="1" customWidth="1"/>
    <col min="2553" max="2553" width="13.5703125" style="1" customWidth="1"/>
    <col min="2554" max="2563" width="12.140625" style="1" customWidth="1"/>
    <col min="2564" max="2573" width="0" style="1" hidden="1" customWidth="1"/>
    <col min="2574" max="2574" width="14.140625" style="1" customWidth="1"/>
    <col min="2575" max="2803" width="9.140625" style="1"/>
    <col min="2804" max="2804" width="1" style="1" customWidth="1"/>
    <col min="2805" max="2805" width="39.140625" style="1" customWidth="1"/>
    <col min="2806" max="2806" width="21.42578125" style="1" customWidth="1"/>
    <col min="2807" max="2807" width="11.28515625" style="1" customWidth="1"/>
    <col min="2808" max="2808" width="9.5703125" style="1" customWidth="1"/>
    <col min="2809" max="2809" width="13.5703125" style="1" customWidth="1"/>
    <col min="2810" max="2819" width="12.140625" style="1" customWidth="1"/>
    <col min="2820" max="2829" width="0" style="1" hidden="1" customWidth="1"/>
    <col min="2830" max="2830" width="14.140625" style="1" customWidth="1"/>
    <col min="2831" max="3059" width="9.140625" style="1"/>
    <col min="3060" max="3060" width="1" style="1" customWidth="1"/>
    <col min="3061" max="3061" width="39.140625" style="1" customWidth="1"/>
    <col min="3062" max="3062" width="21.42578125" style="1" customWidth="1"/>
    <col min="3063" max="3063" width="11.28515625" style="1" customWidth="1"/>
    <col min="3064" max="3064" width="9.5703125" style="1" customWidth="1"/>
    <col min="3065" max="3065" width="13.5703125" style="1" customWidth="1"/>
    <col min="3066" max="3075" width="12.140625" style="1" customWidth="1"/>
    <col min="3076" max="3085" width="0" style="1" hidden="1" customWidth="1"/>
    <col min="3086" max="3086" width="14.140625" style="1" customWidth="1"/>
    <col min="3087" max="3315" width="9.140625" style="1"/>
    <col min="3316" max="3316" width="1" style="1" customWidth="1"/>
    <col min="3317" max="3317" width="39.140625" style="1" customWidth="1"/>
    <col min="3318" max="3318" width="21.42578125" style="1" customWidth="1"/>
    <col min="3319" max="3319" width="11.28515625" style="1" customWidth="1"/>
    <col min="3320" max="3320" width="9.5703125" style="1" customWidth="1"/>
    <col min="3321" max="3321" width="13.5703125" style="1" customWidth="1"/>
    <col min="3322" max="3331" width="12.140625" style="1" customWidth="1"/>
    <col min="3332" max="3341" width="0" style="1" hidden="1" customWidth="1"/>
    <col min="3342" max="3342" width="14.140625" style="1" customWidth="1"/>
    <col min="3343" max="3571" width="9.140625" style="1"/>
    <col min="3572" max="3572" width="1" style="1" customWidth="1"/>
    <col min="3573" max="3573" width="39.140625" style="1" customWidth="1"/>
    <col min="3574" max="3574" width="21.42578125" style="1" customWidth="1"/>
    <col min="3575" max="3575" width="11.28515625" style="1" customWidth="1"/>
    <col min="3576" max="3576" width="9.5703125" style="1" customWidth="1"/>
    <col min="3577" max="3577" width="13.5703125" style="1" customWidth="1"/>
    <col min="3578" max="3587" width="12.140625" style="1" customWidth="1"/>
    <col min="3588" max="3597" width="0" style="1" hidden="1" customWidth="1"/>
    <col min="3598" max="3598" width="14.140625" style="1" customWidth="1"/>
    <col min="3599" max="3827" width="9.140625" style="1"/>
    <col min="3828" max="3828" width="1" style="1" customWidth="1"/>
    <col min="3829" max="3829" width="39.140625" style="1" customWidth="1"/>
    <col min="3830" max="3830" width="21.42578125" style="1" customWidth="1"/>
    <col min="3831" max="3831" width="11.28515625" style="1" customWidth="1"/>
    <col min="3832" max="3832" width="9.5703125" style="1" customWidth="1"/>
    <col min="3833" max="3833" width="13.5703125" style="1" customWidth="1"/>
    <col min="3834" max="3843" width="12.140625" style="1" customWidth="1"/>
    <col min="3844" max="3853" width="0" style="1" hidden="1" customWidth="1"/>
    <col min="3854" max="3854" width="14.140625" style="1" customWidth="1"/>
    <col min="3855" max="4083" width="9.140625" style="1"/>
    <col min="4084" max="4084" width="1" style="1" customWidth="1"/>
    <col min="4085" max="4085" width="39.140625" style="1" customWidth="1"/>
    <col min="4086" max="4086" width="21.42578125" style="1" customWidth="1"/>
    <col min="4087" max="4087" width="11.28515625" style="1" customWidth="1"/>
    <col min="4088" max="4088" width="9.5703125" style="1" customWidth="1"/>
    <col min="4089" max="4089" width="13.5703125" style="1" customWidth="1"/>
    <col min="4090" max="4099" width="12.140625" style="1" customWidth="1"/>
    <col min="4100" max="4109" width="0" style="1" hidden="1" customWidth="1"/>
    <col min="4110" max="4110" width="14.140625" style="1" customWidth="1"/>
    <col min="4111" max="4339" width="9.140625" style="1"/>
    <col min="4340" max="4340" width="1" style="1" customWidth="1"/>
    <col min="4341" max="4341" width="39.140625" style="1" customWidth="1"/>
    <col min="4342" max="4342" width="21.42578125" style="1" customWidth="1"/>
    <col min="4343" max="4343" width="11.28515625" style="1" customWidth="1"/>
    <col min="4344" max="4344" width="9.5703125" style="1" customWidth="1"/>
    <col min="4345" max="4345" width="13.5703125" style="1" customWidth="1"/>
    <col min="4346" max="4355" width="12.140625" style="1" customWidth="1"/>
    <col min="4356" max="4365" width="0" style="1" hidden="1" customWidth="1"/>
    <col min="4366" max="4366" width="14.140625" style="1" customWidth="1"/>
    <col min="4367" max="4595" width="9.140625" style="1"/>
    <col min="4596" max="4596" width="1" style="1" customWidth="1"/>
    <col min="4597" max="4597" width="39.140625" style="1" customWidth="1"/>
    <col min="4598" max="4598" width="21.42578125" style="1" customWidth="1"/>
    <col min="4599" max="4599" width="11.28515625" style="1" customWidth="1"/>
    <col min="4600" max="4600" width="9.5703125" style="1" customWidth="1"/>
    <col min="4601" max="4601" width="13.5703125" style="1" customWidth="1"/>
    <col min="4602" max="4611" width="12.140625" style="1" customWidth="1"/>
    <col min="4612" max="4621" width="0" style="1" hidden="1" customWidth="1"/>
    <col min="4622" max="4622" width="14.140625" style="1" customWidth="1"/>
    <col min="4623" max="4851" width="9.140625" style="1"/>
    <col min="4852" max="4852" width="1" style="1" customWidth="1"/>
    <col min="4853" max="4853" width="39.140625" style="1" customWidth="1"/>
    <col min="4854" max="4854" width="21.42578125" style="1" customWidth="1"/>
    <col min="4855" max="4855" width="11.28515625" style="1" customWidth="1"/>
    <col min="4856" max="4856" width="9.5703125" style="1" customWidth="1"/>
    <col min="4857" max="4857" width="13.5703125" style="1" customWidth="1"/>
    <col min="4858" max="4867" width="12.140625" style="1" customWidth="1"/>
    <col min="4868" max="4877" width="0" style="1" hidden="1" customWidth="1"/>
    <col min="4878" max="4878" width="14.140625" style="1" customWidth="1"/>
    <col min="4879" max="5107" width="9.140625" style="1"/>
    <col min="5108" max="5108" width="1" style="1" customWidth="1"/>
    <col min="5109" max="5109" width="39.140625" style="1" customWidth="1"/>
    <col min="5110" max="5110" width="21.42578125" style="1" customWidth="1"/>
    <col min="5111" max="5111" width="11.28515625" style="1" customWidth="1"/>
    <col min="5112" max="5112" width="9.5703125" style="1" customWidth="1"/>
    <col min="5113" max="5113" width="13.5703125" style="1" customWidth="1"/>
    <col min="5114" max="5123" width="12.140625" style="1" customWidth="1"/>
    <col min="5124" max="5133" width="0" style="1" hidden="1" customWidth="1"/>
    <col min="5134" max="5134" width="14.140625" style="1" customWidth="1"/>
    <col min="5135" max="5363" width="9.140625" style="1"/>
    <col min="5364" max="5364" width="1" style="1" customWidth="1"/>
    <col min="5365" max="5365" width="39.140625" style="1" customWidth="1"/>
    <col min="5366" max="5366" width="21.42578125" style="1" customWidth="1"/>
    <col min="5367" max="5367" width="11.28515625" style="1" customWidth="1"/>
    <col min="5368" max="5368" width="9.5703125" style="1" customWidth="1"/>
    <col min="5369" max="5369" width="13.5703125" style="1" customWidth="1"/>
    <col min="5370" max="5379" width="12.140625" style="1" customWidth="1"/>
    <col min="5380" max="5389" width="0" style="1" hidden="1" customWidth="1"/>
    <col min="5390" max="5390" width="14.140625" style="1" customWidth="1"/>
    <col min="5391" max="5619" width="9.140625" style="1"/>
    <col min="5620" max="5620" width="1" style="1" customWidth="1"/>
    <col min="5621" max="5621" width="39.140625" style="1" customWidth="1"/>
    <col min="5622" max="5622" width="21.42578125" style="1" customWidth="1"/>
    <col min="5623" max="5623" width="11.28515625" style="1" customWidth="1"/>
    <col min="5624" max="5624" width="9.5703125" style="1" customWidth="1"/>
    <col min="5625" max="5625" width="13.5703125" style="1" customWidth="1"/>
    <col min="5626" max="5635" width="12.140625" style="1" customWidth="1"/>
    <col min="5636" max="5645" width="0" style="1" hidden="1" customWidth="1"/>
    <col min="5646" max="5646" width="14.140625" style="1" customWidth="1"/>
    <col min="5647" max="5875" width="9.140625" style="1"/>
    <col min="5876" max="5876" width="1" style="1" customWidth="1"/>
    <col min="5877" max="5877" width="39.140625" style="1" customWidth="1"/>
    <col min="5878" max="5878" width="21.42578125" style="1" customWidth="1"/>
    <col min="5879" max="5879" width="11.28515625" style="1" customWidth="1"/>
    <col min="5880" max="5880" width="9.5703125" style="1" customWidth="1"/>
    <col min="5881" max="5881" width="13.5703125" style="1" customWidth="1"/>
    <col min="5882" max="5891" width="12.140625" style="1" customWidth="1"/>
    <col min="5892" max="5901" width="0" style="1" hidden="1" customWidth="1"/>
    <col min="5902" max="5902" width="14.140625" style="1" customWidth="1"/>
    <col min="5903" max="6131" width="9.140625" style="1"/>
    <col min="6132" max="6132" width="1" style="1" customWidth="1"/>
    <col min="6133" max="6133" width="39.140625" style="1" customWidth="1"/>
    <col min="6134" max="6134" width="21.42578125" style="1" customWidth="1"/>
    <col min="6135" max="6135" width="11.28515625" style="1" customWidth="1"/>
    <col min="6136" max="6136" width="9.5703125" style="1" customWidth="1"/>
    <col min="6137" max="6137" width="13.5703125" style="1" customWidth="1"/>
    <col min="6138" max="6147" width="12.140625" style="1" customWidth="1"/>
    <col min="6148" max="6157" width="0" style="1" hidden="1" customWidth="1"/>
    <col min="6158" max="6158" width="14.140625" style="1" customWidth="1"/>
    <col min="6159" max="6387" width="9.140625" style="1"/>
    <col min="6388" max="6388" width="1" style="1" customWidth="1"/>
    <col min="6389" max="6389" width="39.140625" style="1" customWidth="1"/>
    <col min="6390" max="6390" width="21.42578125" style="1" customWidth="1"/>
    <col min="6391" max="6391" width="11.28515625" style="1" customWidth="1"/>
    <col min="6392" max="6392" width="9.5703125" style="1" customWidth="1"/>
    <col min="6393" max="6393" width="13.5703125" style="1" customWidth="1"/>
    <col min="6394" max="6403" width="12.140625" style="1" customWidth="1"/>
    <col min="6404" max="6413" width="0" style="1" hidden="1" customWidth="1"/>
    <col min="6414" max="6414" width="14.140625" style="1" customWidth="1"/>
    <col min="6415" max="6643" width="9.140625" style="1"/>
    <col min="6644" max="6644" width="1" style="1" customWidth="1"/>
    <col min="6645" max="6645" width="39.140625" style="1" customWidth="1"/>
    <col min="6646" max="6646" width="21.42578125" style="1" customWidth="1"/>
    <col min="6647" max="6647" width="11.28515625" style="1" customWidth="1"/>
    <col min="6648" max="6648" width="9.5703125" style="1" customWidth="1"/>
    <col min="6649" max="6649" width="13.5703125" style="1" customWidth="1"/>
    <col min="6650" max="6659" width="12.140625" style="1" customWidth="1"/>
    <col min="6660" max="6669" width="0" style="1" hidden="1" customWidth="1"/>
    <col min="6670" max="6670" width="14.140625" style="1" customWidth="1"/>
    <col min="6671" max="6899" width="9.140625" style="1"/>
    <col min="6900" max="6900" width="1" style="1" customWidth="1"/>
    <col min="6901" max="6901" width="39.140625" style="1" customWidth="1"/>
    <col min="6902" max="6902" width="21.42578125" style="1" customWidth="1"/>
    <col min="6903" max="6903" width="11.28515625" style="1" customWidth="1"/>
    <col min="6904" max="6904" width="9.5703125" style="1" customWidth="1"/>
    <col min="6905" max="6905" width="13.5703125" style="1" customWidth="1"/>
    <col min="6906" max="6915" width="12.140625" style="1" customWidth="1"/>
    <col min="6916" max="6925" width="0" style="1" hidden="1" customWidth="1"/>
    <col min="6926" max="6926" width="14.140625" style="1" customWidth="1"/>
    <col min="6927" max="7155" width="9.140625" style="1"/>
    <col min="7156" max="7156" width="1" style="1" customWidth="1"/>
    <col min="7157" max="7157" width="39.140625" style="1" customWidth="1"/>
    <col min="7158" max="7158" width="21.42578125" style="1" customWidth="1"/>
    <col min="7159" max="7159" width="11.28515625" style="1" customWidth="1"/>
    <col min="7160" max="7160" width="9.5703125" style="1" customWidth="1"/>
    <col min="7161" max="7161" width="13.5703125" style="1" customWidth="1"/>
    <col min="7162" max="7171" width="12.140625" style="1" customWidth="1"/>
    <col min="7172" max="7181" width="0" style="1" hidden="1" customWidth="1"/>
    <col min="7182" max="7182" width="14.140625" style="1" customWidth="1"/>
    <col min="7183" max="7411" width="9.140625" style="1"/>
    <col min="7412" max="7412" width="1" style="1" customWidth="1"/>
    <col min="7413" max="7413" width="39.140625" style="1" customWidth="1"/>
    <col min="7414" max="7414" width="21.42578125" style="1" customWidth="1"/>
    <col min="7415" max="7415" width="11.28515625" style="1" customWidth="1"/>
    <col min="7416" max="7416" width="9.5703125" style="1" customWidth="1"/>
    <col min="7417" max="7417" width="13.5703125" style="1" customWidth="1"/>
    <col min="7418" max="7427" width="12.140625" style="1" customWidth="1"/>
    <col min="7428" max="7437" width="0" style="1" hidden="1" customWidth="1"/>
    <col min="7438" max="7438" width="14.140625" style="1" customWidth="1"/>
    <col min="7439" max="7667" width="9.140625" style="1"/>
    <col min="7668" max="7668" width="1" style="1" customWidth="1"/>
    <col min="7669" max="7669" width="39.140625" style="1" customWidth="1"/>
    <col min="7670" max="7670" width="21.42578125" style="1" customWidth="1"/>
    <col min="7671" max="7671" width="11.28515625" style="1" customWidth="1"/>
    <col min="7672" max="7672" width="9.5703125" style="1" customWidth="1"/>
    <col min="7673" max="7673" width="13.5703125" style="1" customWidth="1"/>
    <col min="7674" max="7683" width="12.140625" style="1" customWidth="1"/>
    <col min="7684" max="7693" width="0" style="1" hidden="1" customWidth="1"/>
    <col min="7694" max="7694" width="14.140625" style="1" customWidth="1"/>
    <col min="7695" max="7923" width="9.140625" style="1"/>
    <col min="7924" max="7924" width="1" style="1" customWidth="1"/>
    <col min="7925" max="7925" width="39.140625" style="1" customWidth="1"/>
    <col min="7926" max="7926" width="21.42578125" style="1" customWidth="1"/>
    <col min="7927" max="7927" width="11.28515625" style="1" customWidth="1"/>
    <col min="7928" max="7928" width="9.5703125" style="1" customWidth="1"/>
    <col min="7929" max="7929" width="13.5703125" style="1" customWidth="1"/>
    <col min="7930" max="7939" width="12.140625" style="1" customWidth="1"/>
    <col min="7940" max="7949" width="0" style="1" hidden="1" customWidth="1"/>
    <col min="7950" max="7950" width="14.140625" style="1" customWidth="1"/>
    <col min="7951" max="8179" width="9.140625" style="1"/>
    <col min="8180" max="8180" width="1" style="1" customWidth="1"/>
    <col min="8181" max="8181" width="39.140625" style="1" customWidth="1"/>
    <col min="8182" max="8182" width="21.42578125" style="1" customWidth="1"/>
    <col min="8183" max="8183" width="11.28515625" style="1" customWidth="1"/>
    <col min="8184" max="8184" width="9.5703125" style="1" customWidth="1"/>
    <col min="8185" max="8185" width="13.5703125" style="1" customWidth="1"/>
    <col min="8186" max="8195" width="12.140625" style="1" customWidth="1"/>
    <col min="8196" max="8205" width="0" style="1" hidden="1" customWidth="1"/>
    <col min="8206" max="8206" width="14.140625" style="1" customWidth="1"/>
    <col min="8207" max="8435" width="9.140625" style="1"/>
    <col min="8436" max="8436" width="1" style="1" customWidth="1"/>
    <col min="8437" max="8437" width="39.140625" style="1" customWidth="1"/>
    <col min="8438" max="8438" width="21.42578125" style="1" customWidth="1"/>
    <col min="8439" max="8439" width="11.28515625" style="1" customWidth="1"/>
    <col min="8440" max="8440" width="9.5703125" style="1" customWidth="1"/>
    <col min="8441" max="8441" width="13.5703125" style="1" customWidth="1"/>
    <col min="8442" max="8451" width="12.140625" style="1" customWidth="1"/>
    <col min="8452" max="8461" width="0" style="1" hidden="1" customWidth="1"/>
    <col min="8462" max="8462" width="14.140625" style="1" customWidth="1"/>
    <col min="8463" max="8691" width="9.140625" style="1"/>
    <col min="8692" max="8692" width="1" style="1" customWidth="1"/>
    <col min="8693" max="8693" width="39.140625" style="1" customWidth="1"/>
    <col min="8694" max="8694" width="21.42578125" style="1" customWidth="1"/>
    <col min="8695" max="8695" width="11.28515625" style="1" customWidth="1"/>
    <col min="8696" max="8696" width="9.5703125" style="1" customWidth="1"/>
    <col min="8697" max="8697" width="13.5703125" style="1" customWidth="1"/>
    <col min="8698" max="8707" width="12.140625" style="1" customWidth="1"/>
    <col min="8708" max="8717" width="0" style="1" hidden="1" customWidth="1"/>
    <col min="8718" max="8718" width="14.140625" style="1" customWidth="1"/>
    <col min="8719" max="8947" width="9.140625" style="1"/>
    <col min="8948" max="8948" width="1" style="1" customWidth="1"/>
    <col min="8949" max="8949" width="39.140625" style="1" customWidth="1"/>
    <col min="8950" max="8950" width="21.42578125" style="1" customWidth="1"/>
    <col min="8951" max="8951" width="11.28515625" style="1" customWidth="1"/>
    <col min="8952" max="8952" width="9.5703125" style="1" customWidth="1"/>
    <col min="8953" max="8953" width="13.5703125" style="1" customWidth="1"/>
    <col min="8954" max="8963" width="12.140625" style="1" customWidth="1"/>
    <col min="8964" max="8973" width="0" style="1" hidden="1" customWidth="1"/>
    <col min="8974" max="8974" width="14.140625" style="1" customWidth="1"/>
    <col min="8975" max="9203" width="9.140625" style="1"/>
    <col min="9204" max="9204" width="1" style="1" customWidth="1"/>
    <col min="9205" max="9205" width="39.140625" style="1" customWidth="1"/>
    <col min="9206" max="9206" width="21.42578125" style="1" customWidth="1"/>
    <col min="9207" max="9207" width="11.28515625" style="1" customWidth="1"/>
    <col min="9208" max="9208" width="9.5703125" style="1" customWidth="1"/>
    <col min="9209" max="9209" width="13.5703125" style="1" customWidth="1"/>
    <col min="9210" max="9219" width="12.140625" style="1" customWidth="1"/>
    <col min="9220" max="9229" width="0" style="1" hidden="1" customWidth="1"/>
    <col min="9230" max="9230" width="14.140625" style="1" customWidth="1"/>
    <col min="9231" max="9459" width="9.140625" style="1"/>
    <col min="9460" max="9460" width="1" style="1" customWidth="1"/>
    <col min="9461" max="9461" width="39.140625" style="1" customWidth="1"/>
    <col min="9462" max="9462" width="21.42578125" style="1" customWidth="1"/>
    <col min="9463" max="9463" width="11.28515625" style="1" customWidth="1"/>
    <col min="9464" max="9464" width="9.5703125" style="1" customWidth="1"/>
    <col min="9465" max="9465" width="13.5703125" style="1" customWidth="1"/>
    <col min="9466" max="9475" width="12.140625" style="1" customWidth="1"/>
    <col min="9476" max="9485" width="0" style="1" hidden="1" customWidth="1"/>
    <col min="9486" max="9486" width="14.140625" style="1" customWidth="1"/>
    <col min="9487" max="9715" width="9.140625" style="1"/>
    <col min="9716" max="9716" width="1" style="1" customWidth="1"/>
    <col min="9717" max="9717" width="39.140625" style="1" customWidth="1"/>
    <col min="9718" max="9718" width="21.42578125" style="1" customWidth="1"/>
    <col min="9719" max="9719" width="11.28515625" style="1" customWidth="1"/>
    <col min="9720" max="9720" width="9.5703125" style="1" customWidth="1"/>
    <col min="9721" max="9721" width="13.5703125" style="1" customWidth="1"/>
    <col min="9722" max="9731" width="12.140625" style="1" customWidth="1"/>
    <col min="9732" max="9741" width="0" style="1" hidden="1" customWidth="1"/>
    <col min="9742" max="9742" width="14.140625" style="1" customWidth="1"/>
    <col min="9743" max="9971" width="9.140625" style="1"/>
    <col min="9972" max="9972" width="1" style="1" customWidth="1"/>
    <col min="9973" max="9973" width="39.140625" style="1" customWidth="1"/>
    <col min="9974" max="9974" width="21.42578125" style="1" customWidth="1"/>
    <col min="9975" max="9975" width="11.28515625" style="1" customWidth="1"/>
    <col min="9976" max="9976" width="9.5703125" style="1" customWidth="1"/>
    <col min="9977" max="9977" width="13.5703125" style="1" customWidth="1"/>
    <col min="9978" max="9987" width="12.140625" style="1" customWidth="1"/>
    <col min="9988" max="9997" width="0" style="1" hidden="1" customWidth="1"/>
    <col min="9998" max="9998" width="14.140625" style="1" customWidth="1"/>
    <col min="9999" max="10227" width="9.140625" style="1"/>
    <col min="10228" max="10228" width="1" style="1" customWidth="1"/>
    <col min="10229" max="10229" width="39.140625" style="1" customWidth="1"/>
    <col min="10230" max="10230" width="21.42578125" style="1" customWidth="1"/>
    <col min="10231" max="10231" width="11.28515625" style="1" customWidth="1"/>
    <col min="10232" max="10232" width="9.5703125" style="1" customWidth="1"/>
    <col min="10233" max="10233" width="13.5703125" style="1" customWidth="1"/>
    <col min="10234" max="10243" width="12.140625" style="1" customWidth="1"/>
    <col min="10244" max="10253" width="0" style="1" hidden="1" customWidth="1"/>
    <col min="10254" max="10254" width="14.140625" style="1" customWidth="1"/>
    <col min="10255" max="10483" width="9.140625" style="1"/>
    <col min="10484" max="10484" width="1" style="1" customWidth="1"/>
    <col min="10485" max="10485" width="39.140625" style="1" customWidth="1"/>
    <col min="10486" max="10486" width="21.42578125" style="1" customWidth="1"/>
    <col min="10487" max="10487" width="11.28515625" style="1" customWidth="1"/>
    <col min="10488" max="10488" width="9.5703125" style="1" customWidth="1"/>
    <col min="10489" max="10489" width="13.5703125" style="1" customWidth="1"/>
    <col min="10490" max="10499" width="12.140625" style="1" customWidth="1"/>
    <col min="10500" max="10509" width="0" style="1" hidden="1" customWidth="1"/>
    <col min="10510" max="10510" width="14.140625" style="1" customWidth="1"/>
    <col min="10511" max="10739" width="9.140625" style="1"/>
    <col min="10740" max="10740" width="1" style="1" customWidth="1"/>
    <col min="10741" max="10741" width="39.140625" style="1" customWidth="1"/>
    <col min="10742" max="10742" width="21.42578125" style="1" customWidth="1"/>
    <col min="10743" max="10743" width="11.28515625" style="1" customWidth="1"/>
    <col min="10744" max="10744" width="9.5703125" style="1" customWidth="1"/>
    <col min="10745" max="10745" width="13.5703125" style="1" customWidth="1"/>
    <col min="10746" max="10755" width="12.140625" style="1" customWidth="1"/>
    <col min="10756" max="10765" width="0" style="1" hidden="1" customWidth="1"/>
    <col min="10766" max="10766" width="14.140625" style="1" customWidth="1"/>
    <col min="10767" max="10995" width="9.140625" style="1"/>
    <col min="10996" max="10996" width="1" style="1" customWidth="1"/>
    <col min="10997" max="10997" width="39.140625" style="1" customWidth="1"/>
    <col min="10998" max="10998" width="21.42578125" style="1" customWidth="1"/>
    <col min="10999" max="10999" width="11.28515625" style="1" customWidth="1"/>
    <col min="11000" max="11000" width="9.5703125" style="1" customWidth="1"/>
    <col min="11001" max="11001" width="13.5703125" style="1" customWidth="1"/>
    <col min="11002" max="11011" width="12.140625" style="1" customWidth="1"/>
    <col min="11012" max="11021" width="0" style="1" hidden="1" customWidth="1"/>
    <col min="11022" max="11022" width="14.140625" style="1" customWidth="1"/>
    <col min="11023" max="11251" width="9.140625" style="1"/>
    <col min="11252" max="11252" width="1" style="1" customWidth="1"/>
    <col min="11253" max="11253" width="39.140625" style="1" customWidth="1"/>
    <col min="11254" max="11254" width="21.42578125" style="1" customWidth="1"/>
    <col min="11255" max="11255" width="11.28515625" style="1" customWidth="1"/>
    <col min="11256" max="11256" width="9.5703125" style="1" customWidth="1"/>
    <col min="11257" max="11257" width="13.5703125" style="1" customWidth="1"/>
    <col min="11258" max="11267" width="12.140625" style="1" customWidth="1"/>
    <col min="11268" max="11277" width="0" style="1" hidden="1" customWidth="1"/>
    <col min="11278" max="11278" width="14.140625" style="1" customWidth="1"/>
    <col min="11279" max="11507" width="9.140625" style="1"/>
    <col min="11508" max="11508" width="1" style="1" customWidth="1"/>
    <col min="11509" max="11509" width="39.140625" style="1" customWidth="1"/>
    <col min="11510" max="11510" width="21.42578125" style="1" customWidth="1"/>
    <col min="11511" max="11511" width="11.28515625" style="1" customWidth="1"/>
    <col min="11512" max="11512" width="9.5703125" style="1" customWidth="1"/>
    <col min="11513" max="11513" width="13.5703125" style="1" customWidth="1"/>
    <col min="11514" max="11523" width="12.140625" style="1" customWidth="1"/>
    <col min="11524" max="11533" width="0" style="1" hidden="1" customWidth="1"/>
    <col min="11534" max="11534" width="14.140625" style="1" customWidth="1"/>
    <col min="11535" max="11763" width="9.140625" style="1"/>
    <col min="11764" max="11764" width="1" style="1" customWidth="1"/>
    <col min="11765" max="11765" width="39.140625" style="1" customWidth="1"/>
    <col min="11766" max="11766" width="21.42578125" style="1" customWidth="1"/>
    <col min="11767" max="11767" width="11.28515625" style="1" customWidth="1"/>
    <col min="11768" max="11768" width="9.5703125" style="1" customWidth="1"/>
    <col min="11769" max="11769" width="13.5703125" style="1" customWidth="1"/>
    <col min="11770" max="11779" width="12.140625" style="1" customWidth="1"/>
    <col min="11780" max="11789" width="0" style="1" hidden="1" customWidth="1"/>
    <col min="11790" max="11790" width="14.140625" style="1" customWidth="1"/>
    <col min="11791" max="12019" width="9.140625" style="1"/>
    <col min="12020" max="12020" width="1" style="1" customWidth="1"/>
    <col min="12021" max="12021" width="39.140625" style="1" customWidth="1"/>
    <col min="12022" max="12022" width="21.42578125" style="1" customWidth="1"/>
    <col min="12023" max="12023" width="11.28515625" style="1" customWidth="1"/>
    <col min="12024" max="12024" width="9.5703125" style="1" customWidth="1"/>
    <col min="12025" max="12025" width="13.5703125" style="1" customWidth="1"/>
    <col min="12026" max="12035" width="12.140625" style="1" customWidth="1"/>
    <col min="12036" max="12045" width="0" style="1" hidden="1" customWidth="1"/>
    <col min="12046" max="12046" width="14.140625" style="1" customWidth="1"/>
    <col min="12047" max="12275" width="9.140625" style="1"/>
    <col min="12276" max="12276" width="1" style="1" customWidth="1"/>
    <col min="12277" max="12277" width="39.140625" style="1" customWidth="1"/>
    <col min="12278" max="12278" width="21.42578125" style="1" customWidth="1"/>
    <col min="12279" max="12279" width="11.28515625" style="1" customWidth="1"/>
    <col min="12280" max="12280" width="9.5703125" style="1" customWidth="1"/>
    <col min="12281" max="12281" width="13.5703125" style="1" customWidth="1"/>
    <col min="12282" max="12291" width="12.140625" style="1" customWidth="1"/>
    <col min="12292" max="12301" width="0" style="1" hidden="1" customWidth="1"/>
    <col min="12302" max="12302" width="14.140625" style="1" customWidth="1"/>
    <col min="12303" max="12531" width="9.140625" style="1"/>
    <col min="12532" max="12532" width="1" style="1" customWidth="1"/>
    <col min="12533" max="12533" width="39.140625" style="1" customWidth="1"/>
    <col min="12534" max="12534" width="21.42578125" style="1" customWidth="1"/>
    <col min="12535" max="12535" width="11.28515625" style="1" customWidth="1"/>
    <col min="12536" max="12536" width="9.5703125" style="1" customWidth="1"/>
    <col min="12537" max="12537" width="13.5703125" style="1" customWidth="1"/>
    <col min="12538" max="12547" width="12.140625" style="1" customWidth="1"/>
    <col min="12548" max="12557" width="0" style="1" hidden="1" customWidth="1"/>
    <col min="12558" max="12558" width="14.140625" style="1" customWidth="1"/>
    <col min="12559" max="12787" width="9.140625" style="1"/>
    <col min="12788" max="12788" width="1" style="1" customWidth="1"/>
    <col min="12789" max="12789" width="39.140625" style="1" customWidth="1"/>
    <col min="12790" max="12790" width="21.42578125" style="1" customWidth="1"/>
    <col min="12791" max="12791" width="11.28515625" style="1" customWidth="1"/>
    <col min="12792" max="12792" width="9.5703125" style="1" customWidth="1"/>
    <col min="12793" max="12793" width="13.5703125" style="1" customWidth="1"/>
    <col min="12794" max="12803" width="12.140625" style="1" customWidth="1"/>
    <col min="12804" max="12813" width="0" style="1" hidden="1" customWidth="1"/>
    <col min="12814" max="12814" width="14.140625" style="1" customWidth="1"/>
    <col min="12815" max="13043" width="9.140625" style="1"/>
    <col min="13044" max="13044" width="1" style="1" customWidth="1"/>
    <col min="13045" max="13045" width="39.140625" style="1" customWidth="1"/>
    <col min="13046" max="13046" width="21.42578125" style="1" customWidth="1"/>
    <col min="13047" max="13047" width="11.28515625" style="1" customWidth="1"/>
    <col min="13048" max="13048" width="9.5703125" style="1" customWidth="1"/>
    <col min="13049" max="13049" width="13.5703125" style="1" customWidth="1"/>
    <col min="13050" max="13059" width="12.140625" style="1" customWidth="1"/>
    <col min="13060" max="13069" width="0" style="1" hidden="1" customWidth="1"/>
    <col min="13070" max="13070" width="14.140625" style="1" customWidth="1"/>
    <col min="13071" max="13299" width="9.140625" style="1"/>
    <col min="13300" max="13300" width="1" style="1" customWidth="1"/>
    <col min="13301" max="13301" width="39.140625" style="1" customWidth="1"/>
    <col min="13302" max="13302" width="21.42578125" style="1" customWidth="1"/>
    <col min="13303" max="13303" width="11.28515625" style="1" customWidth="1"/>
    <col min="13304" max="13304" width="9.5703125" style="1" customWidth="1"/>
    <col min="13305" max="13305" width="13.5703125" style="1" customWidth="1"/>
    <col min="13306" max="13315" width="12.140625" style="1" customWidth="1"/>
    <col min="13316" max="13325" width="0" style="1" hidden="1" customWidth="1"/>
    <col min="13326" max="13326" width="14.140625" style="1" customWidth="1"/>
    <col min="13327" max="13555" width="9.140625" style="1"/>
    <col min="13556" max="13556" width="1" style="1" customWidth="1"/>
    <col min="13557" max="13557" width="39.140625" style="1" customWidth="1"/>
    <col min="13558" max="13558" width="21.42578125" style="1" customWidth="1"/>
    <col min="13559" max="13559" width="11.28515625" style="1" customWidth="1"/>
    <col min="13560" max="13560" width="9.5703125" style="1" customWidth="1"/>
    <col min="13561" max="13561" width="13.5703125" style="1" customWidth="1"/>
    <col min="13562" max="13571" width="12.140625" style="1" customWidth="1"/>
    <col min="13572" max="13581" width="0" style="1" hidden="1" customWidth="1"/>
    <col min="13582" max="13582" width="14.140625" style="1" customWidth="1"/>
    <col min="13583" max="13811" width="9.140625" style="1"/>
    <col min="13812" max="13812" width="1" style="1" customWidth="1"/>
    <col min="13813" max="13813" width="39.140625" style="1" customWidth="1"/>
    <col min="13814" max="13814" width="21.42578125" style="1" customWidth="1"/>
    <col min="13815" max="13815" width="11.28515625" style="1" customWidth="1"/>
    <col min="13816" max="13816" width="9.5703125" style="1" customWidth="1"/>
    <col min="13817" max="13817" width="13.5703125" style="1" customWidth="1"/>
    <col min="13818" max="13827" width="12.140625" style="1" customWidth="1"/>
    <col min="13828" max="13837" width="0" style="1" hidden="1" customWidth="1"/>
    <col min="13838" max="13838" width="14.140625" style="1" customWidth="1"/>
    <col min="13839" max="14067" width="9.140625" style="1"/>
    <col min="14068" max="14068" width="1" style="1" customWidth="1"/>
    <col min="14069" max="14069" width="39.140625" style="1" customWidth="1"/>
    <col min="14070" max="14070" width="21.42578125" style="1" customWidth="1"/>
    <col min="14071" max="14071" width="11.28515625" style="1" customWidth="1"/>
    <col min="14072" max="14072" width="9.5703125" style="1" customWidth="1"/>
    <col min="14073" max="14073" width="13.5703125" style="1" customWidth="1"/>
    <col min="14074" max="14083" width="12.140625" style="1" customWidth="1"/>
    <col min="14084" max="14093" width="0" style="1" hidden="1" customWidth="1"/>
    <col min="14094" max="14094" width="14.140625" style="1" customWidth="1"/>
    <col min="14095" max="14323" width="9.140625" style="1"/>
    <col min="14324" max="14324" width="1" style="1" customWidth="1"/>
    <col min="14325" max="14325" width="39.140625" style="1" customWidth="1"/>
    <col min="14326" max="14326" width="21.42578125" style="1" customWidth="1"/>
    <col min="14327" max="14327" width="11.28515625" style="1" customWidth="1"/>
    <col min="14328" max="14328" width="9.5703125" style="1" customWidth="1"/>
    <col min="14329" max="14329" width="13.5703125" style="1" customWidth="1"/>
    <col min="14330" max="14339" width="12.140625" style="1" customWidth="1"/>
    <col min="14340" max="14349" width="0" style="1" hidden="1" customWidth="1"/>
    <col min="14350" max="14350" width="14.140625" style="1" customWidth="1"/>
    <col min="14351" max="14579" width="9.140625" style="1"/>
    <col min="14580" max="14580" width="1" style="1" customWidth="1"/>
    <col min="14581" max="14581" width="39.140625" style="1" customWidth="1"/>
    <col min="14582" max="14582" width="21.42578125" style="1" customWidth="1"/>
    <col min="14583" max="14583" width="11.28515625" style="1" customWidth="1"/>
    <col min="14584" max="14584" width="9.5703125" style="1" customWidth="1"/>
    <col min="14585" max="14585" width="13.5703125" style="1" customWidth="1"/>
    <col min="14586" max="14595" width="12.140625" style="1" customWidth="1"/>
    <col min="14596" max="14605" width="0" style="1" hidden="1" customWidth="1"/>
    <col min="14606" max="14606" width="14.140625" style="1" customWidth="1"/>
    <col min="14607" max="14835" width="9.140625" style="1"/>
    <col min="14836" max="14836" width="1" style="1" customWidth="1"/>
    <col min="14837" max="14837" width="39.140625" style="1" customWidth="1"/>
    <col min="14838" max="14838" width="21.42578125" style="1" customWidth="1"/>
    <col min="14839" max="14839" width="11.28515625" style="1" customWidth="1"/>
    <col min="14840" max="14840" width="9.5703125" style="1" customWidth="1"/>
    <col min="14841" max="14841" width="13.5703125" style="1" customWidth="1"/>
    <col min="14842" max="14851" width="12.140625" style="1" customWidth="1"/>
    <col min="14852" max="14861" width="0" style="1" hidden="1" customWidth="1"/>
    <col min="14862" max="14862" width="14.140625" style="1" customWidth="1"/>
    <col min="14863" max="15091" width="9.140625" style="1"/>
    <col min="15092" max="15092" width="1" style="1" customWidth="1"/>
    <col min="15093" max="15093" width="39.140625" style="1" customWidth="1"/>
    <col min="15094" max="15094" width="21.42578125" style="1" customWidth="1"/>
    <col min="15095" max="15095" width="11.28515625" style="1" customWidth="1"/>
    <col min="15096" max="15096" width="9.5703125" style="1" customWidth="1"/>
    <col min="15097" max="15097" width="13.5703125" style="1" customWidth="1"/>
    <col min="15098" max="15107" width="12.140625" style="1" customWidth="1"/>
    <col min="15108" max="15117" width="0" style="1" hidden="1" customWidth="1"/>
    <col min="15118" max="15118" width="14.140625" style="1" customWidth="1"/>
    <col min="15119" max="15347" width="9.140625" style="1"/>
    <col min="15348" max="15348" width="1" style="1" customWidth="1"/>
    <col min="15349" max="15349" width="39.140625" style="1" customWidth="1"/>
    <col min="15350" max="15350" width="21.42578125" style="1" customWidth="1"/>
    <col min="15351" max="15351" width="11.28515625" style="1" customWidth="1"/>
    <col min="15352" max="15352" width="9.5703125" style="1" customWidth="1"/>
    <col min="15353" max="15353" width="13.5703125" style="1" customWidth="1"/>
    <col min="15354" max="15363" width="12.140625" style="1" customWidth="1"/>
    <col min="15364" max="15373" width="0" style="1" hidden="1" customWidth="1"/>
    <col min="15374" max="15374" width="14.140625" style="1" customWidth="1"/>
    <col min="15375" max="15603" width="9.140625" style="1"/>
    <col min="15604" max="15604" width="1" style="1" customWidth="1"/>
    <col min="15605" max="15605" width="39.140625" style="1" customWidth="1"/>
    <col min="15606" max="15606" width="21.42578125" style="1" customWidth="1"/>
    <col min="15607" max="15607" width="11.28515625" style="1" customWidth="1"/>
    <col min="15608" max="15608" width="9.5703125" style="1" customWidth="1"/>
    <col min="15609" max="15609" width="13.5703125" style="1" customWidth="1"/>
    <col min="15610" max="15619" width="12.140625" style="1" customWidth="1"/>
    <col min="15620" max="15629" width="0" style="1" hidden="1" customWidth="1"/>
    <col min="15630" max="15630" width="14.140625" style="1" customWidth="1"/>
    <col min="15631" max="15859" width="9.140625" style="1"/>
    <col min="15860" max="15860" width="1" style="1" customWidth="1"/>
    <col min="15861" max="15861" width="39.140625" style="1" customWidth="1"/>
    <col min="15862" max="15862" width="21.42578125" style="1" customWidth="1"/>
    <col min="15863" max="15863" width="11.28515625" style="1" customWidth="1"/>
    <col min="15864" max="15864" width="9.5703125" style="1" customWidth="1"/>
    <col min="15865" max="15865" width="13.5703125" style="1" customWidth="1"/>
    <col min="15866" max="15875" width="12.140625" style="1" customWidth="1"/>
    <col min="15876" max="15885" width="0" style="1" hidden="1" customWidth="1"/>
    <col min="15886" max="15886" width="14.140625" style="1" customWidth="1"/>
    <col min="15887" max="16115" width="9.140625" style="1"/>
    <col min="16116" max="16116" width="1" style="1" customWidth="1"/>
    <col min="16117" max="16117" width="39.140625" style="1" customWidth="1"/>
    <col min="16118" max="16118" width="21.42578125" style="1" customWidth="1"/>
    <col min="16119" max="16119" width="11.28515625" style="1" customWidth="1"/>
    <col min="16120" max="16120" width="9.5703125" style="1" customWidth="1"/>
    <col min="16121" max="16121" width="13.5703125" style="1" customWidth="1"/>
    <col min="16122" max="16131" width="12.140625" style="1" customWidth="1"/>
    <col min="16132" max="16141" width="0" style="1" hidden="1" customWidth="1"/>
    <col min="16142" max="16142" width="14.140625" style="1" customWidth="1"/>
    <col min="16143" max="16384" width="9.140625" style="1"/>
  </cols>
  <sheetData>
    <row r="1" spans="1:213" s="2" customFormat="1" ht="22.5" customHeight="1">
      <c r="A1" s="213" t="s">
        <v>139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</row>
    <row r="2" spans="1:213" ht="12.75" customHeight="1"/>
    <row r="3" spans="1:213" ht="12.75" customHeight="1"/>
    <row r="4" spans="1:213" ht="42" customHeight="1">
      <c r="A4" s="214" t="s">
        <v>0</v>
      </c>
      <c r="B4" s="214" t="s">
        <v>1</v>
      </c>
      <c r="C4" s="214" t="s">
        <v>2</v>
      </c>
      <c r="D4" s="214" t="s">
        <v>3</v>
      </c>
      <c r="E4" s="214"/>
      <c r="F4" s="214" t="s">
        <v>4</v>
      </c>
      <c r="G4" s="215" t="s">
        <v>135</v>
      </c>
      <c r="H4" s="215"/>
      <c r="I4" s="215"/>
      <c r="J4" s="215"/>
      <c r="K4" s="215"/>
      <c r="L4" s="215"/>
      <c r="M4" s="215"/>
      <c r="N4" s="216"/>
      <c r="O4" s="214" t="s">
        <v>5</v>
      </c>
    </row>
    <row r="5" spans="1:213" s="3" customFormat="1" ht="23.25" customHeight="1">
      <c r="A5" s="214"/>
      <c r="B5" s="214"/>
      <c r="C5" s="214"/>
      <c r="D5" s="175" t="s">
        <v>6</v>
      </c>
      <c r="E5" s="175" t="s">
        <v>7</v>
      </c>
      <c r="F5" s="214"/>
      <c r="G5" s="32">
        <v>2021</v>
      </c>
      <c r="H5" s="32">
        <v>2022</v>
      </c>
      <c r="I5" s="32">
        <v>2023</v>
      </c>
      <c r="J5" s="32">
        <v>2024</v>
      </c>
      <c r="K5" s="32">
        <v>2025</v>
      </c>
      <c r="L5" s="32">
        <v>2026</v>
      </c>
      <c r="M5" s="32">
        <v>2027</v>
      </c>
      <c r="N5" s="32">
        <v>2028</v>
      </c>
      <c r="O5" s="21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</row>
    <row r="6" spans="1:213" s="7" customFormat="1" ht="15" customHeight="1">
      <c r="A6" s="6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5">
        <v>8</v>
      </c>
      <c r="H6" s="5">
        <v>9</v>
      </c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6">
        <v>16</v>
      </c>
    </row>
    <row r="7" spans="1:213" s="10" customFormat="1" ht="18.75" customHeight="1">
      <c r="A7" s="8" t="s">
        <v>8</v>
      </c>
      <c r="B7" s="220" t="s">
        <v>9</v>
      </c>
      <c r="C7" s="220"/>
      <c r="D7" s="220"/>
      <c r="E7" s="220"/>
      <c r="F7" s="9">
        <f t="shared" ref="F7:O7" si="0">SUM(F10,F24,F27)</f>
        <v>89531201</v>
      </c>
      <c r="G7" s="9">
        <f t="shared" si="0"/>
        <v>15007729</v>
      </c>
      <c r="H7" s="9">
        <f t="shared" si="0"/>
        <v>10928926</v>
      </c>
      <c r="I7" s="9">
        <f t="shared" si="0"/>
        <v>12354413</v>
      </c>
      <c r="J7" s="9">
        <f t="shared" si="0"/>
        <v>14460766</v>
      </c>
      <c r="K7" s="9">
        <f t="shared" si="0"/>
        <v>10750000</v>
      </c>
      <c r="L7" s="9">
        <f t="shared" si="0"/>
        <v>5050000</v>
      </c>
      <c r="M7" s="9">
        <f t="shared" si="0"/>
        <v>3450000</v>
      </c>
      <c r="N7" s="9">
        <f t="shared" si="0"/>
        <v>2450000</v>
      </c>
      <c r="O7" s="9">
        <f t="shared" si="0"/>
        <v>74451834</v>
      </c>
    </row>
    <row r="8" spans="1:213" s="10" customFormat="1" ht="18.75" customHeight="1">
      <c r="A8" s="8" t="s">
        <v>10</v>
      </c>
      <c r="B8" s="220" t="s">
        <v>11</v>
      </c>
      <c r="C8" s="220"/>
      <c r="D8" s="220"/>
      <c r="E8" s="220"/>
      <c r="F8" s="9">
        <f t="shared" ref="F8:O8" si="1">SUM(F11,F25,F28)</f>
        <v>11789993</v>
      </c>
      <c r="G8" s="9">
        <f t="shared" si="1"/>
        <v>4060867</v>
      </c>
      <c r="H8" s="9">
        <f t="shared" si="1"/>
        <v>1462192</v>
      </c>
      <c r="I8" s="9">
        <f t="shared" si="1"/>
        <v>821535</v>
      </c>
      <c r="J8" s="9">
        <f t="shared" si="1"/>
        <v>410766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6755360</v>
      </c>
    </row>
    <row r="9" spans="1:213" s="10" customFormat="1" ht="18.75" customHeight="1">
      <c r="A9" s="8" t="s">
        <v>12</v>
      </c>
      <c r="B9" s="220" t="s">
        <v>13</v>
      </c>
      <c r="C9" s="220"/>
      <c r="D9" s="220"/>
      <c r="E9" s="220"/>
      <c r="F9" s="9">
        <f t="shared" ref="F9:O9" si="2">SUM(F21,F26,F33)</f>
        <v>77741208</v>
      </c>
      <c r="G9" s="9">
        <f>SUM(G21,G26,G33)</f>
        <v>10946862</v>
      </c>
      <c r="H9" s="9">
        <f t="shared" si="2"/>
        <v>9466734</v>
      </c>
      <c r="I9" s="9">
        <f t="shared" si="2"/>
        <v>11532878</v>
      </c>
      <c r="J9" s="9">
        <f t="shared" si="2"/>
        <v>14050000</v>
      </c>
      <c r="K9" s="9">
        <f t="shared" si="2"/>
        <v>10750000</v>
      </c>
      <c r="L9" s="9">
        <f t="shared" si="2"/>
        <v>5050000</v>
      </c>
      <c r="M9" s="9">
        <f t="shared" si="2"/>
        <v>3450000</v>
      </c>
      <c r="N9" s="9">
        <f t="shared" si="2"/>
        <v>2450000</v>
      </c>
      <c r="O9" s="9">
        <f t="shared" si="2"/>
        <v>67696474</v>
      </c>
    </row>
    <row r="10" spans="1:213" s="12" customFormat="1" ht="48.75" customHeight="1">
      <c r="A10" s="8" t="s">
        <v>14</v>
      </c>
      <c r="B10" s="220" t="s">
        <v>364</v>
      </c>
      <c r="C10" s="220"/>
      <c r="D10" s="220"/>
      <c r="E10" s="220"/>
      <c r="F10" s="11">
        <f t="shared" ref="F10:O10" si="3">SUM(F11,F21)</f>
        <v>7304267</v>
      </c>
      <c r="G10" s="11">
        <f t="shared" si="3"/>
        <v>2893951</v>
      </c>
      <c r="H10" s="11">
        <f t="shared" si="3"/>
        <v>506991</v>
      </c>
      <c r="I10" s="11">
        <f t="shared" si="3"/>
        <v>12000</v>
      </c>
      <c r="J10" s="11">
        <f t="shared" si="3"/>
        <v>0</v>
      </c>
      <c r="K10" s="11">
        <f t="shared" si="3"/>
        <v>0</v>
      </c>
      <c r="L10" s="11">
        <f t="shared" si="3"/>
        <v>0</v>
      </c>
      <c r="M10" s="11">
        <f t="shared" si="3"/>
        <v>0</v>
      </c>
      <c r="N10" s="11">
        <f t="shared" si="3"/>
        <v>0</v>
      </c>
      <c r="O10" s="11">
        <f t="shared" si="3"/>
        <v>3412942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</row>
    <row r="11" spans="1:213" s="10" customFormat="1" ht="18.75" customHeight="1">
      <c r="A11" s="8" t="s">
        <v>15</v>
      </c>
      <c r="B11" s="220" t="s">
        <v>11</v>
      </c>
      <c r="C11" s="220"/>
      <c r="D11" s="220"/>
      <c r="E11" s="220"/>
      <c r="F11" s="9">
        <f t="shared" ref="F11:N11" si="4">SUM(F12:F20)</f>
        <v>6898067</v>
      </c>
      <c r="G11" s="9">
        <f t="shared" si="4"/>
        <v>2796285</v>
      </c>
      <c r="H11" s="9">
        <f t="shared" si="4"/>
        <v>475257</v>
      </c>
      <c r="I11" s="9">
        <f t="shared" si="4"/>
        <v>0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9">
        <f t="shared" si="4"/>
        <v>0</v>
      </c>
      <c r="N11" s="9">
        <f t="shared" si="4"/>
        <v>0</v>
      </c>
      <c r="O11" s="9">
        <f>SUM(O12:O20)</f>
        <v>3271542</v>
      </c>
    </row>
    <row r="12" spans="1:213" s="20" customFormat="1" ht="42" customHeight="1">
      <c r="A12" s="15" t="s">
        <v>86</v>
      </c>
      <c r="B12" s="13" t="s">
        <v>92</v>
      </c>
      <c r="C12" s="14" t="s">
        <v>94</v>
      </c>
      <c r="D12" s="15">
        <v>2019</v>
      </c>
      <c r="E12" s="15">
        <v>2022</v>
      </c>
      <c r="F12" s="16">
        <v>805245</v>
      </c>
      <c r="G12" s="17">
        <f>109536+87291-438</f>
        <v>196389</v>
      </c>
      <c r="H12" s="17">
        <f>59275+438</f>
        <v>59713</v>
      </c>
      <c r="I12" s="17"/>
      <c r="J12" s="17"/>
      <c r="K12" s="17"/>
      <c r="L12" s="17"/>
      <c r="M12" s="17"/>
      <c r="N12" s="17"/>
      <c r="O12" s="16">
        <f>SUM(G12:M12)</f>
        <v>256102</v>
      </c>
    </row>
    <row r="13" spans="1:213" s="20" customFormat="1" ht="42" customHeight="1">
      <c r="A13" s="15" t="s">
        <v>87</v>
      </c>
      <c r="B13" s="13" t="s">
        <v>93</v>
      </c>
      <c r="C13" s="14" t="s">
        <v>17</v>
      </c>
      <c r="D13" s="15">
        <v>2019</v>
      </c>
      <c r="E13" s="15">
        <v>2022</v>
      </c>
      <c r="F13" s="16">
        <v>830404</v>
      </c>
      <c r="G13" s="17">
        <f>181624+66251-5331</f>
        <v>242544</v>
      </c>
      <c r="H13" s="17">
        <f>59621+5331</f>
        <v>64952</v>
      </c>
      <c r="I13" s="17"/>
      <c r="J13" s="17"/>
      <c r="K13" s="17"/>
      <c r="L13" s="17"/>
      <c r="M13" s="17"/>
      <c r="N13" s="17"/>
      <c r="O13" s="16">
        <f t="shared" ref="O13:O20" si="5">SUM(G13:M13)</f>
        <v>307496</v>
      </c>
    </row>
    <row r="14" spans="1:213" s="20" customFormat="1" ht="42.75" customHeight="1">
      <c r="A14" s="15" t="s">
        <v>18</v>
      </c>
      <c r="B14" s="13" t="s">
        <v>105</v>
      </c>
      <c r="C14" s="14" t="s">
        <v>17</v>
      </c>
      <c r="D14" s="15">
        <v>2019</v>
      </c>
      <c r="E14" s="15">
        <v>2022</v>
      </c>
      <c r="F14" s="16">
        <v>641116</v>
      </c>
      <c r="G14" s="17">
        <v>507890</v>
      </c>
      <c r="H14" s="17">
        <v>133226</v>
      </c>
      <c r="I14" s="17"/>
      <c r="J14" s="17"/>
      <c r="K14" s="17"/>
      <c r="L14" s="17"/>
      <c r="M14" s="17"/>
      <c r="N14" s="17"/>
      <c r="O14" s="16">
        <f t="shared" si="5"/>
        <v>641116</v>
      </c>
    </row>
    <row r="15" spans="1:213" s="20" customFormat="1" ht="42" customHeight="1">
      <c r="A15" s="15" t="s">
        <v>19</v>
      </c>
      <c r="B15" s="176" t="s">
        <v>120</v>
      </c>
      <c r="C15" s="14" t="s">
        <v>17</v>
      </c>
      <c r="D15" s="178">
        <v>2020</v>
      </c>
      <c r="E15" s="178">
        <v>2022</v>
      </c>
      <c r="F15" s="188">
        <v>256153</v>
      </c>
      <c r="G15" s="177">
        <v>204922</v>
      </c>
      <c r="H15" s="177">
        <v>51231</v>
      </c>
      <c r="I15" s="177"/>
      <c r="J15" s="177"/>
      <c r="K15" s="177"/>
      <c r="L15" s="177"/>
      <c r="M15" s="177"/>
      <c r="N15" s="177"/>
      <c r="O15" s="16">
        <f t="shared" si="5"/>
        <v>256153</v>
      </c>
    </row>
    <row r="16" spans="1:213" s="20" customFormat="1" ht="47.25" customHeight="1">
      <c r="A16" s="15" t="s">
        <v>88</v>
      </c>
      <c r="B16" s="29" t="s">
        <v>128</v>
      </c>
      <c r="C16" s="30" t="s">
        <v>129</v>
      </c>
      <c r="D16" s="28">
        <v>2020</v>
      </c>
      <c r="E16" s="28">
        <v>2022</v>
      </c>
      <c r="F16" s="161">
        <v>132789</v>
      </c>
      <c r="G16" s="31">
        <v>104453</v>
      </c>
      <c r="H16" s="31">
        <v>27864</v>
      </c>
      <c r="I16" s="31"/>
      <c r="J16" s="31"/>
      <c r="K16" s="31"/>
      <c r="L16" s="31"/>
      <c r="M16" s="31"/>
      <c r="N16" s="31"/>
      <c r="O16" s="16">
        <f t="shared" si="5"/>
        <v>132317</v>
      </c>
    </row>
    <row r="17" spans="1:213" s="20" customFormat="1" ht="47.25" customHeight="1">
      <c r="A17" s="15" t="s">
        <v>90</v>
      </c>
      <c r="B17" s="13" t="s">
        <v>361</v>
      </c>
      <c r="C17" s="30" t="s">
        <v>362</v>
      </c>
      <c r="D17" s="15">
        <v>2020</v>
      </c>
      <c r="E17" s="15">
        <v>2021</v>
      </c>
      <c r="F17" s="16">
        <v>96733</v>
      </c>
      <c r="G17" s="17">
        <v>96733</v>
      </c>
      <c r="H17" s="17"/>
      <c r="I17" s="17"/>
      <c r="J17" s="17"/>
      <c r="K17" s="17"/>
      <c r="L17" s="17"/>
      <c r="M17" s="17"/>
      <c r="N17" s="17"/>
      <c r="O17" s="16">
        <f t="shared" si="5"/>
        <v>96733</v>
      </c>
    </row>
    <row r="18" spans="1:213" s="20" customFormat="1" ht="52.5" customHeight="1">
      <c r="A18" s="15" t="s">
        <v>91</v>
      </c>
      <c r="B18" s="13" t="s">
        <v>20</v>
      </c>
      <c r="C18" s="14" t="s">
        <v>16</v>
      </c>
      <c r="D18" s="15">
        <v>2018</v>
      </c>
      <c r="E18" s="15">
        <v>2021</v>
      </c>
      <c r="F18" s="16">
        <f>2794923+30000+2</f>
        <v>2824925</v>
      </c>
      <c r="G18" s="17">
        <f>319154+235771</f>
        <v>554925</v>
      </c>
      <c r="H18" s="17"/>
      <c r="I18" s="17"/>
      <c r="J18" s="17"/>
      <c r="K18" s="17"/>
      <c r="L18" s="17"/>
      <c r="M18" s="17"/>
      <c r="N18" s="17"/>
      <c r="O18" s="16">
        <f t="shared" si="5"/>
        <v>554925</v>
      </c>
    </row>
    <row r="19" spans="1:213" s="44" customFormat="1" ht="35.25" customHeight="1">
      <c r="A19" s="36" t="s">
        <v>127</v>
      </c>
      <c r="B19" s="41" t="s">
        <v>140</v>
      </c>
      <c r="C19" s="42" t="s">
        <v>16</v>
      </c>
      <c r="D19" s="36">
        <v>2020</v>
      </c>
      <c r="E19" s="36">
        <v>2022</v>
      </c>
      <c r="F19" s="45">
        <v>526701</v>
      </c>
      <c r="G19" s="43">
        <v>388430</v>
      </c>
      <c r="H19" s="43">
        <v>138271</v>
      </c>
      <c r="I19" s="43"/>
      <c r="J19" s="43"/>
      <c r="K19" s="43"/>
      <c r="L19" s="43"/>
      <c r="M19" s="43"/>
      <c r="N19" s="43"/>
      <c r="O19" s="16">
        <f t="shared" si="5"/>
        <v>526701</v>
      </c>
    </row>
    <row r="20" spans="1:213" s="20" customFormat="1" ht="42.75" customHeight="1">
      <c r="A20" s="15" t="s">
        <v>360</v>
      </c>
      <c r="B20" s="13" t="s">
        <v>100</v>
      </c>
      <c r="C20" s="14" t="s">
        <v>16</v>
      </c>
      <c r="D20" s="15">
        <v>2019</v>
      </c>
      <c r="E20" s="15">
        <v>2021</v>
      </c>
      <c r="F20" s="16">
        <f>784000+1</f>
        <v>784001</v>
      </c>
      <c r="G20" s="17">
        <f>460760+39239</f>
        <v>499999</v>
      </c>
      <c r="H20" s="17"/>
      <c r="I20" s="17"/>
      <c r="J20" s="17"/>
      <c r="K20" s="17"/>
      <c r="L20" s="17"/>
      <c r="M20" s="17"/>
      <c r="N20" s="17"/>
      <c r="O20" s="16">
        <f t="shared" si="5"/>
        <v>499999</v>
      </c>
    </row>
    <row r="21" spans="1:213" s="10" customFormat="1" ht="22.5" customHeight="1">
      <c r="A21" s="8" t="s">
        <v>21</v>
      </c>
      <c r="B21" s="217" t="s">
        <v>13</v>
      </c>
      <c r="C21" s="218"/>
      <c r="D21" s="218"/>
      <c r="E21" s="219"/>
      <c r="F21" s="9">
        <f t="shared" ref="F21:N21" si="6">SUM(F22:F23)</f>
        <v>406200</v>
      </c>
      <c r="G21" s="9">
        <f t="shared" si="6"/>
        <v>97666</v>
      </c>
      <c r="H21" s="9">
        <f t="shared" si="6"/>
        <v>31734</v>
      </c>
      <c r="I21" s="9">
        <f t="shared" si="6"/>
        <v>12000</v>
      </c>
      <c r="J21" s="9">
        <f t="shared" si="6"/>
        <v>0</v>
      </c>
      <c r="K21" s="9">
        <f t="shared" si="6"/>
        <v>0</v>
      </c>
      <c r="L21" s="9">
        <f t="shared" si="6"/>
        <v>0</v>
      </c>
      <c r="M21" s="9">
        <f t="shared" si="6"/>
        <v>0</v>
      </c>
      <c r="N21" s="9">
        <f t="shared" si="6"/>
        <v>0</v>
      </c>
      <c r="O21" s="9">
        <f>SUM(O22:O23)</f>
        <v>141400</v>
      </c>
      <c r="P21" s="21"/>
    </row>
    <row r="22" spans="1:213" s="24" customFormat="1" ht="53.25" customHeight="1">
      <c r="A22" s="208" t="s">
        <v>132</v>
      </c>
      <c r="B22" s="209" t="s">
        <v>136</v>
      </c>
      <c r="C22" s="204" t="s">
        <v>22</v>
      </c>
      <c r="D22" s="204">
        <v>2016</v>
      </c>
      <c r="E22" s="204">
        <v>2022</v>
      </c>
      <c r="F22" s="210">
        <f>322117+15179+5285+19885-8000+21733+1</f>
        <v>376200</v>
      </c>
      <c r="G22" s="210">
        <f>47802+29979+19885-8000</f>
        <v>89666</v>
      </c>
      <c r="H22" s="210">
        <f>21733+1</f>
        <v>21734</v>
      </c>
      <c r="I22" s="210"/>
      <c r="J22" s="210"/>
      <c r="K22" s="210"/>
      <c r="L22" s="210"/>
      <c r="M22" s="210"/>
      <c r="N22" s="210"/>
      <c r="O22" s="210">
        <f>SUM(G22:N22)</f>
        <v>111400</v>
      </c>
      <c r="P22" s="39"/>
    </row>
    <row r="23" spans="1:213" s="24" customFormat="1" ht="53.25" customHeight="1">
      <c r="A23" s="15" t="s">
        <v>363</v>
      </c>
      <c r="B23" s="180" t="s">
        <v>365</v>
      </c>
      <c r="C23" s="30" t="s">
        <v>22</v>
      </c>
      <c r="D23" s="182">
        <v>2021</v>
      </c>
      <c r="E23" s="182">
        <v>2023</v>
      </c>
      <c r="F23" s="190">
        <v>30000</v>
      </c>
      <c r="G23" s="181">
        <v>8000</v>
      </c>
      <c r="H23" s="181">
        <v>10000</v>
      </c>
      <c r="I23" s="181">
        <v>12000</v>
      </c>
      <c r="J23" s="181"/>
      <c r="K23" s="181"/>
      <c r="L23" s="181"/>
      <c r="M23" s="181"/>
      <c r="N23" s="181"/>
      <c r="O23" s="189">
        <f>SUM(G23:N23)</f>
        <v>30000</v>
      </c>
      <c r="P23" s="39"/>
    </row>
    <row r="24" spans="1:213" s="12" customFormat="1" ht="33.75" customHeight="1">
      <c r="A24" s="8" t="s">
        <v>23</v>
      </c>
      <c r="B24" s="217" t="s">
        <v>24</v>
      </c>
      <c r="C24" s="218"/>
      <c r="D24" s="218"/>
      <c r="E24" s="219"/>
      <c r="F24" s="11">
        <f t="shared" ref="F24:O24" si="7">SUM(F25:F26)</f>
        <v>0</v>
      </c>
      <c r="G24" s="11">
        <f t="shared" si="7"/>
        <v>0</v>
      </c>
      <c r="H24" s="11">
        <f t="shared" si="7"/>
        <v>0</v>
      </c>
      <c r="I24" s="11">
        <f t="shared" si="7"/>
        <v>0</v>
      </c>
      <c r="J24" s="11">
        <f t="shared" si="7"/>
        <v>0</v>
      </c>
      <c r="K24" s="11">
        <f t="shared" si="7"/>
        <v>0</v>
      </c>
      <c r="L24" s="11">
        <f t="shared" si="7"/>
        <v>0</v>
      </c>
      <c r="M24" s="11">
        <f t="shared" si="7"/>
        <v>0</v>
      </c>
      <c r="N24" s="11">
        <f t="shared" si="7"/>
        <v>0</v>
      </c>
      <c r="O24" s="11">
        <f t="shared" si="7"/>
        <v>0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</row>
    <row r="25" spans="1:213" s="12" customFormat="1" ht="18.75" customHeight="1">
      <c r="A25" s="8" t="s">
        <v>25</v>
      </c>
      <c r="B25" s="217" t="s">
        <v>11</v>
      </c>
      <c r="C25" s="218"/>
      <c r="D25" s="218"/>
      <c r="E25" s="219"/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</row>
    <row r="26" spans="1:213" s="12" customFormat="1" ht="18.75" customHeight="1">
      <c r="A26" s="8" t="s">
        <v>26</v>
      </c>
      <c r="B26" s="217" t="s">
        <v>13</v>
      </c>
      <c r="C26" s="218"/>
      <c r="D26" s="218"/>
      <c r="E26" s="219"/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</row>
    <row r="27" spans="1:213" s="12" customFormat="1" ht="28.5" customHeight="1">
      <c r="A27" s="8" t="s">
        <v>27</v>
      </c>
      <c r="B27" s="217" t="s">
        <v>28</v>
      </c>
      <c r="C27" s="218"/>
      <c r="D27" s="218"/>
      <c r="E27" s="219"/>
      <c r="F27" s="11">
        <f>SUM(F28,F33)</f>
        <v>82226934</v>
      </c>
      <c r="G27" s="11">
        <f t="shared" ref="G27:O27" si="8">SUM(G28,G33)</f>
        <v>12113778</v>
      </c>
      <c r="H27" s="11">
        <f t="shared" si="8"/>
        <v>10421935</v>
      </c>
      <c r="I27" s="11">
        <f t="shared" si="8"/>
        <v>12342413</v>
      </c>
      <c r="J27" s="11">
        <f t="shared" si="8"/>
        <v>14460766</v>
      </c>
      <c r="K27" s="11">
        <f t="shared" si="8"/>
        <v>10750000</v>
      </c>
      <c r="L27" s="11">
        <f t="shared" si="8"/>
        <v>5050000</v>
      </c>
      <c r="M27" s="11">
        <f t="shared" si="8"/>
        <v>3450000</v>
      </c>
      <c r="N27" s="11">
        <f t="shared" si="8"/>
        <v>2450000</v>
      </c>
      <c r="O27" s="11">
        <f t="shared" si="8"/>
        <v>71038892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</row>
    <row r="28" spans="1:213" s="12" customFormat="1" ht="18.75" customHeight="1">
      <c r="A28" s="8" t="s">
        <v>29</v>
      </c>
      <c r="B28" s="217" t="s">
        <v>11</v>
      </c>
      <c r="C28" s="218"/>
      <c r="D28" s="218"/>
      <c r="E28" s="219"/>
      <c r="F28" s="11">
        <f>SUM(F29:F32)</f>
        <v>4891926</v>
      </c>
      <c r="G28" s="11">
        <f>SUM(G29:G32)</f>
        <v>1264582</v>
      </c>
      <c r="H28" s="11">
        <f t="shared" ref="H28:O28" si="9">SUM(H29:H32)</f>
        <v>986935</v>
      </c>
      <c r="I28" s="11">
        <f t="shared" si="9"/>
        <v>821535</v>
      </c>
      <c r="J28" s="11">
        <f t="shared" si="9"/>
        <v>410766</v>
      </c>
      <c r="K28" s="11">
        <f t="shared" si="9"/>
        <v>0</v>
      </c>
      <c r="L28" s="11">
        <f t="shared" si="9"/>
        <v>0</v>
      </c>
      <c r="M28" s="11">
        <f t="shared" si="9"/>
        <v>0</v>
      </c>
      <c r="N28" s="11">
        <f t="shared" si="9"/>
        <v>0</v>
      </c>
      <c r="O28" s="11">
        <f t="shared" si="9"/>
        <v>3483818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</row>
    <row r="29" spans="1:213" s="20" customFormat="1" ht="36" customHeight="1">
      <c r="A29" s="15" t="s">
        <v>30</v>
      </c>
      <c r="B29" s="13" t="s">
        <v>31</v>
      </c>
      <c r="C29" s="14" t="s">
        <v>22</v>
      </c>
      <c r="D29" s="15">
        <v>2017</v>
      </c>
      <c r="E29" s="15">
        <v>2022</v>
      </c>
      <c r="F29" s="16">
        <f>240000+5000+100000+105000+110000+50000+52500+55400</f>
        <v>717900</v>
      </c>
      <c r="G29" s="17">
        <f>105000+52500</f>
        <v>157500</v>
      </c>
      <c r="H29" s="17">
        <f>110000+55400</f>
        <v>165400</v>
      </c>
      <c r="I29" s="17"/>
      <c r="J29" s="17"/>
      <c r="K29" s="17"/>
      <c r="L29" s="17"/>
      <c r="M29" s="17"/>
      <c r="N29" s="17"/>
      <c r="O29" s="16">
        <f>SUM(G29:N29)</f>
        <v>322900</v>
      </c>
    </row>
    <row r="30" spans="1:213" s="20" customFormat="1" ht="52.5" customHeight="1">
      <c r="A30" s="15" t="s">
        <v>32</v>
      </c>
      <c r="B30" s="13" t="s">
        <v>33</v>
      </c>
      <c r="C30" s="14" t="s">
        <v>34</v>
      </c>
      <c r="D30" s="15">
        <v>2017</v>
      </c>
      <c r="E30" s="15">
        <v>2021</v>
      </c>
      <c r="F30" s="16">
        <f>1359960+20800+62400</f>
        <v>1443160</v>
      </c>
      <c r="G30" s="17">
        <f>374400+62400</f>
        <v>436800</v>
      </c>
      <c r="H30" s="17"/>
      <c r="I30" s="17"/>
      <c r="J30" s="17"/>
      <c r="K30" s="17"/>
      <c r="L30" s="17"/>
      <c r="M30" s="17"/>
      <c r="N30" s="17"/>
      <c r="O30" s="16">
        <f t="shared" ref="O30:O32" si="10">SUM(G30:N30)</f>
        <v>436800</v>
      </c>
    </row>
    <row r="31" spans="1:213" s="20" customFormat="1" ht="70.5" customHeight="1">
      <c r="A31" s="15" t="s">
        <v>103</v>
      </c>
      <c r="B31" s="13" t="s">
        <v>104</v>
      </c>
      <c r="C31" s="14" t="s">
        <v>16</v>
      </c>
      <c r="D31" s="15">
        <v>2019</v>
      </c>
      <c r="E31" s="15">
        <v>2021</v>
      </c>
      <c r="F31" s="16">
        <v>20244</v>
      </c>
      <c r="G31" s="17">
        <f>6748+6748</f>
        <v>13496</v>
      </c>
      <c r="H31" s="17"/>
      <c r="I31" s="17"/>
      <c r="J31" s="17"/>
      <c r="K31" s="17"/>
      <c r="L31" s="17"/>
      <c r="M31" s="17"/>
      <c r="N31" s="17"/>
      <c r="O31" s="16">
        <f t="shared" si="10"/>
        <v>13496</v>
      </c>
    </row>
    <row r="32" spans="1:213" s="44" customFormat="1" ht="70.5" customHeight="1">
      <c r="A32" s="36" t="s">
        <v>133</v>
      </c>
      <c r="B32" s="41" t="s">
        <v>134</v>
      </c>
      <c r="C32" s="42" t="s">
        <v>16</v>
      </c>
      <c r="D32" s="36">
        <v>2021</v>
      </c>
      <c r="E32" s="36">
        <v>2024</v>
      </c>
      <c r="F32" s="45">
        <f>2710622</f>
        <v>2710622</v>
      </c>
      <c r="G32" s="43">
        <v>656786</v>
      </c>
      <c r="H32" s="43">
        <v>821535</v>
      </c>
      <c r="I32" s="43">
        <v>821535</v>
      </c>
      <c r="J32" s="43">
        <v>410766</v>
      </c>
      <c r="K32" s="43"/>
      <c r="L32" s="43"/>
      <c r="M32" s="43"/>
      <c r="N32" s="43"/>
      <c r="O32" s="45">
        <f t="shared" si="10"/>
        <v>2710622</v>
      </c>
    </row>
    <row r="33" spans="1:213" s="12" customFormat="1" ht="27" customHeight="1">
      <c r="A33" s="8" t="s">
        <v>35</v>
      </c>
      <c r="B33" s="217" t="s">
        <v>13</v>
      </c>
      <c r="C33" s="218"/>
      <c r="D33" s="218"/>
      <c r="E33" s="219"/>
      <c r="F33" s="11">
        <f>SUM(F34:F82)</f>
        <v>77335008</v>
      </c>
      <c r="G33" s="11">
        <f t="shared" ref="G33:N33" si="11">SUM(G34:G82)</f>
        <v>10849196</v>
      </c>
      <c r="H33" s="11">
        <f t="shared" si="11"/>
        <v>9435000</v>
      </c>
      <c r="I33" s="11">
        <f t="shared" si="11"/>
        <v>11520878</v>
      </c>
      <c r="J33" s="11">
        <f t="shared" si="11"/>
        <v>14050000</v>
      </c>
      <c r="K33" s="11">
        <f t="shared" si="11"/>
        <v>10750000</v>
      </c>
      <c r="L33" s="11">
        <f t="shared" si="11"/>
        <v>5050000</v>
      </c>
      <c r="M33" s="11">
        <f t="shared" si="11"/>
        <v>3450000</v>
      </c>
      <c r="N33" s="11">
        <f t="shared" si="11"/>
        <v>2450000</v>
      </c>
      <c r="O33" s="11">
        <f>SUM(O34:O82)</f>
        <v>67555074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</row>
    <row r="34" spans="1:213" s="20" customFormat="1" ht="65.25" customHeight="1">
      <c r="A34" s="15" t="s">
        <v>36</v>
      </c>
      <c r="B34" s="116" t="s">
        <v>41</v>
      </c>
      <c r="C34" s="30" t="s">
        <v>22</v>
      </c>
      <c r="D34" s="28">
        <v>2011</v>
      </c>
      <c r="E34" s="28">
        <v>2023</v>
      </c>
      <c r="F34" s="161">
        <f>2979176-315285-20000+300000-71479</f>
        <v>2872412</v>
      </c>
      <c r="G34" s="31">
        <f>1000000+300000</f>
        <v>1300000</v>
      </c>
      <c r="H34" s="31">
        <v>500000</v>
      </c>
      <c r="I34" s="31">
        <v>500000</v>
      </c>
      <c r="J34" s="31"/>
      <c r="K34" s="31"/>
      <c r="L34" s="31"/>
      <c r="M34" s="31"/>
      <c r="N34" s="31"/>
      <c r="O34" s="16">
        <f>SUM(G34:N34)</f>
        <v>2300000</v>
      </c>
    </row>
    <row r="35" spans="1:213" s="19" customFormat="1" ht="30" customHeight="1">
      <c r="A35" s="46" t="s">
        <v>39</v>
      </c>
      <c r="B35" s="137" t="s">
        <v>359</v>
      </c>
      <c r="C35" s="117" t="s">
        <v>22</v>
      </c>
      <c r="D35" s="38">
        <v>2020</v>
      </c>
      <c r="E35" s="38">
        <v>2021</v>
      </c>
      <c r="F35" s="161">
        <f>100000+820700-80000-16111</f>
        <v>824589</v>
      </c>
      <c r="G35" s="138">
        <v>820700</v>
      </c>
      <c r="H35" s="31"/>
      <c r="I35" s="31"/>
      <c r="J35" s="31"/>
      <c r="K35" s="31"/>
      <c r="L35" s="31"/>
      <c r="M35" s="31"/>
      <c r="N35" s="31"/>
      <c r="O35" s="18">
        <f t="shared" ref="O35:O82" si="12">SUM(G35:N35)</f>
        <v>820700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</row>
    <row r="36" spans="1:213" s="20" customFormat="1" ht="46.5" customHeight="1">
      <c r="A36" s="15" t="s">
        <v>40</v>
      </c>
      <c r="B36" s="118" t="s">
        <v>141</v>
      </c>
      <c r="C36" s="117" t="s">
        <v>142</v>
      </c>
      <c r="D36" s="38">
        <v>2020</v>
      </c>
      <c r="E36" s="38">
        <v>2021</v>
      </c>
      <c r="F36" s="31">
        <f>1500000-441575</f>
        <v>1058425</v>
      </c>
      <c r="G36" s="193">
        <f>1000000</f>
        <v>1000000</v>
      </c>
      <c r="H36" s="194"/>
      <c r="I36" s="31"/>
      <c r="J36" s="31"/>
      <c r="K36" s="31"/>
      <c r="L36" s="31"/>
      <c r="M36" s="31"/>
      <c r="N36" s="31"/>
      <c r="O36" s="17">
        <f t="shared" si="12"/>
        <v>1000000</v>
      </c>
    </row>
    <row r="37" spans="1:213" s="12" customFormat="1" ht="41.25" customHeight="1">
      <c r="A37" s="196" t="s">
        <v>130</v>
      </c>
      <c r="B37" s="202" t="s">
        <v>345</v>
      </c>
      <c r="C37" s="203" t="s">
        <v>142</v>
      </c>
      <c r="D37" s="204">
        <v>2020</v>
      </c>
      <c r="E37" s="204">
        <v>2021</v>
      </c>
      <c r="F37" s="205">
        <f>200000+79000</f>
        <v>279000</v>
      </c>
      <c r="G37" s="206">
        <f>187700+79000</f>
        <v>266700</v>
      </c>
      <c r="H37" s="207"/>
      <c r="I37" s="205"/>
      <c r="J37" s="205"/>
      <c r="K37" s="205"/>
      <c r="L37" s="205"/>
      <c r="M37" s="205"/>
      <c r="N37" s="205"/>
      <c r="O37" s="198">
        <f t="shared" si="12"/>
        <v>266700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</row>
    <row r="38" spans="1:213" s="48" customFormat="1" ht="37.5" customHeight="1">
      <c r="A38" s="15" t="s">
        <v>42</v>
      </c>
      <c r="B38" s="118" t="s">
        <v>138</v>
      </c>
      <c r="C38" s="117" t="s">
        <v>69</v>
      </c>
      <c r="D38" s="15">
        <v>2018</v>
      </c>
      <c r="E38" s="15">
        <v>2025</v>
      </c>
      <c r="F38" s="16">
        <v>9484332</v>
      </c>
      <c r="G38" s="17">
        <f>3500000+500000-100000-3900000</f>
        <v>0</v>
      </c>
      <c r="H38" s="17">
        <v>0</v>
      </c>
      <c r="I38" s="17">
        <v>1800000</v>
      </c>
      <c r="J38" s="17">
        <v>3900000</v>
      </c>
      <c r="K38" s="17">
        <v>3700000</v>
      </c>
      <c r="L38" s="17"/>
      <c r="M38" s="17"/>
      <c r="N38" s="17"/>
      <c r="O38" s="18">
        <f t="shared" si="12"/>
        <v>9400000</v>
      </c>
    </row>
    <row r="39" spans="1:213" s="20" customFormat="1" ht="35.25" customHeight="1">
      <c r="A39" s="196" t="s">
        <v>43</v>
      </c>
      <c r="B39" s="199" t="s">
        <v>37</v>
      </c>
      <c r="C39" s="200" t="s">
        <v>38</v>
      </c>
      <c r="D39" s="197">
        <v>2014</v>
      </c>
      <c r="E39" s="197">
        <v>2023</v>
      </c>
      <c r="F39" s="198">
        <f>744637+100000+50000+100000+55200</f>
        <v>1049837</v>
      </c>
      <c r="G39" s="201">
        <f>100000+100000+55200</f>
        <v>255200</v>
      </c>
      <c r="H39" s="198">
        <v>100000</v>
      </c>
      <c r="I39" s="198">
        <v>100000</v>
      </c>
      <c r="J39" s="198"/>
      <c r="K39" s="198"/>
      <c r="L39" s="198"/>
      <c r="M39" s="198"/>
      <c r="N39" s="198"/>
      <c r="O39" s="198">
        <f t="shared" si="12"/>
        <v>455200</v>
      </c>
    </row>
    <row r="40" spans="1:213" s="35" customFormat="1" ht="45.75" customHeight="1">
      <c r="A40" s="15" t="s">
        <v>44</v>
      </c>
      <c r="B40" s="13" t="s">
        <v>85</v>
      </c>
      <c r="C40" s="14" t="s">
        <v>38</v>
      </c>
      <c r="D40" s="15">
        <v>2015</v>
      </c>
      <c r="E40" s="15">
        <v>2024</v>
      </c>
      <c r="F40" s="16">
        <f>1349861+500000-100000-8361</f>
        <v>1741500</v>
      </c>
      <c r="G40" s="17">
        <f>300000-100000</f>
        <v>200000</v>
      </c>
      <c r="H40" s="17">
        <v>100000</v>
      </c>
      <c r="I40" s="17">
        <v>200000</v>
      </c>
      <c r="J40" s="17">
        <v>200000</v>
      </c>
      <c r="K40" s="17"/>
      <c r="L40" s="17"/>
      <c r="M40" s="17"/>
      <c r="N40" s="17"/>
      <c r="O40" s="18">
        <f t="shared" si="12"/>
        <v>700000</v>
      </c>
    </row>
    <row r="41" spans="1:213" s="49" customFormat="1" ht="46.5" customHeight="1">
      <c r="A41" s="46" t="s">
        <v>45</v>
      </c>
      <c r="B41" s="119" t="s">
        <v>46</v>
      </c>
      <c r="C41" s="120" t="s">
        <v>38</v>
      </c>
      <c r="D41" s="37">
        <v>2017</v>
      </c>
      <c r="E41" s="37">
        <v>2022</v>
      </c>
      <c r="F41" s="162">
        <f>248413</f>
        <v>248413</v>
      </c>
      <c r="G41" s="149">
        <v>0</v>
      </c>
      <c r="H41" s="149">
        <v>220000</v>
      </c>
      <c r="I41" s="149"/>
      <c r="J41" s="149"/>
      <c r="K41" s="149"/>
      <c r="L41" s="149"/>
      <c r="M41" s="149"/>
      <c r="N41" s="149"/>
      <c r="O41" s="18">
        <f t="shared" si="12"/>
        <v>220000</v>
      </c>
    </row>
    <row r="42" spans="1:213" s="24" customFormat="1" ht="33.75" customHeight="1">
      <c r="A42" s="15" t="s">
        <v>47</v>
      </c>
      <c r="B42" s="13" t="s">
        <v>49</v>
      </c>
      <c r="C42" s="14" t="s">
        <v>38</v>
      </c>
      <c r="D42" s="15">
        <v>2017</v>
      </c>
      <c r="E42" s="15">
        <v>2022</v>
      </c>
      <c r="F42" s="16">
        <f>465460+150000-50000+50000-5881</f>
        <v>609579</v>
      </c>
      <c r="G42" s="17">
        <f>300000-50000+50000</f>
        <v>300000</v>
      </c>
      <c r="H42" s="17"/>
      <c r="I42" s="17"/>
      <c r="J42" s="17"/>
      <c r="K42" s="17"/>
      <c r="L42" s="17"/>
      <c r="M42" s="17"/>
      <c r="N42" s="17"/>
      <c r="O42" s="16">
        <f t="shared" si="12"/>
        <v>300000</v>
      </c>
    </row>
    <row r="43" spans="1:213" s="10" customFormat="1" ht="36.75" customHeight="1">
      <c r="A43" s="46" t="s">
        <v>48</v>
      </c>
      <c r="B43" s="13" t="s">
        <v>52</v>
      </c>
      <c r="C43" s="14" t="s">
        <v>38</v>
      </c>
      <c r="D43" s="15">
        <v>2017</v>
      </c>
      <c r="E43" s="15">
        <v>2021</v>
      </c>
      <c r="F43" s="16">
        <f>800000+100000-2163</f>
        <v>897837</v>
      </c>
      <c r="G43" s="17">
        <v>300000</v>
      </c>
      <c r="H43" s="17"/>
      <c r="I43" s="17"/>
      <c r="J43" s="17"/>
      <c r="K43" s="17"/>
      <c r="L43" s="17"/>
      <c r="M43" s="17"/>
      <c r="N43" s="17"/>
      <c r="O43" s="18">
        <f t="shared" si="12"/>
        <v>300000</v>
      </c>
    </row>
    <row r="44" spans="1:213" s="10" customFormat="1" ht="39.75" customHeight="1">
      <c r="A44" s="15" t="s">
        <v>50</v>
      </c>
      <c r="B44" s="13" t="s">
        <v>356</v>
      </c>
      <c r="C44" s="14" t="s">
        <v>38</v>
      </c>
      <c r="D44" s="15">
        <v>2017</v>
      </c>
      <c r="E44" s="15">
        <v>2021</v>
      </c>
      <c r="F44" s="16">
        <v>500000</v>
      </c>
      <c r="G44" s="17">
        <v>250000</v>
      </c>
      <c r="H44" s="17"/>
      <c r="I44" s="17"/>
      <c r="J44" s="17"/>
      <c r="K44" s="17"/>
      <c r="L44" s="17"/>
      <c r="M44" s="17"/>
      <c r="N44" s="17"/>
      <c r="O44" s="18">
        <f t="shared" si="12"/>
        <v>250000</v>
      </c>
    </row>
    <row r="45" spans="1:213" s="10" customFormat="1" ht="48" customHeight="1">
      <c r="A45" s="46" t="s">
        <v>51</v>
      </c>
      <c r="B45" s="13" t="s">
        <v>357</v>
      </c>
      <c r="C45" s="14" t="s">
        <v>38</v>
      </c>
      <c r="D45" s="15">
        <v>2017</v>
      </c>
      <c r="E45" s="15">
        <v>2023</v>
      </c>
      <c r="F45" s="16">
        <v>639987</v>
      </c>
      <c r="G45" s="17">
        <v>0</v>
      </c>
      <c r="H45" s="17">
        <v>110000</v>
      </c>
      <c r="I45" s="17">
        <v>190000</v>
      </c>
      <c r="J45" s="17"/>
      <c r="K45" s="17"/>
      <c r="L45" s="17"/>
      <c r="M45" s="17"/>
      <c r="N45" s="17"/>
      <c r="O45" s="18">
        <f t="shared" si="12"/>
        <v>300000</v>
      </c>
    </row>
    <row r="46" spans="1:213" s="10" customFormat="1" ht="33" customHeight="1">
      <c r="A46" s="15" t="s">
        <v>53</v>
      </c>
      <c r="B46" s="13" t="s">
        <v>59</v>
      </c>
      <c r="C46" s="14" t="s">
        <v>38</v>
      </c>
      <c r="D46" s="15">
        <v>2017</v>
      </c>
      <c r="E46" s="15">
        <v>2027</v>
      </c>
      <c r="F46" s="16">
        <f>700000+500000-10396</f>
        <v>1189604</v>
      </c>
      <c r="G46" s="17">
        <v>300000</v>
      </c>
      <c r="H46" s="17">
        <v>0</v>
      </c>
      <c r="I46" s="17">
        <v>150000</v>
      </c>
      <c r="J46" s="17">
        <v>150000</v>
      </c>
      <c r="K46" s="17">
        <v>150000</v>
      </c>
      <c r="L46" s="17">
        <v>0</v>
      </c>
      <c r="M46" s="17">
        <v>150000</v>
      </c>
      <c r="N46" s="17"/>
      <c r="O46" s="18">
        <f t="shared" si="12"/>
        <v>900000</v>
      </c>
    </row>
    <row r="47" spans="1:213" s="10" customFormat="1" ht="32.25" customHeight="1">
      <c r="A47" s="46" t="s">
        <v>54</v>
      </c>
      <c r="B47" s="116" t="s">
        <v>67</v>
      </c>
      <c r="C47" s="121" t="s">
        <v>38</v>
      </c>
      <c r="D47" s="47">
        <v>2017</v>
      </c>
      <c r="E47" s="47">
        <v>2024</v>
      </c>
      <c r="F47" s="163">
        <v>845000</v>
      </c>
      <c r="G47" s="138">
        <v>0</v>
      </c>
      <c r="H47" s="138">
        <v>0</v>
      </c>
      <c r="I47" s="138">
        <v>300000</v>
      </c>
      <c r="J47" s="138">
        <v>250000</v>
      </c>
      <c r="K47" s="138"/>
      <c r="L47" s="138"/>
      <c r="M47" s="138"/>
      <c r="N47" s="138"/>
      <c r="O47" s="18">
        <f t="shared" si="12"/>
        <v>550000</v>
      </c>
    </row>
    <row r="48" spans="1:213" s="10" customFormat="1" ht="36.75" customHeight="1">
      <c r="A48" s="15" t="s">
        <v>55</v>
      </c>
      <c r="B48" s="29" t="s">
        <v>72</v>
      </c>
      <c r="C48" s="30" t="s">
        <v>38</v>
      </c>
      <c r="D48" s="28">
        <v>2017</v>
      </c>
      <c r="E48" s="28">
        <v>2025</v>
      </c>
      <c r="F48" s="161">
        <v>850000</v>
      </c>
      <c r="G48" s="31">
        <v>0</v>
      </c>
      <c r="H48" s="31">
        <v>0</v>
      </c>
      <c r="I48" s="31">
        <v>200000</v>
      </c>
      <c r="J48" s="31">
        <v>150000</v>
      </c>
      <c r="K48" s="31">
        <v>200000</v>
      </c>
      <c r="L48" s="31"/>
      <c r="M48" s="31"/>
      <c r="N48" s="31"/>
      <c r="O48" s="18">
        <f t="shared" si="12"/>
        <v>550000</v>
      </c>
    </row>
    <row r="49" spans="1:16" s="10" customFormat="1" ht="37.9" customHeight="1">
      <c r="A49" s="46" t="s">
        <v>56</v>
      </c>
      <c r="B49" s="122" t="s">
        <v>358</v>
      </c>
      <c r="C49" s="123" t="s">
        <v>38</v>
      </c>
      <c r="D49" s="15">
        <v>2017</v>
      </c>
      <c r="E49" s="15">
        <v>2023</v>
      </c>
      <c r="F49" s="164">
        <v>417266</v>
      </c>
      <c r="G49" s="150">
        <v>0</v>
      </c>
      <c r="H49" s="150">
        <v>0</v>
      </c>
      <c r="I49" s="150">
        <v>60000</v>
      </c>
      <c r="J49" s="150"/>
      <c r="K49" s="150"/>
      <c r="L49" s="150"/>
      <c r="M49" s="150"/>
      <c r="N49" s="150"/>
      <c r="O49" s="18">
        <f t="shared" si="12"/>
        <v>60000</v>
      </c>
    </row>
    <row r="50" spans="1:16" s="10" customFormat="1" ht="37.9" customHeight="1">
      <c r="A50" s="15" t="s">
        <v>57</v>
      </c>
      <c r="B50" s="124" t="s">
        <v>74</v>
      </c>
      <c r="C50" s="125" t="s">
        <v>38</v>
      </c>
      <c r="D50" s="22">
        <v>2017</v>
      </c>
      <c r="E50" s="22">
        <v>2026</v>
      </c>
      <c r="F50" s="165">
        <f>329983+770000</f>
        <v>1099983</v>
      </c>
      <c r="G50" s="151">
        <v>0</v>
      </c>
      <c r="H50" s="151">
        <v>120000</v>
      </c>
      <c r="I50" s="151">
        <v>200000</v>
      </c>
      <c r="J50" s="151">
        <v>200000</v>
      </c>
      <c r="K50" s="151">
        <v>200000</v>
      </c>
      <c r="L50" s="151">
        <v>200000</v>
      </c>
      <c r="M50" s="151"/>
      <c r="N50" s="151"/>
      <c r="O50" s="16">
        <f>SUM(G50:N50)</f>
        <v>920000</v>
      </c>
    </row>
    <row r="51" spans="1:16" s="10" customFormat="1" ht="34.15" customHeight="1">
      <c r="A51" s="46" t="s">
        <v>58</v>
      </c>
      <c r="B51" s="126" t="s">
        <v>75</v>
      </c>
      <c r="C51" s="14" t="s">
        <v>38</v>
      </c>
      <c r="D51" s="15">
        <v>2018</v>
      </c>
      <c r="E51" s="22">
        <v>2023</v>
      </c>
      <c r="F51" s="166">
        <v>500000</v>
      </c>
      <c r="G51" s="140">
        <v>0</v>
      </c>
      <c r="H51" s="140">
        <v>100000</v>
      </c>
      <c r="I51" s="140">
        <v>100000</v>
      </c>
      <c r="J51" s="140"/>
      <c r="K51" s="140"/>
      <c r="L51" s="140"/>
      <c r="M51" s="140"/>
      <c r="N51" s="140"/>
      <c r="O51" s="18">
        <f t="shared" si="12"/>
        <v>200000</v>
      </c>
    </row>
    <row r="52" spans="1:16" s="24" customFormat="1" ht="32.450000000000003" customHeight="1">
      <c r="A52" s="15" t="s">
        <v>60</v>
      </c>
      <c r="B52" s="126" t="s">
        <v>76</v>
      </c>
      <c r="C52" s="14" t="s">
        <v>38</v>
      </c>
      <c r="D52" s="15">
        <v>2018</v>
      </c>
      <c r="E52" s="22">
        <v>2022</v>
      </c>
      <c r="F52" s="166">
        <f>360433+380000-3232</f>
        <v>737201</v>
      </c>
      <c r="G52" s="140">
        <f>100000+380000</f>
        <v>480000</v>
      </c>
      <c r="H52" s="140">
        <v>100000</v>
      </c>
      <c r="I52" s="140"/>
      <c r="J52" s="140"/>
      <c r="K52" s="140"/>
      <c r="L52" s="140"/>
      <c r="M52" s="140"/>
      <c r="N52" s="140"/>
      <c r="O52" s="16">
        <f t="shared" si="12"/>
        <v>580000</v>
      </c>
      <c r="P52" s="139"/>
    </row>
    <row r="53" spans="1:16" s="24" customFormat="1" ht="36" customHeight="1">
      <c r="A53" s="46" t="s">
        <v>61</v>
      </c>
      <c r="B53" s="184" t="s">
        <v>77</v>
      </c>
      <c r="C53" s="14" t="s">
        <v>38</v>
      </c>
      <c r="D53" s="15">
        <v>2018</v>
      </c>
      <c r="E53" s="15">
        <v>2027</v>
      </c>
      <c r="F53" s="166">
        <f>2189458+200000+200000</f>
        <v>2589458</v>
      </c>
      <c r="G53" s="140">
        <f>200000+200000</f>
        <v>400000</v>
      </c>
      <c r="H53" s="140">
        <v>200000</v>
      </c>
      <c r="I53" s="140">
        <v>200000</v>
      </c>
      <c r="J53" s="140">
        <v>250000</v>
      </c>
      <c r="K53" s="140">
        <v>250000</v>
      </c>
      <c r="L53" s="140">
        <v>200000</v>
      </c>
      <c r="M53" s="140">
        <v>200000</v>
      </c>
      <c r="N53" s="140"/>
      <c r="O53" s="16">
        <f>SUM(G53:N53)</f>
        <v>1700000</v>
      </c>
    </row>
    <row r="54" spans="1:16" s="24" customFormat="1" ht="39" customHeight="1">
      <c r="A54" s="15" t="s">
        <v>62</v>
      </c>
      <c r="B54" s="185" t="s">
        <v>78</v>
      </c>
      <c r="C54" s="30" t="s">
        <v>38</v>
      </c>
      <c r="D54" s="28">
        <v>2018</v>
      </c>
      <c r="E54" s="28">
        <v>2028</v>
      </c>
      <c r="F54" s="183">
        <f>640000+1700000+200000+400000</f>
        <v>2940000</v>
      </c>
      <c r="G54" s="186">
        <v>400000</v>
      </c>
      <c r="H54" s="186">
        <v>0</v>
      </c>
      <c r="I54" s="186">
        <v>200000</v>
      </c>
      <c r="J54" s="186">
        <v>250000</v>
      </c>
      <c r="K54" s="186">
        <v>250000</v>
      </c>
      <c r="L54" s="186">
        <v>300000</v>
      </c>
      <c r="M54" s="186">
        <v>300000</v>
      </c>
      <c r="N54" s="186">
        <v>400000</v>
      </c>
      <c r="O54" s="16">
        <f>SUM(G54:N54)</f>
        <v>2100000</v>
      </c>
    </row>
    <row r="55" spans="1:16" s="10" customFormat="1" ht="37.9" customHeight="1">
      <c r="A55" s="46" t="s">
        <v>63</v>
      </c>
      <c r="B55" s="127" t="s">
        <v>350</v>
      </c>
      <c r="C55" s="128" t="s">
        <v>38</v>
      </c>
      <c r="D55" s="25">
        <v>2018</v>
      </c>
      <c r="E55" s="25">
        <v>2023</v>
      </c>
      <c r="F55" s="167">
        <f>200000+295000-2553</f>
        <v>492447</v>
      </c>
      <c r="G55" s="152">
        <v>0</v>
      </c>
      <c r="H55" s="152">
        <v>100000</v>
      </c>
      <c r="I55" s="152">
        <v>295000</v>
      </c>
      <c r="J55" s="152"/>
      <c r="K55" s="152"/>
      <c r="L55" s="152"/>
      <c r="M55" s="152"/>
      <c r="N55" s="152"/>
      <c r="O55" s="18">
        <f>SUM(G55:N55)</f>
        <v>395000</v>
      </c>
    </row>
    <row r="56" spans="1:16" s="24" customFormat="1" ht="34.5" customHeight="1">
      <c r="A56" s="15" t="s">
        <v>64</v>
      </c>
      <c r="B56" s="126" t="s">
        <v>79</v>
      </c>
      <c r="C56" s="129" t="s">
        <v>38</v>
      </c>
      <c r="D56" s="23">
        <v>2018</v>
      </c>
      <c r="E56" s="23">
        <v>2023</v>
      </c>
      <c r="F56" s="168">
        <f>655931+200000</f>
        <v>855931</v>
      </c>
      <c r="G56" s="143">
        <v>200000</v>
      </c>
      <c r="H56" s="143">
        <v>100000</v>
      </c>
      <c r="I56" s="143">
        <v>200000</v>
      </c>
      <c r="J56" s="143"/>
      <c r="K56" s="143"/>
      <c r="L56" s="143"/>
      <c r="M56" s="143"/>
      <c r="N56" s="143"/>
      <c r="O56" s="16">
        <f t="shared" si="12"/>
        <v>500000</v>
      </c>
    </row>
    <row r="57" spans="1:16" s="10" customFormat="1" ht="39" customHeight="1">
      <c r="A57" s="46" t="s">
        <v>65</v>
      </c>
      <c r="B57" s="126" t="s">
        <v>80</v>
      </c>
      <c r="C57" s="129" t="s">
        <v>38</v>
      </c>
      <c r="D57" s="23">
        <v>2018</v>
      </c>
      <c r="E57" s="23">
        <v>2023</v>
      </c>
      <c r="F57" s="168">
        <f>450000+100000-383</f>
        <v>549617</v>
      </c>
      <c r="G57" s="143">
        <v>0</v>
      </c>
      <c r="H57" s="143">
        <v>100000</v>
      </c>
      <c r="I57" s="143">
        <v>100000</v>
      </c>
      <c r="J57" s="143"/>
      <c r="K57" s="143"/>
      <c r="L57" s="143"/>
      <c r="M57" s="143"/>
      <c r="N57" s="143"/>
      <c r="O57" s="18">
        <f t="shared" si="12"/>
        <v>200000</v>
      </c>
    </row>
    <row r="58" spans="1:16" s="24" customFormat="1" ht="38.25" customHeight="1">
      <c r="A58" s="15" t="s">
        <v>66</v>
      </c>
      <c r="B58" s="141" t="s">
        <v>349</v>
      </c>
      <c r="C58" s="142" t="s">
        <v>38</v>
      </c>
      <c r="D58" s="23">
        <v>2018</v>
      </c>
      <c r="E58" s="23">
        <v>2022</v>
      </c>
      <c r="F58" s="168">
        <f>449409+150000</f>
        <v>599409</v>
      </c>
      <c r="G58" s="143">
        <v>150000</v>
      </c>
      <c r="H58" s="143">
        <v>160000</v>
      </c>
      <c r="I58" s="143"/>
      <c r="J58" s="143"/>
      <c r="K58" s="143"/>
      <c r="L58" s="143"/>
      <c r="M58" s="143"/>
      <c r="N58" s="143"/>
      <c r="O58" s="16">
        <f t="shared" si="12"/>
        <v>310000</v>
      </c>
    </row>
    <row r="59" spans="1:16" s="10" customFormat="1" ht="64.5" customHeight="1">
      <c r="A59" s="46" t="s">
        <v>68</v>
      </c>
      <c r="B59" s="130" t="s">
        <v>121</v>
      </c>
      <c r="C59" s="129" t="s">
        <v>38</v>
      </c>
      <c r="D59" s="15">
        <v>2018</v>
      </c>
      <c r="E59" s="15">
        <v>2021</v>
      </c>
      <c r="F59" s="169">
        <f>1739938-1181600</f>
        <v>558338</v>
      </c>
      <c r="G59" s="147">
        <f>1690000-1181600</f>
        <v>508400</v>
      </c>
      <c r="H59" s="147"/>
      <c r="I59" s="147"/>
      <c r="J59" s="147"/>
      <c r="K59" s="147"/>
      <c r="L59" s="147"/>
      <c r="M59" s="147"/>
      <c r="N59" s="147"/>
      <c r="O59" s="18">
        <f t="shared" si="12"/>
        <v>508400</v>
      </c>
      <c r="P59" s="50"/>
    </row>
    <row r="60" spans="1:16" s="24" customFormat="1" ht="122.25" customHeight="1">
      <c r="A60" s="15" t="s">
        <v>70</v>
      </c>
      <c r="B60" s="144" t="s">
        <v>131</v>
      </c>
      <c r="C60" s="14" t="s">
        <v>144</v>
      </c>
      <c r="D60" s="15">
        <v>2020</v>
      </c>
      <c r="E60" s="15">
        <v>2023</v>
      </c>
      <c r="F60" s="170">
        <v>2500000</v>
      </c>
      <c r="G60" s="145">
        <f>1500000-1100000</f>
        <v>400000</v>
      </c>
      <c r="H60" s="145">
        <f>1000000+600000</f>
        <v>1600000</v>
      </c>
      <c r="I60" s="145">
        <v>500000</v>
      </c>
      <c r="J60" s="145"/>
      <c r="K60" s="145"/>
      <c r="L60" s="145"/>
      <c r="M60" s="145"/>
      <c r="N60" s="145"/>
      <c r="O60" s="16">
        <f t="shared" si="12"/>
        <v>2500000</v>
      </c>
    </row>
    <row r="61" spans="1:16" s="10" customFormat="1" ht="47.25" customHeight="1">
      <c r="A61" s="46" t="s">
        <v>71</v>
      </c>
      <c r="B61" s="131" t="s">
        <v>351</v>
      </c>
      <c r="C61" s="132" t="s">
        <v>38</v>
      </c>
      <c r="D61" s="22">
        <v>2017</v>
      </c>
      <c r="E61" s="22">
        <v>2023</v>
      </c>
      <c r="F61" s="171">
        <v>647475</v>
      </c>
      <c r="G61" s="153">
        <v>0</v>
      </c>
      <c r="H61" s="153">
        <v>150000</v>
      </c>
      <c r="I61" s="153">
        <v>150000</v>
      </c>
      <c r="J61" s="153"/>
      <c r="K61" s="153"/>
      <c r="L61" s="153"/>
      <c r="M61" s="153"/>
      <c r="N61" s="153"/>
      <c r="O61" s="18">
        <f t="shared" si="12"/>
        <v>300000</v>
      </c>
    </row>
    <row r="62" spans="1:16" s="24" customFormat="1" ht="33.75" customHeight="1">
      <c r="A62" s="15" t="s">
        <v>145</v>
      </c>
      <c r="B62" s="159" t="s">
        <v>106</v>
      </c>
      <c r="C62" s="160" t="s">
        <v>38</v>
      </c>
      <c r="D62" s="179">
        <v>2018</v>
      </c>
      <c r="E62" s="179">
        <v>2021</v>
      </c>
      <c r="F62" s="172">
        <f>3834256-1113015-419864</f>
        <v>2301377</v>
      </c>
      <c r="G62" s="158">
        <f>1099400-419864+1528538</f>
        <v>2208074</v>
      </c>
      <c r="H62" s="158"/>
      <c r="I62" s="158"/>
      <c r="J62" s="158"/>
      <c r="K62" s="158"/>
      <c r="L62" s="158"/>
      <c r="M62" s="158"/>
      <c r="N62" s="158"/>
      <c r="O62" s="16">
        <f t="shared" si="12"/>
        <v>2208074</v>
      </c>
      <c r="P62" s="139"/>
    </row>
    <row r="63" spans="1:16" s="10" customFormat="1" ht="40.5" customHeight="1">
      <c r="A63" s="46" t="s">
        <v>73</v>
      </c>
      <c r="B63" s="133" t="s">
        <v>107</v>
      </c>
      <c r="C63" s="134" t="s">
        <v>108</v>
      </c>
      <c r="D63" s="26">
        <v>2020</v>
      </c>
      <c r="E63" s="26">
        <v>2024</v>
      </c>
      <c r="F63" s="173">
        <v>600000</v>
      </c>
      <c r="G63" s="154">
        <v>0</v>
      </c>
      <c r="H63" s="154">
        <v>50000</v>
      </c>
      <c r="I63" s="154">
        <v>300000</v>
      </c>
      <c r="J63" s="154">
        <v>250000</v>
      </c>
      <c r="K63" s="154"/>
      <c r="L63" s="154"/>
      <c r="M63" s="154"/>
      <c r="N63" s="154"/>
      <c r="O63" s="18">
        <f t="shared" si="12"/>
        <v>600000</v>
      </c>
    </row>
    <row r="64" spans="1:16" s="10" customFormat="1" ht="32.25" customHeight="1">
      <c r="A64" s="15" t="s">
        <v>81</v>
      </c>
      <c r="B64" s="133" t="s">
        <v>109</v>
      </c>
      <c r="C64" s="134" t="s">
        <v>108</v>
      </c>
      <c r="D64" s="26">
        <v>2020</v>
      </c>
      <c r="E64" s="26">
        <v>2025</v>
      </c>
      <c r="F64" s="173">
        <v>800000</v>
      </c>
      <c r="G64" s="154">
        <v>0</v>
      </c>
      <c r="H64" s="154">
        <v>50000</v>
      </c>
      <c r="I64" s="154">
        <v>250000</v>
      </c>
      <c r="J64" s="154">
        <v>250000</v>
      </c>
      <c r="K64" s="154">
        <v>250000</v>
      </c>
      <c r="L64" s="154">
        <v>0</v>
      </c>
      <c r="M64" s="154"/>
      <c r="N64" s="154"/>
      <c r="O64" s="18">
        <f>SUM(G64:N64)</f>
        <v>800000</v>
      </c>
    </row>
    <row r="65" spans="1:16" s="10" customFormat="1" ht="35.25" customHeight="1">
      <c r="A65" s="46" t="s">
        <v>82</v>
      </c>
      <c r="B65" s="133" t="s">
        <v>110</v>
      </c>
      <c r="C65" s="134" t="s">
        <v>108</v>
      </c>
      <c r="D65" s="26">
        <v>2020</v>
      </c>
      <c r="E65" s="26">
        <v>2023</v>
      </c>
      <c r="F65" s="173">
        <v>1500000</v>
      </c>
      <c r="G65" s="154">
        <v>0</v>
      </c>
      <c r="H65" s="154">
        <v>80000</v>
      </c>
      <c r="I65" s="154">
        <v>1420000</v>
      </c>
      <c r="J65" s="154">
        <v>0</v>
      </c>
      <c r="K65" s="154"/>
      <c r="L65" s="154"/>
      <c r="M65" s="154"/>
      <c r="N65" s="154"/>
      <c r="O65" s="18">
        <f t="shared" si="12"/>
        <v>1500000</v>
      </c>
    </row>
    <row r="66" spans="1:16" s="10" customFormat="1" ht="32.25" customHeight="1">
      <c r="A66" s="15" t="s">
        <v>83</v>
      </c>
      <c r="B66" s="133" t="s">
        <v>111</v>
      </c>
      <c r="C66" s="134" t="s">
        <v>108</v>
      </c>
      <c r="D66" s="26">
        <v>2020</v>
      </c>
      <c r="E66" s="26">
        <v>2027</v>
      </c>
      <c r="F66" s="173">
        <f>440000+595000</f>
        <v>1035000</v>
      </c>
      <c r="G66" s="154">
        <v>0</v>
      </c>
      <c r="H66" s="154">
        <v>135000</v>
      </c>
      <c r="I66" s="154">
        <v>0</v>
      </c>
      <c r="J66" s="154">
        <v>200000</v>
      </c>
      <c r="K66" s="154">
        <v>200000</v>
      </c>
      <c r="L66" s="154">
        <v>200000</v>
      </c>
      <c r="M66" s="154">
        <v>300000</v>
      </c>
      <c r="N66" s="154"/>
      <c r="O66" s="18">
        <f>SUM(G66:N66)</f>
        <v>1035000</v>
      </c>
    </row>
    <row r="67" spans="1:16" s="24" customFormat="1" ht="44.25" customHeight="1">
      <c r="A67" s="46" t="s">
        <v>84</v>
      </c>
      <c r="B67" s="133" t="s">
        <v>112</v>
      </c>
      <c r="C67" s="134" t="s">
        <v>108</v>
      </c>
      <c r="D67" s="26">
        <v>2020</v>
      </c>
      <c r="E67" s="26">
        <v>2026</v>
      </c>
      <c r="F67" s="173">
        <f>2252000+9000000-2252000</f>
        <v>9000000</v>
      </c>
      <c r="G67" s="154">
        <v>0</v>
      </c>
      <c r="H67" s="154">
        <v>2000000</v>
      </c>
      <c r="I67" s="154">
        <v>2000000</v>
      </c>
      <c r="J67" s="154">
        <v>3000000</v>
      </c>
      <c r="K67" s="154">
        <v>0</v>
      </c>
      <c r="L67" s="154">
        <v>2000000</v>
      </c>
      <c r="M67" s="154"/>
      <c r="N67" s="154"/>
      <c r="O67" s="16">
        <f t="shared" si="12"/>
        <v>9000000</v>
      </c>
      <c r="P67" s="187"/>
    </row>
    <row r="68" spans="1:16" s="10" customFormat="1" ht="41.25" customHeight="1">
      <c r="A68" s="15" t="s">
        <v>89</v>
      </c>
      <c r="B68" s="133" t="s">
        <v>113</v>
      </c>
      <c r="C68" s="134" t="s">
        <v>108</v>
      </c>
      <c r="D68" s="26">
        <v>2020</v>
      </c>
      <c r="E68" s="26">
        <v>2028</v>
      </c>
      <c r="F68" s="173">
        <v>3150000</v>
      </c>
      <c r="G68" s="154">
        <v>0</v>
      </c>
      <c r="H68" s="154">
        <v>150000</v>
      </c>
      <c r="I68" s="154">
        <v>500000</v>
      </c>
      <c r="J68" s="154">
        <v>500000</v>
      </c>
      <c r="K68" s="154">
        <v>500000</v>
      </c>
      <c r="L68" s="154">
        <v>500000</v>
      </c>
      <c r="M68" s="154">
        <v>500000</v>
      </c>
      <c r="N68" s="154">
        <v>500000</v>
      </c>
      <c r="O68" s="16">
        <f>SUM(G68:N68)</f>
        <v>3150000</v>
      </c>
    </row>
    <row r="69" spans="1:16" s="10" customFormat="1" ht="63" customHeight="1">
      <c r="A69" s="46" t="s">
        <v>95</v>
      </c>
      <c r="B69" s="133" t="s">
        <v>344</v>
      </c>
      <c r="C69" s="134" t="s">
        <v>108</v>
      </c>
      <c r="D69" s="26">
        <v>2020</v>
      </c>
      <c r="E69" s="26">
        <v>2024</v>
      </c>
      <c r="F69" s="173">
        <v>1350000</v>
      </c>
      <c r="G69" s="154">
        <v>100000</v>
      </c>
      <c r="H69" s="154">
        <v>0</v>
      </c>
      <c r="I69" s="154">
        <v>650000</v>
      </c>
      <c r="J69" s="154">
        <v>600000</v>
      </c>
      <c r="K69" s="154"/>
      <c r="L69" s="154"/>
      <c r="M69" s="154"/>
      <c r="N69" s="154"/>
      <c r="O69" s="16">
        <f t="shared" si="12"/>
        <v>1350000</v>
      </c>
    </row>
    <row r="70" spans="1:16" s="10" customFormat="1" ht="47.25" customHeight="1">
      <c r="A70" s="15" t="s">
        <v>96</v>
      </c>
      <c r="B70" s="133" t="s">
        <v>352</v>
      </c>
      <c r="C70" s="134" t="s">
        <v>108</v>
      </c>
      <c r="D70" s="26">
        <v>2020</v>
      </c>
      <c r="E70" s="26">
        <v>2025</v>
      </c>
      <c r="F70" s="173">
        <v>2070000</v>
      </c>
      <c r="G70" s="154">
        <v>0</v>
      </c>
      <c r="H70" s="154">
        <v>70000</v>
      </c>
      <c r="I70" s="154">
        <v>0</v>
      </c>
      <c r="J70" s="154">
        <v>1000000</v>
      </c>
      <c r="K70" s="154">
        <v>1000000</v>
      </c>
      <c r="L70" s="154"/>
      <c r="M70" s="154"/>
      <c r="N70" s="154"/>
      <c r="O70" s="16">
        <f t="shared" si="12"/>
        <v>2070000</v>
      </c>
    </row>
    <row r="71" spans="1:16" s="10" customFormat="1" ht="35.25" customHeight="1">
      <c r="A71" s="46" t="s">
        <v>97</v>
      </c>
      <c r="B71" s="133" t="s">
        <v>137</v>
      </c>
      <c r="C71" s="134" t="s">
        <v>108</v>
      </c>
      <c r="D71" s="26">
        <v>2020</v>
      </c>
      <c r="E71" s="26">
        <v>2025</v>
      </c>
      <c r="F71" s="173">
        <v>4500000</v>
      </c>
      <c r="G71" s="154">
        <v>0</v>
      </c>
      <c r="H71" s="154">
        <v>150000</v>
      </c>
      <c r="I71" s="154">
        <v>0</v>
      </c>
      <c r="J71" s="154">
        <v>2000000</v>
      </c>
      <c r="K71" s="154">
        <v>2350000</v>
      </c>
      <c r="L71" s="154"/>
      <c r="M71" s="154"/>
      <c r="N71" s="154"/>
      <c r="O71" s="16">
        <f t="shared" si="12"/>
        <v>4500000</v>
      </c>
    </row>
    <row r="72" spans="1:16" s="10" customFormat="1" ht="51" customHeight="1">
      <c r="A72" s="15" t="s">
        <v>98</v>
      </c>
      <c r="B72" s="133" t="s">
        <v>114</v>
      </c>
      <c r="C72" s="134" t="s">
        <v>108</v>
      </c>
      <c r="D72" s="26">
        <v>2020</v>
      </c>
      <c r="E72" s="26">
        <v>2022</v>
      </c>
      <c r="F72" s="173">
        <v>350000</v>
      </c>
      <c r="G72" s="154">
        <v>0</v>
      </c>
      <c r="H72" s="154">
        <v>250000</v>
      </c>
      <c r="I72" s="154"/>
      <c r="J72" s="154"/>
      <c r="K72" s="154"/>
      <c r="L72" s="154"/>
      <c r="M72" s="154"/>
      <c r="N72" s="154"/>
      <c r="O72" s="16">
        <f t="shared" si="12"/>
        <v>250000</v>
      </c>
    </row>
    <row r="73" spans="1:16" s="10" customFormat="1" ht="30.75" customHeight="1">
      <c r="A73" s="46" t="s">
        <v>99</v>
      </c>
      <c r="B73" s="133" t="s">
        <v>115</v>
      </c>
      <c r="C73" s="134" t="s">
        <v>108</v>
      </c>
      <c r="D73" s="26">
        <v>2020</v>
      </c>
      <c r="E73" s="26">
        <v>2026</v>
      </c>
      <c r="F73" s="173">
        <v>790000</v>
      </c>
      <c r="G73" s="154">
        <v>0</v>
      </c>
      <c r="H73" s="154">
        <v>40000</v>
      </c>
      <c r="I73" s="154">
        <v>200000</v>
      </c>
      <c r="J73" s="154">
        <v>200000</v>
      </c>
      <c r="K73" s="154">
        <v>200000</v>
      </c>
      <c r="L73" s="154">
        <v>150000</v>
      </c>
      <c r="M73" s="154"/>
      <c r="N73" s="154"/>
      <c r="O73" s="16">
        <f t="shared" si="12"/>
        <v>790000</v>
      </c>
    </row>
    <row r="74" spans="1:16" s="10" customFormat="1" ht="32.25" customHeight="1">
      <c r="A74" s="15" t="s">
        <v>101</v>
      </c>
      <c r="B74" s="133" t="s">
        <v>116</v>
      </c>
      <c r="C74" s="134" t="s">
        <v>108</v>
      </c>
      <c r="D74" s="26">
        <v>2019</v>
      </c>
      <c r="E74" s="26">
        <v>2023</v>
      </c>
      <c r="F74" s="173">
        <v>350000</v>
      </c>
      <c r="G74" s="154">
        <v>0</v>
      </c>
      <c r="H74" s="154">
        <v>100000</v>
      </c>
      <c r="I74" s="154">
        <v>100000</v>
      </c>
      <c r="J74" s="154"/>
      <c r="K74" s="154"/>
      <c r="L74" s="154"/>
      <c r="M74" s="154"/>
      <c r="N74" s="154"/>
      <c r="O74" s="16">
        <f t="shared" si="12"/>
        <v>200000</v>
      </c>
    </row>
    <row r="75" spans="1:16" s="10" customFormat="1" ht="35.25" customHeight="1">
      <c r="A75" s="46" t="s">
        <v>102</v>
      </c>
      <c r="B75" s="133" t="s">
        <v>117</v>
      </c>
      <c r="C75" s="134" t="s">
        <v>108</v>
      </c>
      <c r="D75" s="26">
        <v>2020</v>
      </c>
      <c r="E75" s="26">
        <v>2028</v>
      </c>
      <c r="F75" s="173">
        <v>5200000</v>
      </c>
      <c r="G75" s="154">
        <v>0</v>
      </c>
      <c r="H75" s="154">
        <v>0</v>
      </c>
      <c r="I75" s="154">
        <v>150000</v>
      </c>
      <c r="J75" s="154">
        <v>0</v>
      </c>
      <c r="K75" s="154">
        <v>1000000</v>
      </c>
      <c r="L75" s="154">
        <v>1000000</v>
      </c>
      <c r="M75" s="154">
        <v>1500000</v>
      </c>
      <c r="N75" s="154">
        <v>1550000</v>
      </c>
      <c r="O75" s="16">
        <f t="shared" si="12"/>
        <v>5200000</v>
      </c>
    </row>
    <row r="76" spans="1:16" s="10" customFormat="1" ht="33.75" customHeight="1">
      <c r="A76" s="15" t="s">
        <v>122</v>
      </c>
      <c r="B76" s="133" t="s">
        <v>118</v>
      </c>
      <c r="C76" s="134" t="s">
        <v>108</v>
      </c>
      <c r="D76" s="26">
        <v>2020</v>
      </c>
      <c r="E76" s="26">
        <v>2027</v>
      </c>
      <c r="F76" s="173">
        <v>2100000</v>
      </c>
      <c r="G76" s="154">
        <v>0</v>
      </c>
      <c r="H76" s="154">
        <v>100000</v>
      </c>
      <c r="I76" s="154">
        <v>0</v>
      </c>
      <c r="J76" s="154">
        <v>500000</v>
      </c>
      <c r="K76" s="154">
        <v>500000</v>
      </c>
      <c r="L76" s="154">
        <v>500000</v>
      </c>
      <c r="M76" s="154">
        <v>500000</v>
      </c>
      <c r="N76" s="154"/>
      <c r="O76" s="16">
        <f t="shared" si="12"/>
        <v>2100000</v>
      </c>
    </row>
    <row r="77" spans="1:16" s="24" customFormat="1" ht="30.75" customHeight="1">
      <c r="A77" s="46" t="s">
        <v>123</v>
      </c>
      <c r="B77" s="133" t="s">
        <v>119</v>
      </c>
      <c r="C77" s="134" t="s">
        <v>108</v>
      </c>
      <c r="D77" s="26">
        <v>2020</v>
      </c>
      <c r="E77" s="26">
        <v>2024</v>
      </c>
      <c r="F77" s="173">
        <f>700000+50000</f>
        <v>750000</v>
      </c>
      <c r="G77" s="154">
        <f>100000+50000</f>
        <v>150000</v>
      </c>
      <c r="H77" s="154">
        <v>200000</v>
      </c>
      <c r="I77" s="154">
        <v>200000</v>
      </c>
      <c r="J77" s="154">
        <v>200000</v>
      </c>
      <c r="K77" s="154"/>
      <c r="L77" s="154"/>
      <c r="M77" s="154"/>
      <c r="N77" s="154"/>
      <c r="O77" s="16">
        <f t="shared" si="12"/>
        <v>750000</v>
      </c>
    </row>
    <row r="78" spans="1:16" s="146" customFormat="1" ht="36" customHeight="1">
      <c r="A78" s="15" t="s">
        <v>124</v>
      </c>
      <c r="B78" s="135" t="s">
        <v>353</v>
      </c>
      <c r="C78" s="136" t="s">
        <v>108</v>
      </c>
      <c r="D78" s="28">
        <v>2020</v>
      </c>
      <c r="E78" s="28">
        <v>2021</v>
      </c>
      <c r="F78" s="174">
        <f>360000-970</f>
        <v>359030</v>
      </c>
      <c r="G78" s="156">
        <v>260000</v>
      </c>
      <c r="H78" s="155"/>
      <c r="I78" s="157"/>
      <c r="J78" s="157"/>
      <c r="K78" s="157"/>
      <c r="L78" s="157"/>
      <c r="M78" s="157"/>
      <c r="N78" s="157"/>
      <c r="O78" s="16">
        <f t="shared" si="12"/>
        <v>260000</v>
      </c>
    </row>
    <row r="79" spans="1:16" s="146" customFormat="1" ht="36.75" customHeight="1">
      <c r="A79" s="46" t="s">
        <v>125</v>
      </c>
      <c r="B79" s="135" t="s">
        <v>143</v>
      </c>
      <c r="C79" s="136" t="s">
        <v>108</v>
      </c>
      <c r="D79" s="28">
        <v>2020</v>
      </c>
      <c r="E79" s="28">
        <v>2023</v>
      </c>
      <c r="F79" s="174">
        <f>1000000-150000+56000-48723</f>
        <v>857277</v>
      </c>
      <c r="G79" s="155">
        <f>394122-150000+56000</f>
        <v>300122</v>
      </c>
      <c r="H79" s="155">
        <v>200000</v>
      </c>
      <c r="I79" s="155">
        <v>305878</v>
      </c>
      <c r="J79" s="155"/>
      <c r="K79" s="155"/>
      <c r="L79" s="157"/>
      <c r="M79" s="157"/>
      <c r="N79" s="157"/>
      <c r="O79" s="16">
        <f t="shared" si="12"/>
        <v>806000</v>
      </c>
    </row>
    <row r="80" spans="1:16" s="146" customFormat="1" ht="36.75" customHeight="1">
      <c r="A80" s="15" t="s">
        <v>126</v>
      </c>
      <c r="B80" s="122" t="s">
        <v>346</v>
      </c>
      <c r="C80" s="136" t="s">
        <v>108</v>
      </c>
      <c r="D80" s="15">
        <v>2020</v>
      </c>
      <c r="E80" s="15">
        <v>2021</v>
      </c>
      <c r="F80" s="169">
        <f>200000-210</f>
        <v>199790</v>
      </c>
      <c r="G80" s="147">
        <v>100000</v>
      </c>
      <c r="H80" s="147"/>
      <c r="I80" s="147"/>
      <c r="J80" s="147"/>
      <c r="K80" s="147"/>
      <c r="L80" s="148"/>
      <c r="M80" s="148"/>
      <c r="N80" s="148"/>
      <c r="O80" s="16">
        <f t="shared" si="12"/>
        <v>100000</v>
      </c>
    </row>
    <row r="81" spans="1:15" s="146" customFormat="1" ht="54" customHeight="1">
      <c r="A81" s="46" t="s">
        <v>347</v>
      </c>
      <c r="B81" s="122" t="s">
        <v>354</v>
      </c>
      <c r="C81" s="136" t="s">
        <v>108</v>
      </c>
      <c r="D81" s="15">
        <v>2019</v>
      </c>
      <c r="E81" s="15">
        <v>2021</v>
      </c>
      <c r="F81" s="169">
        <f>134994+100000</f>
        <v>234994</v>
      </c>
      <c r="G81" s="147">
        <f>100000+100000</f>
        <v>200000</v>
      </c>
      <c r="H81" s="147"/>
      <c r="I81" s="147"/>
      <c r="J81" s="147"/>
      <c r="K81" s="147"/>
      <c r="L81" s="148"/>
      <c r="M81" s="148"/>
      <c r="N81" s="148"/>
      <c r="O81" s="16">
        <f t="shared" si="12"/>
        <v>200000</v>
      </c>
    </row>
    <row r="82" spans="1:15" s="51" customFormat="1" ht="45.75" customHeight="1">
      <c r="A82" s="15" t="s">
        <v>348</v>
      </c>
      <c r="B82" s="135" t="s">
        <v>355</v>
      </c>
      <c r="C82" s="136" t="s">
        <v>108</v>
      </c>
      <c r="D82" s="28">
        <v>2020</v>
      </c>
      <c r="E82" s="28">
        <v>2022</v>
      </c>
      <c r="F82" s="174">
        <f>SUM(H82:N82)+159900</f>
        <v>2259900</v>
      </c>
      <c r="G82" s="155">
        <v>0</v>
      </c>
      <c r="H82" s="155">
        <v>2100000</v>
      </c>
      <c r="I82" s="157"/>
      <c r="J82" s="157"/>
      <c r="K82" s="157"/>
      <c r="L82" s="157"/>
      <c r="M82" s="157"/>
      <c r="N82" s="157"/>
      <c r="O82" s="16">
        <f t="shared" si="12"/>
        <v>2100000</v>
      </c>
    </row>
    <row r="83" spans="1:15" s="24" customFormat="1" ht="15">
      <c r="A83" s="40"/>
      <c r="B83" s="191"/>
      <c r="C83" s="34"/>
      <c r="D83" s="40"/>
      <c r="E83" s="40"/>
      <c r="F83" s="10"/>
      <c r="O83" s="10"/>
    </row>
    <row r="84" spans="1:15" s="24" customFormat="1">
      <c r="A84" s="40"/>
      <c r="C84" s="34"/>
      <c r="D84" s="40"/>
      <c r="E84" s="40"/>
      <c r="F84" s="10"/>
      <c r="O84" s="10"/>
    </row>
    <row r="85" spans="1:15" s="24" customFormat="1">
      <c r="A85" s="40"/>
      <c r="C85" s="34"/>
      <c r="D85" s="40"/>
      <c r="E85" s="40"/>
      <c r="F85" s="10"/>
      <c r="O85" s="10"/>
    </row>
    <row r="86" spans="1:15" s="24" customFormat="1">
      <c r="A86" s="40"/>
      <c r="C86" s="34"/>
      <c r="D86" s="40"/>
      <c r="E86" s="40"/>
      <c r="F86" s="10"/>
      <c r="O86" s="10"/>
    </row>
    <row r="87" spans="1:15" s="24" customFormat="1">
      <c r="A87" s="40"/>
      <c r="C87" s="34"/>
      <c r="D87" s="40"/>
      <c r="E87" s="40"/>
      <c r="F87" s="10"/>
      <c r="O87" s="10"/>
    </row>
    <row r="88" spans="1:15" s="24" customFormat="1">
      <c r="A88" s="40"/>
      <c r="C88" s="34"/>
      <c r="D88" s="40"/>
      <c r="E88" s="40"/>
      <c r="F88" s="10"/>
      <c r="O88" s="10"/>
    </row>
    <row r="89" spans="1:15" s="24" customFormat="1">
      <c r="A89" s="40"/>
      <c r="C89" s="34"/>
      <c r="D89" s="40"/>
      <c r="E89" s="40"/>
      <c r="F89" s="10"/>
      <c r="O89" s="10"/>
    </row>
    <row r="90" spans="1:15" s="24" customFormat="1">
      <c r="A90" s="40"/>
      <c r="C90" s="34"/>
      <c r="D90" s="40"/>
      <c r="E90" s="40"/>
      <c r="F90" s="10"/>
      <c r="O90" s="10"/>
    </row>
    <row r="91" spans="1:15" s="24" customFormat="1">
      <c r="A91" s="40"/>
      <c r="C91" s="34"/>
      <c r="D91" s="40"/>
      <c r="E91" s="40"/>
      <c r="F91" s="10"/>
      <c r="O91" s="10"/>
    </row>
    <row r="92" spans="1:15" s="24" customFormat="1">
      <c r="A92" s="40"/>
      <c r="C92" s="34"/>
      <c r="D92" s="40"/>
      <c r="E92" s="40"/>
      <c r="F92" s="10"/>
      <c r="O92" s="10"/>
    </row>
    <row r="93" spans="1:15" s="24" customFormat="1">
      <c r="A93" s="40"/>
      <c r="C93" s="34"/>
      <c r="D93" s="40"/>
      <c r="E93" s="40"/>
      <c r="F93" s="10"/>
      <c r="O93" s="10"/>
    </row>
    <row r="94" spans="1:15" s="24" customFormat="1">
      <c r="A94" s="40"/>
      <c r="C94" s="34"/>
      <c r="D94" s="40"/>
      <c r="E94" s="40"/>
      <c r="F94" s="10"/>
      <c r="O94" s="10"/>
    </row>
    <row r="95" spans="1:15" s="24" customFormat="1">
      <c r="A95" s="40"/>
      <c r="C95" s="34"/>
      <c r="D95" s="40"/>
      <c r="E95" s="40"/>
      <c r="F95" s="10"/>
      <c r="O95" s="10"/>
    </row>
    <row r="96" spans="1:15" s="24" customFormat="1">
      <c r="A96" s="40"/>
      <c r="C96" s="34"/>
      <c r="D96" s="40"/>
      <c r="E96" s="40"/>
      <c r="F96" s="10"/>
      <c r="O96" s="10"/>
    </row>
    <row r="97" spans="1:15" s="24" customFormat="1">
      <c r="A97" s="40"/>
      <c r="C97" s="34"/>
      <c r="D97" s="40"/>
      <c r="E97" s="40"/>
      <c r="F97" s="10"/>
      <c r="O97" s="10"/>
    </row>
    <row r="98" spans="1:15" s="24" customFormat="1">
      <c r="A98" s="40"/>
      <c r="C98" s="34"/>
      <c r="D98" s="40"/>
      <c r="E98" s="40"/>
      <c r="F98" s="10"/>
      <c r="O98" s="10"/>
    </row>
    <row r="99" spans="1:15" s="24" customFormat="1">
      <c r="A99" s="40"/>
      <c r="C99" s="34"/>
      <c r="D99" s="40"/>
      <c r="E99" s="40"/>
      <c r="F99" s="10"/>
      <c r="O99" s="10"/>
    </row>
    <row r="100" spans="1:15" s="24" customFormat="1">
      <c r="A100" s="40"/>
      <c r="C100" s="34"/>
      <c r="D100" s="40"/>
      <c r="E100" s="40"/>
      <c r="F100" s="10"/>
      <c r="O100" s="10"/>
    </row>
    <row r="101" spans="1:15" s="24" customFormat="1">
      <c r="A101" s="40"/>
      <c r="C101" s="34"/>
      <c r="D101" s="40"/>
      <c r="E101" s="40"/>
      <c r="F101" s="10"/>
      <c r="O101" s="10"/>
    </row>
    <row r="102" spans="1:15" s="24" customFormat="1">
      <c r="A102" s="40"/>
      <c r="C102" s="34"/>
      <c r="D102" s="40"/>
      <c r="E102" s="40"/>
      <c r="F102" s="10"/>
      <c r="O102" s="10"/>
    </row>
    <row r="103" spans="1:15" s="24" customFormat="1">
      <c r="A103" s="40"/>
      <c r="C103" s="34"/>
      <c r="D103" s="40"/>
      <c r="E103" s="40"/>
      <c r="F103" s="10"/>
      <c r="O103" s="10"/>
    </row>
    <row r="104" spans="1:15" s="24" customFormat="1">
      <c r="A104" s="40"/>
      <c r="C104" s="34"/>
      <c r="D104" s="40"/>
      <c r="E104" s="40"/>
      <c r="F104" s="10"/>
      <c r="O104" s="10"/>
    </row>
    <row r="105" spans="1:15" s="24" customFormat="1">
      <c r="A105" s="40"/>
      <c r="C105" s="34"/>
      <c r="D105" s="40"/>
      <c r="E105" s="40"/>
      <c r="F105" s="10"/>
      <c r="O105" s="10"/>
    </row>
    <row r="106" spans="1:15" s="24" customFormat="1">
      <c r="A106" s="40"/>
      <c r="C106" s="34"/>
      <c r="D106" s="40"/>
      <c r="E106" s="40"/>
      <c r="F106" s="10"/>
      <c r="O106" s="10"/>
    </row>
    <row r="107" spans="1:15" s="24" customFormat="1">
      <c r="A107" s="40"/>
      <c r="C107" s="34"/>
      <c r="D107" s="40"/>
      <c r="E107" s="40"/>
      <c r="F107" s="10"/>
      <c r="O107" s="10"/>
    </row>
    <row r="108" spans="1:15" s="24" customFormat="1">
      <c r="A108" s="40"/>
      <c r="C108" s="34"/>
      <c r="D108" s="40"/>
      <c r="E108" s="40"/>
      <c r="F108" s="10"/>
      <c r="O108" s="10"/>
    </row>
    <row r="109" spans="1:15" s="24" customFormat="1">
      <c r="A109" s="40"/>
      <c r="C109" s="34"/>
      <c r="D109" s="40"/>
      <c r="E109" s="40"/>
      <c r="F109" s="10"/>
      <c r="O109" s="10"/>
    </row>
    <row r="110" spans="1:15" s="24" customFormat="1">
      <c r="A110" s="40"/>
      <c r="C110" s="34"/>
      <c r="D110" s="40"/>
      <c r="E110" s="40"/>
      <c r="F110" s="10"/>
      <c r="O110" s="10"/>
    </row>
    <row r="111" spans="1:15" s="24" customFormat="1">
      <c r="A111" s="40"/>
      <c r="C111" s="34"/>
      <c r="D111" s="40"/>
      <c r="E111" s="40"/>
      <c r="F111" s="10"/>
      <c r="O111" s="10"/>
    </row>
    <row r="112" spans="1:15" s="24" customFormat="1">
      <c r="A112" s="40"/>
      <c r="C112" s="34"/>
      <c r="D112" s="40"/>
      <c r="E112" s="40"/>
      <c r="F112" s="10"/>
      <c r="O112" s="10"/>
    </row>
    <row r="113" spans="1:15" s="24" customFormat="1">
      <c r="A113" s="40"/>
      <c r="C113" s="34"/>
      <c r="D113" s="40"/>
      <c r="E113" s="40"/>
      <c r="F113" s="10"/>
      <c r="O113" s="10"/>
    </row>
    <row r="114" spans="1:15" s="24" customFormat="1">
      <c r="A114" s="40"/>
      <c r="C114" s="34"/>
      <c r="D114" s="40"/>
      <c r="E114" s="40"/>
      <c r="F114" s="10"/>
      <c r="O114" s="10"/>
    </row>
    <row r="115" spans="1:15" s="24" customFormat="1">
      <c r="A115" s="40"/>
      <c r="C115" s="34"/>
      <c r="D115" s="40"/>
      <c r="E115" s="40"/>
      <c r="F115" s="10"/>
      <c r="O115" s="10"/>
    </row>
    <row r="116" spans="1:15" s="24" customFormat="1">
      <c r="A116" s="40"/>
      <c r="C116" s="34"/>
      <c r="D116" s="40"/>
      <c r="E116" s="40"/>
      <c r="F116" s="10"/>
      <c r="O116" s="10"/>
    </row>
    <row r="117" spans="1:15" s="24" customFormat="1">
      <c r="A117" s="40"/>
      <c r="C117" s="34"/>
      <c r="D117" s="40"/>
      <c r="E117" s="40"/>
      <c r="F117" s="10"/>
      <c r="O117" s="10"/>
    </row>
    <row r="118" spans="1:15" s="24" customFormat="1">
      <c r="A118" s="40"/>
      <c r="C118" s="34"/>
      <c r="D118" s="40"/>
      <c r="E118" s="40"/>
      <c r="F118" s="10"/>
      <c r="O118" s="10"/>
    </row>
    <row r="119" spans="1:15" s="24" customFormat="1">
      <c r="A119" s="40"/>
      <c r="C119" s="34"/>
      <c r="D119" s="40"/>
      <c r="E119" s="40"/>
      <c r="F119" s="10"/>
      <c r="O119" s="10"/>
    </row>
    <row r="120" spans="1:15" s="24" customFormat="1">
      <c r="A120" s="40"/>
      <c r="C120" s="34"/>
      <c r="D120" s="40"/>
      <c r="E120" s="40"/>
      <c r="F120" s="10"/>
      <c r="O120" s="10"/>
    </row>
    <row r="121" spans="1:15" s="24" customFormat="1">
      <c r="A121" s="40"/>
      <c r="C121" s="34"/>
      <c r="D121" s="40"/>
      <c r="E121" s="40"/>
      <c r="F121" s="10"/>
      <c r="O121" s="10"/>
    </row>
    <row r="122" spans="1:15" s="24" customFormat="1">
      <c r="A122" s="40"/>
      <c r="C122" s="34"/>
      <c r="D122" s="40"/>
      <c r="E122" s="40"/>
      <c r="F122" s="10"/>
      <c r="O122" s="10"/>
    </row>
    <row r="123" spans="1:15" s="24" customFormat="1">
      <c r="A123" s="40"/>
      <c r="C123" s="34"/>
      <c r="D123" s="40"/>
      <c r="E123" s="40"/>
      <c r="F123" s="10"/>
      <c r="O123" s="10"/>
    </row>
    <row r="124" spans="1:15" s="24" customFormat="1">
      <c r="A124" s="40"/>
      <c r="C124" s="34"/>
      <c r="D124" s="40"/>
      <c r="E124" s="40"/>
      <c r="F124" s="10"/>
      <c r="O124" s="10"/>
    </row>
    <row r="125" spans="1:15" s="24" customFormat="1">
      <c r="A125" s="40"/>
      <c r="C125" s="34"/>
      <c r="D125" s="40"/>
      <c r="E125" s="40"/>
      <c r="F125" s="10"/>
      <c r="O125" s="10"/>
    </row>
    <row r="126" spans="1:15" s="24" customFormat="1">
      <c r="A126" s="40"/>
      <c r="C126" s="34"/>
      <c r="D126" s="40"/>
      <c r="E126" s="40"/>
      <c r="F126" s="10"/>
      <c r="O126" s="10"/>
    </row>
    <row r="127" spans="1:15" s="24" customFormat="1">
      <c r="A127" s="40"/>
      <c r="C127" s="34"/>
      <c r="D127" s="40"/>
      <c r="E127" s="40"/>
      <c r="F127" s="10"/>
      <c r="O127" s="10"/>
    </row>
    <row r="128" spans="1:15" s="24" customFormat="1">
      <c r="A128" s="40"/>
      <c r="C128" s="34"/>
      <c r="D128" s="40"/>
      <c r="E128" s="40"/>
      <c r="F128" s="10"/>
      <c r="O128" s="10"/>
    </row>
    <row r="129" spans="1:15" s="24" customFormat="1">
      <c r="A129" s="40"/>
      <c r="C129" s="34"/>
      <c r="D129" s="40"/>
      <c r="E129" s="40"/>
      <c r="F129" s="10"/>
      <c r="O129" s="10"/>
    </row>
    <row r="130" spans="1:15" s="24" customFormat="1">
      <c r="A130" s="40"/>
      <c r="C130" s="34"/>
      <c r="D130" s="40"/>
      <c r="E130" s="40"/>
      <c r="F130" s="10"/>
      <c r="O130" s="10"/>
    </row>
    <row r="131" spans="1:15" s="24" customFormat="1">
      <c r="A131" s="40"/>
      <c r="C131" s="34"/>
      <c r="D131" s="40"/>
      <c r="E131" s="40"/>
      <c r="F131" s="10"/>
      <c r="O131" s="10"/>
    </row>
    <row r="132" spans="1:15" s="24" customFormat="1">
      <c r="A132" s="40"/>
      <c r="C132" s="34"/>
      <c r="D132" s="40"/>
      <c r="E132" s="40"/>
      <c r="F132" s="10"/>
      <c r="O132" s="10"/>
    </row>
    <row r="133" spans="1:15" s="24" customFormat="1">
      <c r="A133" s="40"/>
      <c r="C133" s="34"/>
      <c r="D133" s="40"/>
      <c r="E133" s="40"/>
      <c r="F133" s="10"/>
      <c r="O133" s="10"/>
    </row>
    <row r="134" spans="1:15" s="24" customFormat="1">
      <c r="A134" s="40"/>
      <c r="C134" s="34"/>
      <c r="D134" s="40"/>
      <c r="E134" s="40"/>
      <c r="F134" s="10"/>
      <c r="O134" s="10"/>
    </row>
    <row r="135" spans="1:15" s="24" customFormat="1">
      <c r="A135" s="40"/>
      <c r="C135" s="34"/>
      <c r="D135" s="40"/>
      <c r="E135" s="40"/>
      <c r="F135" s="10"/>
      <c r="O135" s="10"/>
    </row>
    <row r="136" spans="1:15" s="24" customFormat="1">
      <c r="A136" s="40"/>
      <c r="C136" s="34"/>
      <c r="D136" s="40"/>
      <c r="E136" s="40"/>
      <c r="F136" s="10"/>
      <c r="O136" s="10"/>
    </row>
    <row r="137" spans="1:15" s="24" customFormat="1">
      <c r="A137" s="40"/>
      <c r="C137" s="34"/>
      <c r="D137" s="40"/>
      <c r="E137" s="40"/>
      <c r="F137" s="10"/>
      <c r="O137" s="10"/>
    </row>
    <row r="138" spans="1:15" s="24" customFormat="1">
      <c r="A138" s="40"/>
      <c r="C138" s="34"/>
      <c r="D138" s="40"/>
      <c r="E138" s="40"/>
      <c r="F138" s="10"/>
      <c r="O138" s="10"/>
    </row>
    <row r="139" spans="1:15" s="24" customFormat="1">
      <c r="A139" s="40"/>
      <c r="C139" s="34"/>
      <c r="D139" s="40"/>
      <c r="E139" s="40"/>
      <c r="F139" s="10"/>
      <c r="O139" s="10"/>
    </row>
    <row r="140" spans="1:15" s="24" customFormat="1">
      <c r="A140" s="40"/>
      <c r="C140" s="34"/>
      <c r="D140" s="40"/>
      <c r="E140" s="40"/>
      <c r="F140" s="10"/>
      <c r="O140" s="10"/>
    </row>
    <row r="141" spans="1:15" s="24" customFormat="1">
      <c r="A141" s="40"/>
      <c r="C141" s="34"/>
      <c r="D141" s="40"/>
      <c r="E141" s="40"/>
      <c r="F141" s="10"/>
      <c r="O141" s="10"/>
    </row>
    <row r="142" spans="1:15" s="24" customFormat="1">
      <c r="A142" s="40"/>
      <c r="C142" s="34"/>
      <c r="D142" s="40"/>
      <c r="E142" s="40"/>
      <c r="F142" s="10"/>
      <c r="O142" s="10"/>
    </row>
    <row r="143" spans="1:15" s="24" customFormat="1">
      <c r="A143" s="40"/>
      <c r="C143" s="34"/>
      <c r="D143" s="40"/>
      <c r="E143" s="40"/>
      <c r="F143" s="10"/>
      <c r="O143" s="10"/>
    </row>
    <row r="144" spans="1:15" s="24" customFormat="1">
      <c r="A144" s="40"/>
      <c r="C144" s="34"/>
      <c r="D144" s="40"/>
      <c r="E144" s="40"/>
      <c r="F144" s="10"/>
      <c r="O144" s="10"/>
    </row>
    <row r="145" spans="1:15" s="24" customFormat="1">
      <c r="A145" s="40"/>
      <c r="C145" s="34"/>
      <c r="D145" s="40"/>
      <c r="E145" s="40"/>
      <c r="F145" s="10"/>
      <c r="O145" s="10"/>
    </row>
    <row r="146" spans="1:15" s="24" customFormat="1">
      <c r="A146" s="40"/>
      <c r="C146" s="34"/>
      <c r="D146" s="40"/>
      <c r="E146" s="40"/>
      <c r="F146" s="10"/>
      <c r="O146" s="10"/>
    </row>
    <row r="147" spans="1:15" s="24" customFormat="1">
      <c r="A147" s="40"/>
      <c r="C147" s="34"/>
      <c r="D147" s="40"/>
      <c r="E147" s="40"/>
      <c r="F147" s="10"/>
      <c r="O147" s="10"/>
    </row>
    <row r="148" spans="1:15" s="24" customFormat="1">
      <c r="A148" s="40"/>
      <c r="C148" s="34"/>
      <c r="D148" s="40"/>
      <c r="E148" s="40"/>
      <c r="F148" s="10"/>
      <c r="O148" s="10"/>
    </row>
    <row r="149" spans="1:15" s="24" customFormat="1">
      <c r="A149" s="40"/>
      <c r="C149" s="34"/>
      <c r="D149" s="40"/>
      <c r="E149" s="40"/>
      <c r="F149" s="10"/>
      <c r="O149" s="10"/>
    </row>
    <row r="150" spans="1:15" s="24" customFormat="1">
      <c r="A150" s="40"/>
      <c r="C150" s="34"/>
      <c r="D150" s="40"/>
      <c r="E150" s="40"/>
      <c r="F150" s="10"/>
      <c r="O150" s="10"/>
    </row>
    <row r="151" spans="1:15" s="24" customFormat="1">
      <c r="A151" s="40"/>
      <c r="C151" s="34"/>
      <c r="D151" s="40"/>
      <c r="E151" s="40"/>
      <c r="F151" s="10"/>
      <c r="O151" s="10"/>
    </row>
    <row r="152" spans="1:15" s="24" customFormat="1">
      <c r="A152" s="40"/>
      <c r="C152" s="34"/>
      <c r="D152" s="40"/>
      <c r="E152" s="40"/>
      <c r="F152" s="10"/>
      <c r="O152" s="10"/>
    </row>
    <row r="153" spans="1:15" s="24" customFormat="1">
      <c r="A153" s="40"/>
      <c r="C153" s="34"/>
      <c r="D153" s="40"/>
      <c r="E153" s="40"/>
      <c r="F153" s="10"/>
      <c r="O153" s="10"/>
    </row>
    <row r="154" spans="1:15" s="24" customFormat="1">
      <c r="A154" s="40"/>
      <c r="C154" s="34"/>
      <c r="D154" s="40"/>
      <c r="E154" s="40"/>
      <c r="F154" s="10"/>
      <c r="O154" s="10"/>
    </row>
    <row r="155" spans="1:15" s="24" customFormat="1">
      <c r="A155" s="40"/>
      <c r="C155" s="34"/>
      <c r="D155" s="40"/>
      <c r="E155" s="40"/>
      <c r="F155" s="10"/>
      <c r="O155" s="10"/>
    </row>
    <row r="156" spans="1:15" s="24" customFormat="1">
      <c r="A156" s="40"/>
      <c r="C156" s="34"/>
      <c r="D156" s="40"/>
      <c r="E156" s="40"/>
      <c r="F156" s="10"/>
      <c r="O156" s="10"/>
    </row>
    <row r="157" spans="1:15" s="24" customFormat="1">
      <c r="A157" s="40"/>
      <c r="C157" s="34"/>
      <c r="D157" s="40"/>
      <c r="E157" s="40"/>
      <c r="F157" s="10"/>
      <c r="O157" s="10"/>
    </row>
    <row r="158" spans="1:15" s="24" customFormat="1">
      <c r="A158" s="40"/>
      <c r="C158" s="34"/>
      <c r="D158" s="40"/>
      <c r="E158" s="40"/>
      <c r="F158" s="10"/>
      <c r="O158" s="10"/>
    </row>
    <row r="159" spans="1:15" s="24" customFormat="1">
      <c r="A159" s="40"/>
      <c r="C159" s="34"/>
      <c r="D159" s="40"/>
      <c r="E159" s="40"/>
      <c r="F159" s="10"/>
      <c r="O159" s="10"/>
    </row>
    <row r="160" spans="1:15" s="24" customFormat="1">
      <c r="A160" s="40"/>
      <c r="C160" s="34"/>
      <c r="D160" s="40"/>
      <c r="E160" s="40"/>
      <c r="F160" s="10"/>
      <c r="O160" s="10"/>
    </row>
    <row r="161" spans="1:15" s="24" customFormat="1">
      <c r="A161" s="40"/>
      <c r="C161" s="34"/>
      <c r="D161" s="40"/>
      <c r="E161" s="40"/>
      <c r="F161" s="10"/>
      <c r="O161" s="10"/>
    </row>
    <row r="162" spans="1:15" s="24" customFormat="1">
      <c r="A162" s="40"/>
      <c r="C162" s="34"/>
      <c r="D162" s="40"/>
      <c r="E162" s="40"/>
      <c r="F162" s="10"/>
      <c r="O162" s="10"/>
    </row>
    <row r="163" spans="1:15" s="24" customFormat="1">
      <c r="A163" s="40"/>
      <c r="C163" s="34"/>
      <c r="D163" s="40"/>
      <c r="E163" s="40"/>
      <c r="F163" s="10"/>
      <c r="O163" s="10"/>
    </row>
    <row r="164" spans="1:15" s="24" customFormat="1">
      <c r="A164" s="40"/>
      <c r="C164" s="34"/>
      <c r="D164" s="40"/>
      <c r="E164" s="40"/>
      <c r="F164" s="10"/>
      <c r="O164" s="10"/>
    </row>
    <row r="165" spans="1:15" s="24" customFormat="1">
      <c r="A165" s="40"/>
      <c r="C165" s="34"/>
      <c r="D165" s="40"/>
      <c r="E165" s="40"/>
      <c r="F165" s="10"/>
      <c r="O165" s="10"/>
    </row>
    <row r="166" spans="1:15" s="24" customFormat="1">
      <c r="A166" s="40"/>
      <c r="C166" s="34"/>
      <c r="D166" s="40"/>
      <c r="E166" s="40"/>
      <c r="F166" s="10"/>
      <c r="O166" s="10"/>
    </row>
    <row r="167" spans="1:15" s="24" customFormat="1">
      <c r="A167" s="40"/>
      <c r="C167" s="34"/>
      <c r="D167" s="40"/>
      <c r="E167" s="40"/>
      <c r="F167" s="10"/>
      <c r="O167" s="10"/>
    </row>
    <row r="168" spans="1:15" s="24" customFormat="1">
      <c r="A168" s="40"/>
      <c r="C168" s="34"/>
      <c r="D168" s="40"/>
      <c r="E168" s="40"/>
      <c r="F168" s="10"/>
      <c r="O168" s="10"/>
    </row>
    <row r="169" spans="1:15" s="24" customFormat="1">
      <c r="A169" s="40"/>
      <c r="C169" s="34"/>
      <c r="D169" s="40"/>
      <c r="E169" s="40"/>
      <c r="F169" s="10"/>
      <c r="O169" s="10"/>
    </row>
    <row r="170" spans="1:15" s="24" customFormat="1">
      <c r="A170" s="40"/>
      <c r="C170" s="34"/>
      <c r="D170" s="40"/>
      <c r="E170" s="40"/>
      <c r="F170" s="10"/>
      <c r="O170" s="10"/>
    </row>
    <row r="171" spans="1:15" s="24" customFormat="1">
      <c r="A171" s="40"/>
      <c r="C171" s="34"/>
      <c r="D171" s="40"/>
      <c r="E171" s="40"/>
      <c r="F171" s="10"/>
      <c r="O171" s="10"/>
    </row>
    <row r="172" spans="1:15" s="24" customFormat="1">
      <c r="A172" s="40"/>
      <c r="C172" s="34"/>
      <c r="D172" s="40"/>
      <c r="E172" s="40"/>
      <c r="F172" s="10"/>
      <c r="O172" s="10"/>
    </row>
    <row r="173" spans="1:15" s="24" customFormat="1">
      <c r="A173" s="40"/>
      <c r="C173" s="34"/>
      <c r="D173" s="40"/>
      <c r="E173" s="40"/>
      <c r="F173" s="10"/>
      <c r="O173" s="10"/>
    </row>
    <row r="174" spans="1:15" s="24" customFormat="1">
      <c r="A174" s="40"/>
      <c r="C174" s="34"/>
      <c r="D174" s="40"/>
      <c r="E174" s="40"/>
      <c r="F174" s="10"/>
      <c r="O174" s="10"/>
    </row>
    <row r="175" spans="1:15" s="24" customFormat="1">
      <c r="A175" s="40"/>
      <c r="C175" s="34"/>
      <c r="D175" s="40"/>
      <c r="E175" s="40"/>
      <c r="F175" s="10"/>
      <c r="O175" s="10"/>
    </row>
    <row r="176" spans="1:15" s="24" customFormat="1">
      <c r="A176" s="40"/>
      <c r="C176" s="34"/>
      <c r="D176" s="40"/>
      <c r="E176" s="40"/>
      <c r="F176" s="10"/>
      <c r="O176" s="10"/>
    </row>
    <row r="177" spans="1:15" s="24" customFormat="1">
      <c r="A177" s="40"/>
      <c r="C177" s="34"/>
      <c r="D177" s="40"/>
      <c r="E177" s="40"/>
      <c r="F177" s="10"/>
      <c r="O177" s="10"/>
    </row>
    <row r="178" spans="1:15" s="24" customFormat="1">
      <c r="A178" s="40"/>
      <c r="C178" s="34"/>
      <c r="D178" s="40"/>
      <c r="E178" s="40"/>
      <c r="F178" s="10"/>
      <c r="O178" s="10"/>
    </row>
    <row r="179" spans="1:15" s="24" customFormat="1">
      <c r="A179" s="40"/>
      <c r="C179" s="34"/>
      <c r="D179" s="40"/>
      <c r="E179" s="40"/>
      <c r="F179" s="10"/>
      <c r="O179" s="10"/>
    </row>
    <row r="180" spans="1:15" s="24" customFormat="1">
      <c r="A180" s="40"/>
      <c r="C180" s="34"/>
      <c r="D180" s="40"/>
      <c r="E180" s="40"/>
      <c r="F180" s="10"/>
      <c r="O180" s="10"/>
    </row>
    <row r="181" spans="1:15" s="24" customFormat="1">
      <c r="A181" s="40"/>
      <c r="C181" s="34"/>
      <c r="D181" s="40"/>
      <c r="E181" s="40"/>
      <c r="F181" s="10"/>
      <c r="O181" s="10"/>
    </row>
    <row r="182" spans="1:15" s="24" customFormat="1">
      <c r="A182" s="40"/>
      <c r="C182" s="34"/>
      <c r="D182" s="40"/>
      <c r="E182" s="40"/>
      <c r="F182" s="10"/>
      <c r="O182" s="10"/>
    </row>
    <row r="183" spans="1:15" s="24" customFormat="1">
      <c r="A183" s="40"/>
      <c r="C183" s="34"/>
      <c r="D183" s="40"/>
      <c r="E183" s="40"/>
      <c r="F183" s="10"/>
      <c r="O183" s="10"/>
    </row>
    <row r="184" spans="1:15" s="24" customFormat="1">
      <c r="A184" s="40"/>
      <c r="C184" s="34"/>
      <c r="D184" s="40"/>
      <c r="E184" s="40"/>
      <c r="F184" s="10"/>
      <c r="O184" s="10"/>
    </row>
    <row r="185" spans="1:15" s="24" customFormat="1">
      <c r="A185" s="40"/>
      <c r="C185" s="34"/>
      <c r="D185" s="40"/>
      <c r="E185" s="40"/>
      <c r="F185" s="10"/>
      <c r="O185" s="10"/>
    </row>
    <row r="186" spans="1:15" s="24" customFormat="1">
      <c r="A186" s="40"/>
      <c r="C186" s="34"/>
      <c r="D186" s="40"/>
      <c r="E186" s="40"/>
      <c r="F186" s="10"/>
      <c r="O186" s="10"/>
    </row>
    <row r="187" spans="1:15" s="24" customFormat="1">
      <c r="A187" s="40"/>
      <c r="C187" s="34"/>
      <c r="D187" s="40"/>
      <c r="E187" s="40"/>
      <c r="F187" s="10"/>
      <c r="O187" s="10"/>
    </row>
    <row r="188" spans="1:15" s="24" customFormat="1">
      <c r="A188" s="40"/>
      <c r="C188" s="34"/>
      <c r="D188" s="40"/>
      <c r="E188" s="40"/>
      <c r="F188" s="10"/>
      <c r="O188" s="10"/>
    </row>
  </sheetData>
  <sheetProtection algorithmName="SHA-512" hashValue="cGulYmQXOEO8r62BDEcszjAbGJWP1+zOiMas3AaJM4eOQzYe8VNiw6msg9LbltuarEerrvKKyW2dSLCLWj1j3w==" saltValue="7UnjwFxpxZWwfoelqt2EwA==" spinCount="100000" sheet="1" objects="1" scenarios="1"/>
  <mergeCells count="20">
    <mergeCell ref="B33:E33"/>
    <mergeCell ref="B7:E7"/>
    <mergeCell ref="B8:E8"/>
    <mergeCell ref="B9:E9"/>
    <mergeCell ref="B10:E10"/>
    <mergeCell ref="B11:E11"/>
    <mergeCell ref="B21:E21"/>
    <mergeCell ref="B24:E24"/>
    <mergeCell ref="B25:E25"/>
    <mergeCell ref="B26:E26"/>
    <mergeCell ref="B27:E27"/>
    <mergeCell ref="B28:E28"/>
    <mergeCell ref="A1:O1"/>
    <mergeCell ref="A4:A5"/>
    <mergeCell ref="B4:B5"/>
    <mergeCell ref="C4:C5"/>
    <mergeCell ref="D4:E4"/>
    <mergeCell ref="F4:F5"/>
    <mergeCell ref="G4:N4"/>
    <mergeCell ref="O4:O5"/>
  </mergeCells>
  <pageMargins left="0.31496062992125984" right="0.31496062992125984" top="0.74803149606299213" bottom="0.74803149606299213" header="0.31496062992125984" footer="0.31496062992125984"/>
  <pageSetup paperSize="9" scale="59" fitToHeight="0" orientation="landscape" horizontalDpi="4294967293" verticalDpi="0" r:id="rId1"/>
  <headerFooter differentOddEven="1" differentFirst="1" alignWithMargins="0">
    <oddFooter>&amp;C&amp;P</oddFooter>
    <evenFooter>&amp;C&amp;P</evenFooter>
    <firstHeader>&amp;RZałącznik Nr 2
do uchwały Nr ..............
Rady  Powiatu  Otwockiego
z dnia 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Zał.1</vt:lpstr>
      <vt:lpstr>Zał. 2 </vt:lpstr>
      <vt:lpstr>Zał.1!Obszar_wydruku</vt:lpstr>
      <vt:lpstr>'Zał. 2 '!Tytuły_wydruku</vt:lpstr>
      <vt:lpstr>Zał.1!Tytuły_wydruku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2021-05-13T10:55:38Z</dcterms:modified>
</cp:coreProperties>
</file>