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-120" yWindow="-120" windowWidth="20730" windowHeight="11760" tabRatio="821" activeTab="2"/>
  </bookViews>
  <sheets>
    <sheet name="Tab.2a" sheetId="32" r:id="rId1"/>
    <sheet name="Tab.3" sheetId="21" r:id="rId2"/>
    <sheet name="Tab.4 " sheetId="29" r:id="rId3"/>
    <sheet name="Tab.5 " sheetId="28" r:id="rId4"/>
    <sheet name="Tab.7" sheetId="30" r:id="rId5"/>
    <sheet name="Zał.1" sheetId="27" r:id="rId6"/>
  </sheet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3" hidden="1">'Tab.5 '!$C$1:$C$176</definedName>
    <definedName name="_xlnm._FilterDatabase" localSheetId="4" hidden="1">Tab.7!$D$2:$D$38</definedName>
    <definedName name="Inwestycje" localSheetId="0">#REF!</definedName>
    <definedName name="Inwestycje" localSheetId="2">#REF!</definedName>
    <definedName name="Inwestycje" localSheetId="3">#REF!</definedName>
    <definedName name="Inwestycje" localSheetId="4">#REF!</definedName>
    <definedName name="Inwestycje">#REF!</definedName>
    <definedName name="_xlnm.Print_Area" localSheetId="0">Tab.2a!$A$2:$K$106</definedName>
    <definedName name="_xlnm.Print_Area" localSheetId="1">Tab.3!$A$2:$D$25</definedName>
    <definedName name="_xlnm.Print_Area" localSheetId="2">'Tab.4 '!$A$2:$I$59</definedName>
    <definedName name="_xlnm.Print_Area" localSheetId="3">'Tab.5 '!$A$1:$F$168</definedName>
    <definedName name="_xlnm.Print_Area" localSheetId="5">Zał.1!$A$2:$G$43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0" l="1"/>
  <c r="G62" i="32"/>
  <c r="F18" i="32"/>
  <c r="F17" i="32"/>
  <c r="F7" i="32"/>
  <c r="F10" i="32"/>
  <c r="F50" i="32"/>
  <c r="H74" i="32" l="1"/>
  <c r="F73" i="32"/>
  <c r="G69" i="32"/>
  <c r="E10" i="29"/>
  <c r="G79" i="32"/>
  <c r="F78" i="32"/>
  <c r="F79" i="32" s="1"/>
  <c r="H72" i="32"/>
  <c r="F71" i="32"/>
  <c r="G64" i="32"/>
  <c r="H75" i="32"/>
  <c r="F62" i="32"/>
  <c r="F59" i="32"/>
  <c r="F58" i="32"/>
  <c r="F55" i="32"/>
  <c r="F45" i="32"/>
  <c r="H28" i="32"/>
  <c r="F37" i="32"/>
  <c r="F36" i="32"/>
  <c r="G34" i="27" l="1"/>
  <c r="G10" i="27" l="1"/>
  <c r="G14" i="30" l="1"/>
  <c r="G15" i="30"/>
  <c r="G17" i="30"/>
  <c r="F38" i="30"/>
  <c r="E59" i="29"/>
  <c r="F59" i="29"/>
  <c r="G59" i="29"/>
  <c r="H59" i="29"/>
  <c r="I59" i="29"/>
  <c r="D13" i="29" l="1"/>
  <c r="D10" i="29"/>
  <c r="D59" i="29" s="1"/>
  <c r="E21" i="27"/>
  <c r="F21" i="27"/>
  <c r="F9" i="30" l="1"/>
  <c r="G46" i="32" l="1"/>
  <c r="G84" i="32" l="1"/>
  <c r="H56" i="32"/>
  <c r="I56" i="32"/>
  <c r="H51" i="32"/>
  <c r="I51" i="32"/>
  <c r="G51" i="32"/>
  <c r="H46" i="32"/>
  <c r="I46" i="32"/>
  <c r="H38" i="32"/>
  <c r="I38" i="32"/>
  <c r="G38" i="32"/>
  <c r="G28" i="32"/>
  <c r="I19" i="32"/>
  <c r="G19" i="32"/>
  <c r="G12" i="32"/>
  <c r="H12" i="32"/>
  <c r="I12" i="32"/>
  <c r="J12" i="32"/>
  <c r="J7" i="32"/>
  <c r="I7" i="32"/>
  <c r="G7" i="32"/>
  <c r="G72" i="32" l="1"/>
  <c r="F72" i="32"/>
  <c r="J19" i="32"/>
  <c r="F23" i="32"/>
  <c r="F47" i="32" l="1"/>
  <c r="J46" i="32"/>
  <c r="F54" i="32"/>
  <c r="I28" i="32"/>
  <c r="J28" i="32"/>
  <c r="F12" i="32"/>
  <c r="H24" i="32"/>
  <c r="H19" i="32" s="1"/>
  <c r="F27" i="32"/>
  <c r="F28" i="32" l="1"/>
  <c r="F19" i="32"/>
  <c r="H33" i="29" l="1"/>
  <c r="D43" i="29"/>
  <c r="D42" i="29"/>
  <c r="I38" i="29" l="1"/>
  <c r="H28" i="29"/>
  <c r="I28" i="29"/>
  <c r="H23" i="29"/>
  <c r="I23" i="29"/>
  <c r="I33" i="29"/>
  <c r="I18" i="29"/>
  <c r="I58" i="29"/>
  <c r="F15" i="30" l="1"/>
  <c r="F14" i="30" s="1"/>
  <c r="E38" i="27" l="1"/>
  <c r="E32" i="27"/>
  <c r="E31" i="27"/>
  <c r="E30" i="27"/>
  <c r="E29" i="27"/>
  <c r="E28" i="27"/>
  <c r="G33" i="27"/>
  <c r="G101" i="32"/>
  <c r="F100" i="32"/>
  <c r="F101" i="32" s="1"/>
  <c r="H99" i="32"/>
  <c r="G99" i="32"/>
  <c r="F98" i="32"/>
  <c r="F99" i="32" s="1"/>
  <c r="H96" i="32"/>
  <c r="G96" i="32"/>
  <c r="F95" i="32"/>
  <c r="F96" i="32" s="1"/>
  <c r="F93" i="32"/>
  <c r="G92" i="32"/>
  <c r="G94" i="32" s="1"/>
  <c r="F91" i="32"/>
  <c r="F92" i="32" s="1"/>
  <c r="I90" i="32"/>
  <c r="H90" i="32"/>
  <c r="G90" i="32"/>
  <c r="F89" i="32"/>
  <c r="F90" i="32" s="1"/>
  <c r="H88" i="32"/>
  <c r="G88" i="32"/>
  <c r="F86" i="32"/>
  <c r="F88" i="32" s="1"/>
  <c r="H85" i="32"/>
  <c r="G85" i="32"/>
  <c r="G83" i="32"/>
  <c r="F82" i="32"/>
  <c r="F83" i="32" s="1"/>
  <c r="G81" i="32"/>
  <c r="F80" i="32"/>
  <c r="F81" i="32" s="1"/>
  <c r="H77" i="32"/>
  <c r="G77" i="32"/>
  <c r="F76" i="32"/>
  <c r="F75" i="32"/>
  <c r="G74" i="32"/>
  <c r="F74" i="32"/>
  <c r="G70" i="32"/>
  <c r="F69" i="32"/>
  <c r="F70" i="32" s="1"/>
  <c r="H68" i="32"/>
  <c r="G68" i="32"/>
  <c r="F67" i="32"/>
  <c r="F66" i="32"/>
  <c r="F64" i="32"/>
  <c r="J63" i="32"/>
  <c r="I63" i="32"/>
  <c r="I65" i="32" s="1"/>
  <c r="H63" i="32"/>
  <c r="G63" i="32"/>
  <c r="F61" i="32"/>
  <c r="F60" i="32"/>
  <c r="G57" i="32"/>
  <c r="G56" i="32" s="1"/>
  <c r="F53" i="32"/>
  <c r="F52" i="32"/>
  <c r="F46" i="32"/>
  <c r="F44" i="32"/>
  <c r="F43" i="32"/>
  <c r="F42" i="32"/>
  <c r="F41" i="32"/>
  <c r="F40" i="32"/>
  <c r="F39" i="32"/>
  <c r="F35" i="32"/>
  <c r="F34" i="32"/>
  <c r="F33" i="32"/>
  <c r="F32" i="32"/>
  <c r="F31" i="32"/>
  <c r="F29" i="32"/>
  <c r="F25" i="32"/>
  <c r="F24" i="32"/>
  <c r="F22" i="32"/>
  <c r="F21" i="32"/>
  <c r="F20" i="32"/>
  <c r="F16" i="32"/>
  <c r="F15" i="32"/>
  <c r="F14" i="32"/>
  <c r="F13" i="32"/>
  <c r="H11" i="32"/>
  <c r="F9" i="32"/>
  <c r="F8" i="32"/>
  <c r="I102" i="32" l="1"/>
  <c r="F68" i="32"/>
  <c r="F77" i="32"/>
  <c r="F11" i="32"/>
  <c r="H7" i="32"/>
  <c r="H65" i="32" s="1"/>
  <c r="H102" i="32" s="1"/>
  <c r="J65" i="32"/>
  <c r="J102" i="32" s="1"/>
  <c r="F38" i="32"/>
  <c r="F63" i="32"/>
  <c r="F51" i="32"/>
  <c r="F57" i="32"/>
  <c r="F56" i="32"/>
  <c r="F84" i="32"/>
  <c r="F85" i="32" s="1"/>
  <c r="G65" i="32"/>
  <c r="G102" i="32" s="1"/>
  <c r="F94" i="32"/>
  <c r="F65" i="32" l="1"/>
  <c r="F102" i="32" s="1"/>
  <c r="F36" i="30"/>
  <c r="F35" i="30" s="1"/>
  <c r="G35" i="30"/>
  <c r="G33" i="30"/>
  <c r="G32" i="30" s="1"/>
  <c r="G29" i="30"/>
  <c r="F29" i="30"/>
  <c r="G27" i="30"/>
  <c r="G24" i="30"/>
  <c r="F24" i="30"/>
  <c r="F23" i="30"/>
  <c r="G20" i="30"/>
  <c r="G19" i="30" s="1"/>
  <c r="F20" i="30"/>
  <c r="F19" i="30"/>
  <c r="G12" i="30"/>
  <c r="G11" i="30" s="1"/>
  <c r="G38" i="30" s="1"/>
  <c r="F12" i="30"/>
  <c r="F11" i="30" s="1"/>
  <c r="F8" i="30"/>
  <c r="F5" i="30" s="1"/>
  <c r="G8" i="30"/>
  <c r="G7" i="30"/>
  <c r="G6" i="30" s="1"/>
  <c r="G5" i="30" s="1"/>
  <c r="G23" i="30" l="1"/>
  <c r="D58" i="29"/>
  <c r="I57" i="29"/>
  <c r="H57" i="29" s="1"/>
  <c r="G57" i="29" s="1"/>
  <c r="F57" i="29" s="1"/>
  <c r="E57" i="29" s="1"/>
  <c r="D57" i="29" s="1"/>
  <c r="I53" i="29"/>
  <c r="D53" i="29" s="1"/>
  <c r="H53" i="29"/>
  <c r="D52" i="29"/>
  <c r="I48" i="29"/>
  <c r="D47" i="29"/>
  <c r="D38" i="29"/>
  <c r="D37" i="29"/>
  <c r="D33" i="29"/>
  <c r="D32" i="29"/>
  <c r="D28" i="29"/>
  <c r="D27" i="29"/>
  <c r="D23" i="29"/>
  <c r="D22" i="29"/>
  <c r="D18" i="29"/>
  <c r="D17" i="29"/>
  <c r="D9" i="29"/>
  <c r="D48" i="29" l="1"/>
  <c r="G9" i="27" l="1"/>
  <c r="G21" i="27" s="1"/>
  <c r="G42" i="27"/>
  <c r="F42" i="27" l="1"/>
  <c r="E42" i="27"/>
  <c r="D22" i="21"/>
  <c r="D14" i="21"/>
  <c r="D10" i="21"/>
  <c r="D7" i="21"/>
  <c r="D13" i="21" l="1"/>
  <c r="G43" i="27"/>
</calcChain>
</file>

<file path=xl/sharedStrings.xml><?xml version="1.0" encoding="utf-8"?>
<sst xmlns="http://schemas.openxmlformats.org/spreadsheetml/2006/main" count="1109" uniqueCount="438">
  <si>
    <t>Dział</t>
  </si>
  <si>
    <t>Rozdział</t>
  </si>
  <si>
    <t>010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</si>
  <si>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</si>
  <si>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</si>
  <si>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</si>
  <si>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</si>
  <si>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</si>
  <si>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</si>
  <si>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</si>
  <si>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</si>
  <si>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</si>
  <si>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</si>
  <si>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</si>
  <si>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</si>
  <si>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</si>
  <si>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</si>
  <si>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</si>
  <si>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</si>
  <si>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</si>
  <si>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</si>
  <si>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</si>
  <si>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</si>
  <si>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</si>
  <si>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</si>
  <si>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</si>
  <si>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</si>
  <si>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</si>
  <si>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</si>
  <si>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</si>
  <si>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</si>
  <si>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</si>
  <si>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</si>
  <si>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</si>
  <si>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</si>
  <si>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</si>
  <si>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</si>
  <si>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</si>
  <si>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</si>
  <si>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</si>
  <si>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</si>
  <si>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</si>
  <si>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</si>
  <si>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</si>
  <si>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</si>
  <si>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</si>
  <si>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</si>
  <si>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</si>
  <si>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</si>
  <si>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</si>
  <si>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</si>
  <si>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</si>
  <si>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</si>
  <si>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</si>
  <si>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</si>
  <si>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</si>
  <si>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</si>
  <si>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Dotacja celowa z budżetu na finansowanie lub dofinansowanie zadań zleconych do realizacji pozostałym jednostkom nie zaliczanym do sektora finansów publicznych</t>
  </si>
  <si>
    <t>Wpłaty jednostek na państwowy fundusz celowy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</si>
  <si>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</si>
  <si>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</si>
  <si>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</si>
  <si>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</si>
  <si>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</si>
  <si>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</si>
  <si>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Dotacje celowe przekazane gminie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</si>
  <si>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</si>
  <si>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Ogółem plan dotacji na 2021 rok</t>
  </si>
  <si>
    <t>Przychody ze sprzedaży innych papierów wartościowych</t>
  </si>
  <si>
    <t>§ 931</t>
  </si>
  <si>
    <t>Paragraf</t>
  </si>
  <si>
    <t>Wyszczególnienie</t>
  </si>
  <si>
    <t>Dochody</t>
  </si>
  <si>
    <t>Wydatki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</si>
  <si>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</si>
  <si>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</si>
  <si>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</si>
  <si>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</si>
  <si>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</si>
  <si>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</si>
  <si>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</si>
  <si>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</si>
  <si>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</si>
  <si>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</si>
  <si>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</si>
  <si>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</si>
  <si>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</si>
  <si>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</si>
  <si>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</si>
  <si>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</si>
  <si>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</si>
  <si>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</si>
  <si>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</si>
  <si>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</si>
  <si>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</si>
  <si>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</si>
  <si>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</si>
  <si>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</si>
  <si>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</si>
  <si>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</si>
  <si>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</si>
  <si>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</si>
  <si>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</si>
  <si>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</si>
  <si>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</si>
  <si>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</si>
  <si>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</si>
  <si>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</si>
  <si>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</si>
  <si>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</si>
  <si>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</si>
  <si>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</si>
  <si>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</si>
  <si>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</si>
  <si>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</si>
  <si>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</si>
  <si>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</si>
  <si>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</si>
  <si>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</si>
  <si>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</si>
  <si>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</si>
  <si>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</si>
  <si>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</si>
  <si>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</si>
  <si>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</si>
  <si>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</t>
  </si>
  <si>
    <t>852</t>
  </si>
  <si>
    <t>Pomoc społeczna</t>
  </si>
  <si>
    <t>Ośrodki wsparcia</t>
  </si>
  <si>
    <t>Wpłaty na PPK finansowane przez podmiot zatrudniający</t>
  </si>
  <si>
    <t>Pozostałe zadania w zakresie polityki społecznej</t>
  </si>
  <si>
    <t>Zespoły do spraw orzekania o niepełnosprawności</t>
  </si>
  <si>
    <t>855</t>
  </si>
  <si>
    <t>Rodzina</t>
  </si>
  <si>
    <t>85504</t>
  </si>
  <si>
    <t>Wspieranie rodziny</t>
  </si>
  <si>
    <t>85508</t>
  </si>
  <si>
    <t>Rodziny zastępcze</t>
  </si>
  <si>
    <t>Świadczenia społeczne</t>
  </si>
  <si>
    <t>85510</t>
  </si>
  <si>
    <t>Działalność placówek opiekuńczo-wychowawczych</t>
  </si>
  <si>
    <t>Razem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</si>
  <si>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2021 rok - po zmianach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</si>
  <si>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</si>
  <si>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</si>
  <si>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</si>
  <si>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</si>
  <si>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</si>
  <si>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</si>
  <si>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</si>
  <si>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</si>
  <si>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</si>
  <si>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</si>
  <si>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Regionalne partnerstwo samorządów Mazowsza dla aktywizacji społeczeństwa informacyjnego w zakresie e-administracji i geoinformacji</t>
  </si>
  <si>
    <t>wykonanie 2020</t>
  </si>
  <si>
    <t>plan 2021</t>
  </si>
  <si>
    <t>Europejski Fundusz Społeczny</t>
  </si>
  <si>
    <t>Jednostka realizująca - Zespół Szkół Ekonomiczno-Gastronomicznych</t>
  </si>
  <si>
    <t>Program ERASMUS+</t>
  </si>
  <si>
    <t>Nazwa: Mobilni w Europie</t>
  </si>
  <si>
    <t>Regionalny Program Operacyjny Województwa Mazowieckiego na lata 2014-2020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</si>
  <si>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</si>
  <si>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</si>
  <si>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</si>
  <si>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Program Operacyjny Wiedza Edukacja Rozwój 2014-2020 (PO WER)</t>
  </si>
  <si>
    <t>Nazwa: Nauczyciele przyszłości</t>
  </si>
  <si>
    <t>Fundacja Rozwoju Systemu Edukacji</t>
  </si>
  <si>
    <t>Jednostka realizująca - Specjalny ośrodek Szkolno-Wychowawczy Nr 1</t>
  </si>
  <si>
    <t>Nazwa: Bardziej aktywny dzięki sztuce współczesnej</t>
  </si>
  <si>
    <t>Jednostka realizująca - Powiatowe Centrum Pomocy Rodzinie</t>
  </si>
  <si>
    <t>Nazwa: Aktywna integracja w powiecie otwockim</t>
  </si>
  <si>
    <t>85295, 85508</t>
  </si>
  <si>
    <t>8.</t>
  </si>
  <si>
    <t>Nazwa: Poprawa funkcjonowania osób niesamodzielnych z terenu powiatu otwockiego poprzez uruchomienie usług socjalnych świadczonych w formie wsparcia dziennego</t>
  </si>
  <si>
    <t>9.</t>
  </si>
  <si>
    <t>Nazwa: Rodzinne drogowskazy</t>
  </si>
  <si>
    <t>Ogółem plan 2021</t>
  </si>
  <si>
    <t>Transport i łączność</t>
  </si>
  <si>
    <t>Lokalny transport zbiorowy</t>
  </si>
  <si>
    <t>Drogi publiczne powiatowe</t>
  </si>
  <si>
    <t xml:space="preserve">Dotacja celowa otrzymana z tytułu  pomocy finansowej udzielanej między jednostkami samorządu terytorialnego na dofinansowanie własnych zadań inwestycyjnych i zakupów inwestycyjnych </t>
  </si>
  <si>
    <t>Dotacje celowe przekazane gminie na inwestycje i zakupy inwestycyjne realizowane naa podstawie porozumień (umów) między jednostkami samorządu terytorialnego</t>
  </si>
  <si>
    <t>Pozostała działalność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</si>
  <si>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</si>
  <si>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</si>
  <si>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Działalność ośrodków adopcyjnych</t>
  </si>
  <si>
    <t>Gospodarka komunalna i ochrona środowiska</t>
  </si>
  <si>
    <t>Kultura i ochrona dziedzictwa narodowego</t>
  </si>
  <si>
    <t>Biblioteki</t>
  </si>
  <si>
    <t>Dotacja celowa otrzymana z tytułu pomocy finansowej udzielanej między jednostkami samorządu terytorialnego na dofinansowanie własnych zadań bieżących</t>
  </si>
  <si>
    <t>Plan wydatków majątkowych na 2021 rok  - po zmianach</t>
  </si>
  <si>
    <t>Rozdz.</t>
  </si>
  <si>
    <t>Plan</t>
  </si>
  <si>
    <t>z tego:</t>
  </si>
  <si>
    <t>Uwagi</t>
  </si>
  <si>
    <t>środki własne</t>
  </si>
  <si>
    <t>kredyty, pożyczki, obligacje</t>
  </si>
  <si>
    <t>środki o których mowa w art. 5 ust. 1 pkt 2 i 3 uofp</t>
  </si>
  <si>
    <t>środki pochodzące                  z innych źródeł                     (w tym dotacje)</t>
  </si>
  <si>
    <t>10.</t>
  </si>
  <si>
    <t>11.</t>
  </si>
  <si>
    <t>Gmina Celestynów</t>
  </si>
  <si>
    <t>Modernizacja drogi powiatowej Nr 2744W w Ponurzycy</t>
  </si>
  <si>
    <t>WPF</t>
  </si>
  <si>
    <t>Doświetlenie przejścia dla pieszych na drodze powiatowej nr 2715W w Pogorzeli na ul. Warszawskiej w rejonie przystanków autobusowych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</si>
  <si>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</si>
  <si>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Gmina Józefów</t>
  </si>
  <si>
    <t xml:space="preserve">
Wymiana nawierzchni na drodze powiatowej Nr 2766W w ul. 3 Maja na odcinku od ul. Kopernika do ul. Polnej
</t>
  </si>
  <si>
    <t>Doświetlenie przejścia dla pieszych w drodze powiatowej Nr 2766W -  ul. 3 Maja przy skrzyżowaniu z ul. Leśną</t>
  </si>
  <si>
    <t>Modernizacja nawierzchni jezdni drogi powiatowej Nr 2765 W - ul. Piłsudskiego w Józefowie na odcinku od ul. Polnej do ul. Cichej</t>
  </si>
  <si>
    <t>Modernizacja odwodnienia w drodze powiatowej Nr 2768W - ul. Granicznej w Józefowie na wysokości nr 21B</t>
  </si>
  <si>
    <t>Gmina Otwock</t>
  </si>
  <si>
    <t>Przebudowa drogi powiatowej Nr 2759W – ul. Poniatowskiego w Otwocku wraz                    z wykonaniem odwodnienia na wysokości Zakładu Ubezpieczeń Społecznych</t>
  </si>
  <si>
    <t>Projekt i budowa  brakującego ciągu pieszo-rowerowego i odwodnienia w drodze powiatowej Nr 2759W - ul. Narutowicza w Otwocku na wysokości OSP Jabłonna</t>
  </si>
  <si>
    <t>Rozbudowa drogi powiatowej Nr 2765W - ul. Staszica i ul. Kołłątaja w Otwocku na odcinku od ul. Karczewskiej do mostu na rzece Świder</t>
  </si>
  <si>
    <t xml:space="preserve">Przedłużenie ul. Narutowicza w Otwocku na odcinku od ul. Andriollego w Otwocku do ul. Ciepłowniczej w Karczewie i dalej  do drogi wojewódzkiej   nr 801 </t>
  </si>
  <si>
    <t>12.</t>
  </si>
  <si>
    <t>13.</t>
  </si>
  <si>
    <t>Doświetlanie przejść dla pieszych na drogach powiatowych na terenie miasta Otwocka w drogach:                                                                                                                                                                                            1. Nr 2759W ul. Narutowicza przy skrzyżowaniu z ul. Reymonta,                                         2. Nr 2756W ul. Orla przy skrzyżowaniu z ul. Pod Zegarem,                                                                              3. Nr 2764W ul. Żeromskiego między ul. Prusa i Kopernika</t>
  </si>
  <si>
    <t>Gmina Karczew</t>
  </si>
  <si>
    <t>14.</t>
  </si>
  <si>
    <t>Przebudowa drogi powiatowej Nr 2724W Karczew - Janów</t>
  </si>
  <si>
    <t>B. 339 768         A. 1 528 538</t>
  </si>
  <si>
    <t>15.</t>
  </si>
  <si>
    <t xml:space="preserve">Wymiana nawierzchni jezdni w drodze powiatowej Nr 2724W ul. Żaboklickiego w Karczewie na odc. od ronda do ul. Częstochowskiej </t>
  </si>
  <si>
    <t>16.</t>
  </si>
  <si>
    <t>Wykonanie nakładki asfaltobetonowej na drodze powiatowej Nr 2728W w Ostrówcu</t>
  </si>
  <si>
    <t>17.</t>
  </si>
  <si>
    <t>Wykonanie nakładki asfaltobetonowej na drodze powiatowej Nr 2726W przez Sobiekursk</t>
  </si>
  <si>
    <t>wpf</t>
  </si>
  <si>
    <t>18.</t>
  </si>
  <si>
    <t>Modernizacja drogi powiatowej w Glinkach</t>
  </si>
  <si>
    <t>19.</t>
  </si>
  <si>
    <t>Modernizacja drogi powiatowej Nr 2730W w Kępie Nadbrzeskiej</t>
  </si>
  <si>
    <t>20.</t>
  </si>
  <si>
    <t>Doświetlanie przejść dla pieszych na drogach powiatowych na terenie gminy Karczew w drogach:                                                                                                                        1. Nr 2729W ul. Częstochowska przy skrzyżowaniu z ul. Żaboklickiego,                            2. Nr 2726W w Sobiekursku przy szkole podstawowej, 3. Nr 2773W ul. Warszawska w Karczewie przy ul. Przechodniej</t>
  </si>
  <si>
    <t>Gmina Kołbiel</t>
  </si>
  <si>
    <t>21.</t>
  </si>
  <si>
    <t xml:space="preserve">Przebudowa drogi powiatowej Nr 2245W m. Dobrzyniec gmina Kołbiel </t>
  </si>
  <si>
    <t>C. 140 000</t>
  </si>
  <si>
    <t>22.</t>
  </si>
  <si>
    <t>Modernizacja  drogi powiatowej Nr 2739W w Radachówce</t>
  </si>
  <si>
    <t>23.</t>
  </si>
  <si>
    <t>Modernizacja drogi powiatowej Nr 2737W Anielinek-Sępochów-Rudno</t>
  </si>
  <si>
    <t>24.</t>
  </si>
  <si>
    <t xml:space="preserve">Projekt i budowa ciągu pieszo – rowerowego w drodze powiatowej  Nr 2741W                     w miejsc. Wola Sufczyńska </t>
  </si>
  <si>
    <t>25.</t>
  </si>
  <si>
    <t>Projekt i budowa ciągu pieszo – rowerowego w drodze powiatowej Nr  2739W                      w miejsc. Gadka</t>
  </si>
  <si>
    <t>26.</t>
  </si>
  <si>
    <t>Doświetlanie przejść dla pieszych na drogach powiatowych na terenie gminy Kołbiel w drogach:                                                                                                                                         1. Nr 2745W w miejsc. Kąty przy szkole podstawowej,                                                               2. Nr 2743W w miejsc. Człekówka przy szkole podstawowej</t>
  </si>
  <si>
    <t>Gmina Osieck</t>
  </si>
  <si>
    <t>27.</t>
  </si>
  <si>
    <t>Budowa drogi powiatowej Nr 1311W w Natolinie</t>
  </si>
  <si>
    <t>28.</t>
  </si>
  <si>
    <t>Modernizacja drogi powiatowej Nr 2745W  ul. Kobielskiej w Osiecku od działki 994/28 do przejazdu kolejowego</t>
  </si>
  <si>
    <t>C. 50 000</t>
  </si>
  <si>
    <t>29.</t>
  </si>
  <si>
    <t>Wykonanie nakładki asfaltowej na drodze powiatowej Nr 2747W  -  Nowe Kościeliska</t>
  </si>
  <si>
    <t>C. 260 000</t>
  </si>
  <si>
    <t>Gmina Sobienie Jeziory</t>
  </si>
  <si>
    <t>30.</t>
  </si>
  <si>
    <t>Modernizacja drogi powiatowej Nr 2750W na odcinku  od DW805 do cmentarza w miejsc. Warszawice</t>
  </si>
  <si>
    <t>31.</t>
  </si>
  <si>
    <t>Doświetlanie przejść dla pieszych na drogach powiatowych na terenie gminy Sobienie-Jeziory w drogach:                                                                                                          1. Nr 1302W w miejsc. Siedzów przy szkole podstawowej,                                                    2. Nr 2753W w miejsc. Sobienie-Jeziory - ul. Garwolińska przy szkole podstawowej</t>
  </si>
  <si>
    <t>32.</t>
  </si>
  <si>
    <t>Modernizacja drogi powiatowej Nr 2751W Sobienie Kiełczewski-Zuzanów-Czarnowiec</t>
  </si>
  <si>
    <t>Gmina Wiązowna</t>
  </si>
  <si>
    <t>33.</t>
  </si>
  <si>
    <t xml:space="preserve">Rozbudowa skrzyżowania drogi powiatowej Nr 2709W - ulicy Napoleońskiej z drogą powiatową Nr 2710W - ulicą Łąkową na pograniczu miejscowości Lipowo i Glinianka w gminie Wiązowna </t>
  </si>
  <si>
    <t>B. 103 050</t>
  </si>
  <si>
    <t>34.</t>
  </si>
  <si>
    <t>Budowa chodnika przy drodze powiatowej Nr 2709W w Czarnówce od skrzyżowania w Gliniance</t>
  </si>
  <si>
    <t>35.</t>
  </si>
  <si>
    <t>Budowa chodnika w drodze powiatowej Nr 2709W w Bolesławowie</t>
  </si>
  <si>
    <t xml:space="preserve"> dokumentacja  projektowo - kosztorysowa</t>
  </si>
  <si>
    <t>36.</t>
  </si>
  <si>
    <t>37.</t>
  </si>
  <si>
    <t>Wykonanie przejść dla pieszych do przystanków komunikacji zbiorowej w miejsc. Żanęcin, Dziechciniec i Malcanów (projekt i wykonanie)</t>
  </si>
  <si>
    <t>38.</t>
  </si>
  <si>
    <t>Budowa chodników w drogach powiatowych na terenie gminy Wiązowna - Majdan   ul. Widoczna</t>
  </si>
  <si>
    <t>39.</t>
  </si>
  <si>
    <t>Zakupy inwestycyjne w Zarządzie Dróg Powiatowych</t>
  </si>
  <si>
    <t>Razem Rozdział 60014</t>
  </si>
  <si>
    <t>40.</t>
  </si>
  <si>
    <t>Ploter ze skanerem - PODGIK</t>
  </si>
  <si>
    <t>41.</t>
  </si>
  <si>
    <t>Serwer dla potrzeb PODGIK</t>
  </si>
  <si>
    <t>Razem Rozdział 71012</t>
  </si>
  <si>
    <t>42.</t>
  </si>
  <si>
    <t>Razem Rozdział 71095</t>
  </si>
  <si>
    <t>43.</t>
  </si>
  <si>
    <t>Dostosowanie pomieszczeń w budynku Starostwa przy ul. Górnej 13 pod salę konferencyjną dla potrzeb posiedzeń Sesji Rady Powiatu</t>
  </si>
  <si>
    <t>Razem Rozdział 75019</t>
  </si>
  <si>
    <t>44.</t>
  </si>
  <si>
    <t>Przebudowa i rozbudowa budynku w Otwocku przy ul. Komunardów wraz z towarzyszącą infrastrukturą na potrzeby siedziby Starostwa i jednostek organizacyjnych powiatu</t>
  </si>
  <si>
    <t>45.</t>
  </si>
  <si>
    <t xml:space="preserve">Termomodernizacja  budynku użyteczności  publicznej przy ul. Górnej 13                       w Otwocku </t>
  </si>
  <si>
    <t xml:space="preserve">  Razem Rozdział 75020</t>
  </si>
  <si>
    <t>46.</t>
  </si>
  <si>
    <t>Razem Rozdział 75404</t>
  </si>
  <si>
    <t>47.</t>
  </si>
  <si>
    <t>Dotacja dla Komendy Powiatowej Państwowej Straży Pożarnej w Otwocku na remont i modernizację budynku strażnicy</t>
  </si>
  <si>
    <t>Razem Rozdział 75410</t>
  </si>
  <si>
    <t>48.</t>
  </si>
  <si>
    <t>Rezerwa na inwestycje i zakupy inwestycyjne</t>
  </si>
  <si>
    <t>Razem rozdział 75818</t>
  </si>
  <si>
    <t>49.</t>
  </si>
  <si>
    <t>Rewitalizacja parkingu przed budynkiem Liceum Ogólnokształcącego Nr I w Otwocku</t>
  </si>
  <si>
    <t>50.</t>
  </si>
  <si>
    <t>Remont i prace konserwatorskie schodów w Liceum Ogólnokształcącym Nr I               w Otwocku</t>
  </si>
  <si>
    <t>Razem Rozdział 80120</t>
  </si>
  <si>
    <t>51.</t>
  </si>
  <si>
    <t>Wniesienie wkładu pieniężnego - zwiększenie udziału w Powiatowym Centrum Zdrowia Sp. z o.o.</t>
  </si>
  <si>
    <t>Razem Rozdział 85111</t>
  </si>
  <si>
    <t>Dotacja na dofinansowanie zakupu sprzętu medycznego dla Hospicjum "Empatia"</t>
  </si>
  <si>
    <t>Razem Rozdział 85149</t>
  </si>
  <si>
    <t>52.</t>
  </si>
  <si>
    <t>Modernizacja zaplecza kuchennego w Domu Pomocy Społecznej w Otwocku, w tym: instalacji wodno - kanalizacyjnej, podłogi, zasobnika ciepłej wody</t>
  </si>
  <si>
    <t>Razem Rozdział 85202</t>
  </si>
  <si>
    <t>`</t>
  </si>
  <si>
    <t>53.</t>
  </si>
  <si>
    <t>Zakup samochodu do przewozu uczestników ŚDS - wkład własny Powiatu do środków PFRON</t>
  </si>
  <si>
    <t>Razem Rozdział 85203</t>
  </si>
  <si>
    <t>54.</t>
  </si>
  <si>
    <t>Modernizacja budynku Specjalnego Ośrodka Szkolno-Wychowawczego Nr 1 - wzmocnienie stropów, dostosowanie budynku do zaleceń  ppoż.</t>
  </si>
  <si>
    <t>55.</t>
  </si>
  <si>
    <t>Zakup pieca konwekcyjnego na potrzeby Specjalnego Ośrodka Szkolno-Wychowawczego Nr 2</t>
  </si>
  <si>
    <t>Razem Rozdział 85403</t>
  </si>
  <si>
    <t>56.</t>
  </si>
  <si>
    <t>Modernizacja systemu cieplnego RDD Podbiel</t>
  </si>
  <si>
    <t>Razem Rozdział 85510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</si>
  <si>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</si>
  <si>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</si>
  <si>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</si>
  <si>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>Przebudowa drogi powiatowej Nr 2765W ul. Karczewskiej na odcinku Otwock – Karczew</t>
  </si>
  <si>
    <t>Dotacja na dofinansowanie wykonania dokumentacji projektowej wraz z nadzorem autorskim    przebudowy budynku Komendy Powiatowej Policji                                                    w Otwocku</t>
  </si>
  <si>
    <t>57.</t>
  </si>
  <si>
    <t>Dotacja celowa otrzymana z tytułu  pomocy  finansowej udzielanej między jednostkami samorządu terytorialnego na dofinansowanie własnych zadań bieżących</t>
  </si>
  <si>
    <t>Dochody i wydatki związane z realizacją zadań realizowanych w drodze umów lub porozumień między                                              jednostkami samorządu terytorialnego na 2021 rok - po zmianach</t>
  </si>
  <si>
    <t>Starostwa powiatowe</t>
  </si>
  <si>
    <t>Jednostka realizująca - Specjalny ośrodek Szkolno-Wychowawczy Nr 2</t>
  </si>
  <si>
    <t>Nazwa: Szkoła otwarta na świat</t>
  </si>
  <si>
    <t>Droga 2715W i Droga 2722W - modernizacja ciągów pieszych w ul. Głównej                      i ul. Brzozowej w m. Pogorzel Warszawska</t>
  </si>
  <si>
    <t>Droga 2765W - przebudowa chodnika w ul. Karczewskiej w m. Otwock na odcinku od ul. Batorego do ul. Bema</t>
  </si>
  <si>
    <t>C. 489 000</t>
  </si>
  <si>
    <t>Droga 2767W - modernizacja nawierzchni jezdni ul. Kard. Wyszyńskiego na odcinku od ul. Wawerskiej do ul. 3 Maja</t>
  </si>
  <si>
    <t>Droga 2768W - wykonanie doświetlonego przejścia dla pieszych w ul. Granicznej w Józefowie pomiędzy ul. Teatralną a ul. Uśmiech</t>
  </si>
  <si>
    <t>B. 200 000</t>
  </si>
  <si>
    <t xml:space="preserve">Nakładka na drodze Sufczyn - Wola Sufczyńska  </t>
  </si>
  <si>
    <t>C. 250 000    B. 50 000</t>
  </si>
  <si>
    <t>Modernizacja drogi powiatowej Nr 2746W Grabianka - Górki - Osieck</t>
  </si>
  <si>
    <t>B. 100 000</t>
  </si>
  <si>
    <t>Zakup miernika poziomu dźwięku do pomiaru hałasu w środowisku na potrzeby Wydziału Ochrony Środowiska</t>
  </si>
  <si>
    <t>Razem Rozdział 75011</t>
  </si>
  <si>
    <t/>
  </si>
  <si>
    <t>2110</t>
  </si>
  <si>
    <t>4300</t>
  </si>
  <si>
    <t>700</t>
  </si>
  <si>
    <t>70005</t>
  </si>
  <si>
    <t>4010</t>
  </si>
  <si>
    <t>4110</t>
  </si>
  <si>
    <t>4120</t>
  </si>
  <si>
    <t>4170</t>
  </si>
  <si>
    <t>4210</t>
  </si>
  <si>
    <t>4260</t>
  </si>
  <si>
    <t>4270</t>
  </si>
  <si>
    <t>4390</t>
  </si>
  <si>
    <t>4430</t>
  </si>
  <si>
    <t>4480</t>
  </si>
  <si>
    <t>4520</t>
  </si>
  <si>
    <t>4580</t>
  </si>
  <si>
    <t>4590</t>
  </si>
  <si>
    <t>4610</t>
  </si>
  <si>
    <t>710</t>
  </si>
  <si>
    <t>71015</t>
  </si>
  <si>
    <t>3020</t>
  </si>
  <si>
    <t>4020</t>
  </si>
  <si>
    <t>4040</t>
  </si>
  <si>
    <t>4280</t>
  </si>
  <si>
    <t>4360</t>
  </si>
  <si>
    <t>Opłaty z tytułu zakupu usług telekomunikacyjnych</t>
  </si>
  <si>
    <t>4410</t>
  </si>
  <si>
    <t>4440</t>
  </si>
  <si>
    <t>4550</t>
  </si>
  <si>
    <t>4700</t>
  </si>
  <si>
    <t>750</t>
  </si>
  <si>
    <t>75011</t>
  </si>
  <si>
    <t>75045</t>
  </si>
  <si>
    <t>754</t>
  </si>
  <si>
    <t>75411</t>
  </si>
  <si>
    <t>3070</t>
  </si>
  <si>
    <t>4050</t>
  </si>
  <si>
    <t>4060</t>
  </si>
  <si>
    <t>4070</t>
  </si>
  <si>
    <t>4080</t>
  </si>
  <si>
    <t>4180</t>
  </si>
  <si>
    <t>Równoważniki pieniężne i ekwiwalenty dla żołnierzy i funkcjonariuszy oraz pozostałe nleżności</t>
  </si>
  <si>
    <t>4220</t>
  </si>
  <si>
    <t>4230</t>
  </si>
  <si>
    <t>4250</t>
  </si>
  <si>
    <t>2360</t>
  </si>
  <si>
    <t>851</t>
  </si>
  <si>
    <t>85156</t>
  </si>
  <si>
    <t>Składki na ubezpieczenie zdrowotne oraz świadczenia dla osób nie objętych obowiązkiem ubezpieczenia zdrowotnego</t>
  </si>
  <si>
    <t>4130</t>
  </si>
  <si>
    <t>85203</t>
  </si>
  <si>
    <t>4710</t>
  </si>
  <si>
    <t>853</t>
  </si>
  <si>
    <t>85321</t>
  </si>
  <si>
    <t>3110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</si>
  <si>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</si>
  <si>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</si>
  <si>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Razem:</t>
  </si>
  <si>
    <t>Modernizacja drogi powiatowej Nr 2752W Władysławów-Zambrzyków Stary-Sobienie Kiełczewskie</t>
  </si>
  <si>
    <t>Doświetlanie przejść dla pieszych na drogach powiatowych na terenie gminy Wiązowna w drogach:                                                                                                                                    1.  Nr 2709W przy szkole podstawowej oraz przy skrzyżowaniu z droga powiatową               Nr 2706W,                                                                                                                                          2.  Nr 271W przy skrzyżowaniu z drogą powiatową Nr 2709W  w rejonie szkoły podstawowej</t>
  </si>
  <si>
    <t>dokumentacja projektowa                      100.000 zł dotacja z gminy Karczew</t>
  </si>
  <si>
    <t>Droga Nr 2772W - Przebudowa ul. Świderskiej w Karczewie polegająca na budowie chodnika na odcinku od ul. Kościelnej do ul. Ordona</t>
  </si>
  <si>
    <t>Droga Nr 2772W - Modernizacja ul. Świderskiej polegająca na wymianie nawierzchni parkingu zlokalizowanego w pasie drogowym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</si>
  <si>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</si>
  <si>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</si>
  <si>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</si>
  <si>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</si>
  <si>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</si>
  <si>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</si>
  <si>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</si>
  <si>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</si>
  <si>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</si>
  <si>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</si>
  <si>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 xml:space="preserve"> Rozwój elektronicznej administracji w samorządach województwa mazowieckiego wspomagającej niwelowanie dwudzielności potencjału województwa</t>
  </si>
  <si>
    <t>Przychody i rozchody budżetu w 2021 roku - po zmianach</t>
  </si>
  <si>
    <t>Dotacje udzielone w 2021 roku z budżetu podmiotom należącym                                                                                               i nienależącym do sektora finansów publicznych - po zmianach</t>
  </si>
  <si>
    <t>Dochody i wydatki związane z realizacją zadań z zakresu administracji rządowej i innych zadań zleconych                                                                jednostce samorządu terytorialnego odrębnymi ustawami na 2021 rok - po zmianach</t>
  </si>
  <si>
    <t>Projekt i budowa odwodnienia w drogach powiatowych na terenie miasta Otwocka:                                                                                                                                               1.  Nr 2754W - ul. Reymonta w okolicach ul. Chopina i przy skrzyżowaniu                              z ul. Żeromskiego,                                                                                                                               2. 2760W - ul. Filipowicza przy skrzyżowaniu z ul. Andriollego,                                                       3. 2762W - ul. Kraszewskiego w okolicach posesji nr 53,                                                          4. 2765W  - ul. Karczewska w okolicach OPWiK</t>
  </si>
  <si>
    <t>C. 1 000 000</t>
  </si>
  <si>
    <t>Razem Rozdział 75095</t>
  </si>
  <si>
    <t>68.</t>
  </si>
  <si>
    <t>Rozwój elektronicznej administracji w samorządach województwa mazowieckiego wspomagającej niwelowanie dwudzielności potencjału województwa (EA)</t>
  </si>
  <si>
    <t>C. Inne źródła  -Rządowy Fundusz Inwestycji Lokalnych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</si>
</sst>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.00;\-#,##0.00"/>
  </numFmts>
  <fonts count="53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/>
      <bottom/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4" fillId="0" borderId="0"/>
    <xf numFmtId="0" fontId="7" fillId="0" borderId="0"/>
    <xf numFmtId="0" fontId="7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21" fillId="0" borderId="0"/>
    <xf numFmtId="0" fontId="23" fillId="0" borderId="0"/>
    <xf numFmtId="0" fontId="25" fillId="0" borderId="0"/>
  </cellStyleXfs>
  <cellXfs count="508">
    <xf numFmtId="0" fontId="0" fillId="0" borderId="0" xfId="0" applyAlignment="1"/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4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4" xfId="9" applyFont="1" applyBorder="1" applyAlignment="1">
      <alignment horizontal="center" vertical="center"/>
    </xf>
    <xf numFmtId="0" fontId="10" fillId="0" borderId="4" xfId="9" applyFont="1" applyBorder="1" applyAlignment="1">
      <alignment horizontal="left" vertical="center"/>
    </xf>
    <xf numFmtId="3" fontId="10" fillId="0" borderId="4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4" xfId="9" applyFont="1" applyBorder="1" applyAlignment="1">
      <alignment horizontal="center" vertical="center"/>
    </xf>
    <xf numFmtId="0" fontId="13" fillId="0" borderId="4" xfId="9" applyFont="1" applyBorder="1" applyAlignment="1">
      <alignment horizontal="left" vertical="center"/>
    </xf>
    <xf numFmtId="3" fontId="13" fillId="0" borderId="4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4" xfId="9" applyNumberFormat="1" applyFont="1" applyBorder="1" applyAlignment="1">
      <alignment horizontal="right"/>
    </xf>
    <xf numFmtId="3" fontId="10" fillId="0" borderId="4" xfId="9" applyNumberFormat="1" applyFont="1" applyBorder="1" applyAlignment="1"/>
    <xf numFmtId="3" fontId="13" fillId="0" borderId="4" xfId="9" applyNumberFormat="1" applyFont="1" applyFill="1" applyBorder="1" applyAlignment="1"/>
    <xf numFmtId="3" fontId="13" fillId="0" borderId="4" xfId="9" applyNumberFormat="1" applyFont="1" applyBorder="1" applyAlignment="1"/>
    <xf numFmtId="0" fontId="10" fillId="0" borderId="4" xfId="9" applyFont="1" applyBorder="1" applyAlignment="1">
      <alignment vertical="center"/>
    </xf>
    <xf numFmtId="0" fontId="8" fillId="4" borderId="4" xfId="9" applyFont="1" applyFill="1" applyBorder="1" applyAlignment="1">
      <alignment vertical="center"/>
    </xf>
    <xf numFmtId="3" fontId="10" fillId="4" borderId="4" xfId="9" applyNumberFormat="1" applyFont="1" applyFill="1" applyBorder="1" applyAlignment="1"/>
    <xf numFmtId="0" fontId="8" fillId="0" borderId="4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4" xfId="9" applyFont="1" applyBorder="1" applyAlignment="1">
      <alignment vertical="center"/>
    </xf>
    <xf numFmtId="3" fontId="8" fillId="0" borderId="3" xfId="9" applyNumberFormat="1" applyFont="1" applyBorder="1" applyAlignment="1"/>
    <xf numFmtId="0" fontId="8" fillId="4" borderId="4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0" fontId="5" fillId="0" borderId="0" xfId="7" applyFont="1"/>
    <xf numFmtId="0" fontId="5" fillId="0" borderId="4" xfId="11" applyFont="1" applyBorder="1" applyAlignment="1">
      <alignment vertical="center" wrapText="1"/>
    </xf>
    <xf numFmtId="0" fontId="14" fillId="0" borderId="4" xfId="9" applyFont="1" applyFill="1" applyBorder="1" applyAlignment="1">
      <alignment horizontal="center" vertical="center"/>
    </xf>
    <xf numFmtId="0" fontId="14" fillId="0" borderId="4" xfId="9" applyFont="1" applyFill="1" applyBorder="1" applyAlignment="1">
      <alignment horizontal="center" vertical="center" wrapText="1"/>
    </xf>
    <xf numFmtId="0" fontId="5" fillId="0" borderId="4" xfId="7" applyFont="1" applyBorder="1" applyAlignment="1">
      <alignment vertical="center" wrapText="1"/>
    </xf>
    <xf numFmtId="0" fontId="8" fillId="0" borderId="6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6" fillId="2" borderId="4" xfId="7" applyFont="1" applyFill="1" applyBorder="1" applyAlignment="1">
      <alignment horizontal="center" vertical="center"/>
    </xf>
    <xf numFmtId="0" fontId="17" fillId="5" borderId="4" xfId="7" applyFont="1" applyFill="1" applyBorder="1" applyAlignment="1">
      <alignment horizontal="center" vertical="center"/>
    </xf>
    <xf numFmtId="0" fontId="17" fillId="0" borderId="0" xfId="7" applyFont="1"/>
    <xf numFmtId="0" fontId="6" fillId="3" borderId="4" xfId="7" applyFont="1" applyFill="1" applyBorder="1" applyAlignment="1">
      <alignment horizontal="center" vertical="center"/>
    </xf>
    <xf numFmtId="0" fontId="5" fillId="3" borderId="4" xfId="7" applyFont="1" applyFill="1" applyBorder="1" applyAlignment="1">
      <alignment horizontal="center" vertical="center"/>
    </xf>
    <xf numFmtId="0" fontId="5" fillId="0" borderId="4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5" fillId="0" borderId="4" xfId="7" applyFont="1" applyBorder="1" applyAlignment="1">
      <alignment horizontal="left" vertical="center" wrapText="1"/>
    </xf>
    <xf numFmtId="0" fontId="5" fillId="0" borderId="0" xfId="7" applyFont="1" applyAlignment="1">
      <alignment vertical="center" wrapText="1"/>
    </xf>
    <xf numFmtId="3" fontId="6" fillId="2" borderId="4" xfId="7" applyNumberFormat="1" applyFont="1" applyFill="1" applyBorder="1" applyAlignment="1">
      <alignment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49" fontId="5" fillId="0" borderId="4" xfId="7" applyNumberFormat="1" applyFont="1" applyBorder="1" applyAlignment="1">
      <alignment horizontal="center" vertical="center"/>
    </xf>
    <xf numFmtId="3" fontId="9" fillId="6" borderId="4" xfId="7" applyNumberFormat="1" applyFont="1" applyFill="1" applyBorder="1" applyAlignment="1">
      <alignment horizontal="right"/>
    </xf>
    <xf numFmtId="0" fontId="18" fillId="0" borderId="0" xfId="7" applyFont="1"/>
    <xf numFmtId="3" fontId="19" fillId="0" borderId="4" xfId="7" applyNumberFormat="1" applyFont="1" applyFill="1" applyBorder="1" applyAlignment="1">
      <alignment horizontal="right" vertical="center" wrapText="1"/>
    </xf>
    <xf numFmtId="0" fontId="6" fillId="0" borderId="0" xfId="7" applyFont="1" applyAlignment="1">
      <alignment horizontal="center" vertical="center"/>
    </xf>
    <xf numFmtId="0" fontId="5" fillId="0" borderId="4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/>
    </xf>
    <xf numFmtId="49" fontId="5" fillId="0" borderId="4" xfId="7" applyNumberFormat="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vertical="center" wrapText="1"/>
    </xf>
    <xf numFmtId="0" fontId="19" fillId="0" borderId="4" xfId="7" applyFont="1" applyFill="1" applyBorder="1" applyAlignment="1">
      <alignment horizontal="center" vertical="center"/>
    </xf>
    <xf numFmtId="0" fontId="19" fillId="0" borderId="4" xfId="7" applyFont="1" applyFill="1" applyBorder="1" applyAlignment="1">
      <alignment vertical="center"/>
    </xf>
    <xf numFmtId="0" fontId="19" fillId="0" borderId="4" xfId="7" applyFont="1" applyFill="1" applyBorder="1" applyAlignment="1">
      <alignment vertical="center" wrapText="1"/>
    </xf>
    <xf numFmtId="3" fontId="5" fillId="0" borderId="4" xfId="7" applyNumberFormat="1" applyFont="1" applyFill="1" applyBorder="1" applyAlignment="1">
      <alignment vertical="center" wrapText="1"/>
    </xf>
    <xf numFmtId="3" fontId="19" fillId="0" borderId="4" xfId="7" applyNumberFormat="1" applyFont="1" applyFill="1" applyBorder="1" applyAlignment="1">
      <alignment vertical="center" wrapText="1"/>
    </xf>
    <xf numFmtId="1" fontId="19" fillId="0" borderId="4" xfId="7" applyNumberFormat="1" applyFont="1" applyFill="1" applyBorder="1" applyAlignment="1">
      <alignment vertical="center" wrapText="1"/>
    </xf>
    <xf numFmtId="3" fontId="8" fillId="0" borderId="4" xfId="9" applyNumberFormat="1" applyFont="1" applyFill="1" applyBorder="1" applyAlignment="1"/>
    <xf numFmtId="0" fontId="8" fillId="0" borderId="4" xfId="9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 readingOrder="1"/>
    </xf>
    <xf numFmtId="3" fontId="5" fillId="0" borderId="4" xfId="7" applyNumberFormat="1" applyFont="1" applyFill="1" applyBorder="1" applyAlignment="1">
      <alignment horizontal="right" vertical="center"/>
    </xf>
    <xf numFmtId="3" fontId="5" fillId="0" borderId="4" xfId="7" applyNumberFormat="1" applyFont="1" applyFill="1" applyBorder="1" applyAlignment="1">
      <alignment vertical="center"/>
    </xf>
    <xf numFmtId="3" fontId="5" fillId="0" borderId="4" xfId="7" applyNumberFormat="1" applyFont="1" applyFill="1" applyBorder="1" applyAlignment="1">
      <alignment horizontal="right" vertical="center" wrapText="1"/>
    </xf>
    <xf numFmtId="49" fontId="8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2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" applyFont="1" applyFill="1" applyAlignment="1">
      <alignment vertical="center"/>
    </xf>
    <xf numFmtId="0" fontId="27" fillId="0" borderId="4" xfId="7" applyFont="1" applyFill="1" applyBorder="1" applyAlignment="1">
      <alignment vertical="center"/>
    </xf>
    <xf numFmtId="49" fontId="28" fillId="0" borderId="0" xfId="10" applyNumberFormat="1" applyFont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28" fillId="0" borderId="0" xfId="10" applyFont="1" applyAlignment="1">
      <alignment vertical="center" wrapText="1"/>
    </xf>
    <xf numFmtId="3" fontId="28" fillId="0" borderId="0" xfId="10" applyNumberFormat="1" applyFont="1" applyAlignment="1">
      <alignment vertical="center"/>
    </xf>
    <xf numFmtId="0" fontId="28" fillId="0" borderId="0" xfId="10" applyFont="1"/>
    <xf numFmtId="49" fontId="30" fillId="8" borderId="4" xfId="10" applyNumberFormat="1" applyFont="1" applyFill="1" applyBorder="1" applyAlignment="1">
      <alignment horizontal="center" vertical="center"/>
    </xf>
    <xf numFmtId="0" fontId="30" fillId="8" borderId="4" xfId="10" applyFont="1" applyFill="1" applyBorder="1" applyAlignment="1">
      <alignment horizontal="center" vertical="center"/>
    </xf>
    <xf numFmtId="0" fontId="30" fillId="8" borderId="4" xfId="10" applyFont="1" applyFill="1" applyBorder="1" applyAlignment="1">
      <alignment horizontal="center" vertical="center" wrapText="1"/>
    </xf>
    <xf numFmtId="3" fontId="30" fillId="8" borderId="4" xfId="10" applyNumberFormat="1" applyFont="1" applyFill="1" applyBorder="1" applyAlignment="1">
      <alignment horizontal="center" vertical="center"/>
    </xf>
    <xf numFmtId="3" fontId="6" fillId="0" borderId="0" xfId="7" applyNumberFormat="1" applyFont="1" applyFill="1"/>
    <xf numFmtId="0" fontId="6" fillId="0" borderId="0" xfId="7" applyFont="1" applyFill="1"/>
    <xf numFmtId="0" fontId="5" fillId="0" borderId="0" xfId="7" applyFont="1" applyFill="1"/>
    <xf numFmtId="0" fontId="5" fillId="0" borderId="0" xfId="9" applyFont="1"/>
    <xf numFmtId="0" fontId="5" fillId="0" borderId="0" xfId="9" applyFont="1" applyAlignment="1">
      <alignment horizontal="center"/>
    </xf>
    <xf numFmtId="0" fontId="19" fillId="0" borderId="0" xfId="9" applyFont="1"/>
    <xf numFmtId="0" fontId="6" fillId="0" borderId="0" xfId="9" applyFont="1" applyAlignment="1">
      <alignment horizontal="center"/>
    </xf>
    <xf numFmtId="0" fontId="5" fillId="0" borderId="0" xfId="9" applyFont="1" applyAlignment="1">
      <alignment vertical="center"/>
    </xf>
    <xf numFmtId="0" fontId="6" fillId="10" borderId="1" xfId="9" applyFont="1" applyFill="1" applyBorder="1" applyAlignment="1">
      <alignment horizontal="center" vertical="center" wrapText="1"/>
    </xf>
    <xf numFmtId="0" fontId="14" fillId="0" borderId="4" xfId="9" applyFont="1" applyBorder="1" applyAlignment="1">
      <alignment horizontal="center" vertical="center"/>
    </xf>
    <xf numFmtId="0" fontId="5" fillId="0" borderId="4" xfId="9" applyFont="1" applyBorder="1" applyAlignment="1">
      <alignment vertical="center" wrapText="1"/>
    </xf>
    <xf numFmtId="0" fontId="5" fillId="11" borderId="4" xfId="9" applyFont="1" applyFill="1" applyBorder="1" applyAlignment="1">
      <alignment vertical="center" wrapText="1"/>
    </xf>
    <xf numFmtId="0" fontId="5" fillId="2" borderId="1" xfId="9" applyFont="1" applyFill="1" applyBorder="1" applyAlignment="1">
      <alignment horizontal="right"/>
    </xf>
    <xf numFmtId="4" fontId="5" fillId="2" borderId="4" xfId="9" applyNumberFormat="1" applyFont="1" applyFill="1" applyBorder="1" applyAlignment="1">
      <alignment wrapText="1"/>
    </xf>
    <xf numFmtId="4" fontId="5" fillId="2" borderId="4" xfId="9" applyNumberFormat="1" applyFont="1" applyFill="1" applyBorder="1" applyAlignment="1"/>
    <xf numFmtId="0" fontId="6" fillId="2" borderId="1" xfId="9" applyFont="1" applyFill="1" applyBorder="1" applyAlignment="1">
      <alignment horizontal="right"/>
    </xf>
    <xf numFmtId="4" fontId="6" fillId="2" borderId="4" xfId="9" applyNumberFormat="1" applyFont="1" applyFill="1" applyBorder="1" applyAlignment="1">
      <alignment wrapText="1"/>
    </xf>
    <xf numFmtId="4" fontId="6" fillId="2" borderId="4" xfId="9" applyNumberFormat="1" applyFont="1" applyFill="1" applyBorder="1" applyAlignment="1"/>
    <xf numFmtId="0" fontId="6" fillId="0" borderId="0" xfId="9" applyFont="1" applyAlignment="1"/>
    <xf numFmtId="0" fontId="5" fillId="0" borderId="0" xfId="9" applyFont="1" applyAlignment="1"/>
    <xf numFmtId="0" fontId="5" fillId="11" borderId="1" xfId="9" applyFont="1" applyFill="1" applyBorder="1" applyAlignment="1">
      <alignment horizontal="left" vertical="center" wrapText="1"/>
    </xf>
    <xf numFmtId="4" fontId="5" fillId="2" borderId="1" xfId="9" applyNumberFormat="1" applyFont="1" applyFill="1" applyBorder="1" applyAlignment="1">
      <alignment wrapText="1"/>
    </xf>
    <xf numFmtId="4" fontId="5" fillId="2" borderId="1" xfId="9" applyNumberFormat="1" applyFont="1" applyFill="1" applyBorder="1" applyAlignment="1"/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26" fillId="0" borderId="4" xfId="9" applyFont="1" applyBorder="1" applyAlignment="1">
      <alignment vertical="center" wrapText="1"/>
    </xf>
    <xf numFmtId="0" fontId="26" fillId="0" borderId="4" xfId="9" applyFont="1" applyBorder="1" applyAlignment="1">
      <alignment horizontal="center" vertical="center"/>
    </xf>
    <xf numFmtId="0" fontId="26" fillId="0" borderId="0" xfId="9" applyFont="1" applyAlignment="1"/>
    <xf numFmtId="0" fontId="26" fillId="11" borderId="1" xfId="9" applyFont="1" applyFill="1" applyBorder="1" applyAlignment="1">
      <alignment horizontal="left" vertical="center" wrapText="1"/>
    </xf>
    <xf numFmtId="0" fontId="26" fillId="2" borderId="1" xfId="9" applyFont="1" applyFill="1" applyBorder="1" applyAlignment="1">
      <alignment horizontal="right"/>
    </xf>
    <xf numFmtId="4" fontId="26" fillId="2" borderId="1" xfId="9" applyNumberFormat="1" applyFont="1" applyFill="1" applyBorder="1" applyAlignment="1">
      <alignment wrapText="1"/>
    </xf>
    <xf numFmtId="4" fontId="26" fillId="2" borderId="1" xfId="9" applyNumberFormat="1" applyFont="1" applyFill="1" applyBorder="1" applyAlignment="1"/>
    <xf numFmtId="4" fontId="26" fillId="2" borderId="4" xfId="9" applyNumberFormat="1" applyFont="1" applyFill="1" applyBorder="1" applyAlignment="1"/>
    <xf numFmtId="4" fontId="26" fillId="2" borderId="4" xfId="9" applyNumberFormat="1" applyFont="1" applyFill="1" applyBorder="1" applyAlignment="1">
      <alignment wrapText="1"/>
    </xf>
    <xf numFmtId="4" fontId="6" fillId="10" borderId="4" xfId="9" applyNumberFormat="1" applyFont="1" applyFill="1" applyBorder="1" applyAlignment="1">
      <alignment vertical="center"/>
    </xf>
    <xf numFmtId="0" fontId="6" fillId="0" borderId="0" xfId="9" applyFont="1" applyAlignment="1">
      <alignment vertical="center"/>
    </xf>
    <xf numFmtId="4" fontId="6" fillId="0" borderId="0" xfId="9" applyNumberFormat="1" applyFont="1" applyAlignment="1">
      <alignment vertical="center"/>
    </xf>
    <xf numFmtId="4" fontId="5" fillId="0" borderId="0" xfId="9" applyNumberFormat="1" applyFont="1"/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vertical="center" wrapText="1"/>
    </xf>
    <xf numFmtId="3" fontId="28" fillId="0" borderId="0" xfId="11" applyNumberFormat="1" applyFont="1" applyAlignment="1">
      <alignment vertical="center"/>
    </xf>
    <xf numFmtId="0" fontId="28" fillId="0" borderId="0" xfId="11" applyFont="1"/>
    <xf numFmtId="0" fontId="29" fillId="0" borderId="0" xfId="11" applyFont="1" applyAlignment="1">
      <alignment horizontal="center" vertical="center" wrapText="1"/>
    </xf>
    <xf numFmtId="0" fontId="30" fillId="12" borderId="4" xfId="11" applyFont="1" applyFill="1" applyBorder="1" applyAlignment="1">
      <alignment horizontal="center" vertical="center"/>
    </xf>
    <xf numFmtId="0" fontId="30" fillId="12" borderId="4" xfId="11" applyFont="1" applyFill="1" applyBorder="1" applyAlignment="1">
      <alignment horizontal="center" vertical="center" wrapText="1"/>
    </xf>
    <xf numFmtId="3" fontId="30" fillId="12" borderId="4" xfId="11" applyNumberFormat="1" applyFont="1" applyFill="1" applyBorder="1" applyAlignment="1">
      <alignment horizontal="center" vertical="center"/>
    </xf>
    <xf numFmtId="0" fontId="30" fillId="0" borderId="0" xfId="11" applyFont="1" applyAlignment="1">
      <alignment vertical="center"/>
    </xf>
    <xf numFmtId="0" fontId="30" fillId="13" borderId="4" xfId="11" applyFont="1" applyFill="1" applyBorder="1" applyAlignment="1">
      <alignment horizontal="center" vertical="center"/>
    </xf>
    <xf numFmtId="0" fontId="30" fillId="13" borderId="4" xfId="11" applyFont="1" applyFill="1" applyBorder="1" applyAlignment="1">
      <alignment vertical="center" wrapText="1"/>
    </xf>
    <xf numFmtId="3" fontId="30" fillId="13" borderId="4" xfId="11" applyNumberFormat="1" applyFont="1" applyFill="1" applyBorder="1" applyAlignment="1">
      <alignment vertical="center"/>
    </xf>
    <xf numFmtId="0" fontId="28" fillId="9" borderId="4" xfId="11" applyFont="1" applyFill="1" applyBorder="1" applyAlignment="1">
      <alignment horizontal="center" vertical="center"/>
    </xf>
    <xf numFmtId="0" fontId="28" fillId="9" borderId="4" xfId="11" applyFont="1" applyFill="1" applyBorder="1" applyAlignment="1">
      <alignment vertical="center" wrapText="1"/>
    </xf>
    <xf numFmtId="3" fontId="28" fillId="9" borderId="4" xfId="11" applyNumberFormat="1" applyFont="1" applyFill="1" applyBorder="1" applyAlignment="1">
      <alignment vertical="center"/>
    </xf>
    <xf numFmtId="0" fontId="28" fillId="0" borderId="0" xfId="11" applyFont="1" applyAlignment="1">
      <alignment vertical="center"/>
    </xf>
    <xf numFmtId="0" fontId="5" fillId="0" borderId="4" xfId="11" applyFont="1" applyFill="1" applyBorder="1" applyAlignment="1">
      <alignment horizontal="center" vertical="center"/>
    </xf>
    <xf numFmtId="3" fontId="5" fillId="0" borderId="4" xfId="11" applyNumberFormat="1" applyFont="1" applyFill="1" applyBorder="1" applyAlignment="1">
      <alignment vertical="center"/>
    </xf>
    <xf numFmtId="0" fontId="5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vertical="center"/>
    </xf>
    <xf numFmtId="0" fontId="28" fillId="0" borderId="0" xfId="11" applyFont="1" applyFill="1" applyAlignment="1">
      <alignment vertical="center"/>
    </xf>
    <xf numFmtId="0" fontId="28" fillId="0" borderId="4" xfId="11" applyFont="1" applyBorder="1" applyAlignment="1">
      <alignment horizontal="center" vertical="center"/>
    </xf>
    <xf numFmtId="0" fontId="28" fillId="0" borderId="4" xfId="11" applyFont="1" applyBorder="1" applyAlignment="1">
      <alignment vertical="center" wrapText="1"/>
    </xf>
    <xf numFmtId="3" fontId="5" fillId="0" borderId="4" xfId="11" applyNumberFormat="1" applyFont="1" applyBorder="1" applyAlignment="1">
      <alignment vertical="center"/>
    </xf>
    <xf numFmtId="0" fontId="5" fillId="0" borderId="4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3" fontId="28" fillId="0" borderId="4" xfId="11" applyNumberFormat="1" applyFont="1" applyBorder="1" applyAlignment="1">
      <alignment vertical="center"/>
    </xf>
    <xf numFmtId="3" fontId="30" fillId="12" borderId="4" xfId="11" applyNumberFormat="1" applyFont="1" applyFill="1" applyBorder="1" applyAlignment="1">
      <alignment vertical="center"/>
    </xf>
    <xf numFmtId="0" fontId="8" fillId="0" borderId="0" xfId="7" applyFont="1" applyFill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horizontal="center" vertical="center"/>
      <protection locked="0"/>
    </xf>
    <xf numFmtId="0" fontId="10" fillId="0" borderId="0" xfId="7" applyFont="1" applyFill="1" applyAlignment="1" applyProtection="1">
      <alignment horizontal="center"/>
      <protection locked="0"/>
    </xf>
    <xf numFmtId="4" fontId="8" fillId="0" borderId="0" xfId="7" applyNumberFormat="1" applyFont="1" applyProtection="1">
      <protection locked="0"/>
    </xf>
    <xf numFmtId="0" fontId="8" fillId="0" borderId="0" xfId="7" applyFont="1" applyFill="1" applyProtection="1"/>
    <xf numFmtId="0" fontId="8" fillId="0" borderId="0" xfId="7" applyFont="1" applyProtection="1"/>
    <xf numFmtId="0" fontId="8" fillId="0" borderId="0" xfId="7" applyFont="1" applyAlignment="1" applyProtection="1">
      <alignment horizontal="center" vertical="center"/>
    </xf>
    <xf numFmtId="0" fontId="10" fillId="14" borderId="21" xfId="7" applyFont="1" applyFill="1" applyBorder="1" applyAlignment="1" applyProtection="1">
      <alignment horizontal="center" vertical="center" wrapText="1"/>
    </xf>
    <xf numFmtId="0" fontId="31" fillId="0" borderId="21" xfId="7" applyFont="1" applyFill="1" applyBorder="1" applyAlignment="1" applyProtection="1">
      <alignment horizontal="center" vertical="center"/>
    </xf>
    <xf numFmtId="0" fontId="10" fillId="0" borderId="21" xfId="7" applyFont="1" applyFill="1" applyBorder="1" applyAlignment="1" applyProtection="1">
      <alignment horizontal="center" vertical="center"/>
    </xf>
    <xf numFmtId="0" fontId="10" fillId="0" borderId="21" xfId="7" applyFont="1" applyFill="1" applyBorder="1" applyAlignment="1" applyProtection="1">
      <alignment horizontal="center" vertical="center"/>
      <protection locked="0"/>
    </xf>
    <xf numFmtId="4" fontId="31" fillId="0" borderId="0" xfId="7" applyNumberFormat="1" applyFont="1" applyFill="1" applyProtection="1">
      <protection locked="0"/>
    </xf>
    <xf numFmtId="0" fontId="31" fillId="0" borderId="0" xfId="7" applyFont="1" applyFill="1" applyProtection="1">
      <protection locked="0"/>
    </xf>
    <xf numFmtId="3" fontId="10" fillId="15" borderId="17" xfId="7" applyNumberFormat="1" applyFont="1" applyFill="1" applyBorder="1" applyAlignment="1" applyProtection="1">
      <alignment vertical="center" wrapText="1"/>
    </xf>
    <xf numFmtId="3" fontId="10" fillId="15" borderId="17" xfId="7" applyNumberFormat="1" applyFont="1" applyFill="1" applyBorder="1" applyAlignment="1" applyProtection="1">
      <alignment horizontal="right" vertical="center" wrapText="1"/>
    </xf>
    <xf numFmtId="0" fontId="31" fillId="15" borderId="17" xfId="7" applyFont="1" applyFill="1" applyBorder="1" applyAlignment="1" applyProtection="1">
      <alignment horizontal="center" vertical="center" wrapText="1"/>
    </xf>
    <xf numFmtId="0" fontId="32" fillId="15" borderId="17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Alignment="1" applyProtection="1">
      <alignment vertical="center"/>
      <protection locked="0"/>
    </xf>
    <xf numFmtId="0" fontId="8" fillId="0" borderId="0" xfId="7" applyFont="1" applyAlignment="1" applyProtection="1">
      <alignment vertical="center"/>
      <protection locked="0"/>
    </xf>
    <xf numFmtId="0" fontId="8" fillId="0" borderId="22" xfId="7" applyFont="1" applyFill="1" applyBorder="1" applyAlignment="1" applyProtection="1">
      <alignment horizontal="center" vertical="center"/>
    </xf>
    <xf numFmtId="0" fontId="8" fillId="0" borderId="18" xfId="7" applyFont="1" applyFill="1" applyBorder="1" applyAlignment="1" applyProtection="1">
      <alignment horizontal="center" vertical="center" wrapText="1"/>
    </xf>
    <xf numFmtId="0" fontId="8" fillId="16" borderId="18" xfId="7" applyFont="1" applyFill="1" applyBorder="1" applyAlignment="1" applyProtection="1">
      <alignment horizontal="center" vertical="center" wrapText="1"/>
    </xf>
    <xf numFmtId="0" fontId="8" fillId="16" borderId="22" xfId="16" applyFont="1" applyFill="1" applyBorder="1" applyAlignment="1" applyProtection="1">
      <alignment vertical="center" wrapText="1"/>
    </xf>
    <xf numFmtId="3" fontId="8" fillId="16" borderId="23" xfId="7" applyNumberFormat="1" applyFont="1" applyFill="1" applyBorder="1" applyAlignment="1" applyProtection="1">
      <alignment vertical="center" wrapText="1"/>
    </xf>
    <xf numFmtId="3" fontId="8" fillId="16" borderId="17" xfId="7" applyNumberFormat="1" applyFont="1" applyFill="1" applyBorder="1" applyAlignment="1" applyProtection="1">
      <alignment vertical="center"/>
    </xf>
    <xf numFmtId="0" fontId="8" fillId="16" borderId="17" xfId="7" applyFont="1" applyFill="1" applyBorder="1" applyAlignment="1" applyProtection="1">
      <alignment vertical="center" wrapText="1"/>
    </xf>
    <xf numFmtId="0" fontId="8" fillId="16" borderId="17" xfId="7" applyFont="1" applyFill="1" applyBorder="1" applyAlignment="1" applyProtection="1">
      <alignment horizontal="right" vertical="center" wrapText="1"/>
    </xf>
    <xf numFmtId="0" fontId="33" fillId="16" borderId="17" xfId="7" applyFont="1" applyFill="1" applyBorder="1" applyAlignment="1" applyProtection="1">
      <alignment horizontal="center" vertical="center" wrapText="1"/>
    </xf>
    <xf numFmtId="0" fontId="10" fillId="17" borderId="17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Alignment="1" applyProtection="1">
      <alignment vertical="center"/>
      <protection locked="0"/>
    </xf>
    <xf numFmtId="0" fontId="8" fillId="0" borderId="0" xfId="7" applyFont="1" applyFill="1" applyAlignment="1" applyProtection="1">
      <alignment vertical="center"/>
      <protection locked="0"/>
    </xf>
    <xf numFmtId="0" fontId="8" fillId="0" borderId="17" xfId="7" applyFont="1" applyFill="1" applyBorder="1" applyAlignment="1" applyProtection="1">
      <alignment horizontal="center" vertical="center"/>
    </xf>
    <xf numFmtId="0" fontId="8" fillId="0" borderId="17" xfId="7" applyFont="1" applyFill="1" applyBorder="1" applyAlignment="1" applyProtection="1">
      <alignment horizontal="center" vertical="center" wrapText="1"/>
    </xf>
    <xf numFmtId="0" fontId="8" fillId="16" borderId="17" xfId="7" applyFont="1" applyFill="1" applyBorder="1" applyAlignment="1" applyProtection="1">
      <alignment horizontal="center" vertical="center" wrapText="1"/>
    </xf>
    <xf numFmtId="0" fontId="8" fillId="0" borderId="17" xfId="16" applyFont="1" applyFill="1" applyBorder="1" applyAlignment="1" applyProtection="1">
      <alignment vertical="center" wrapText="1"/>
      <protection locked="0"/>
    </xf>
    <xf numFmtId="0" fontId="10" fillId="0" borderId="18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left" vertical="center" wrapText="1"/>
    </xf>
    <xf numFmtId="3" fontId="8" fillId="0" borderId="17" xfId="7" applyNumberFormat="1" applyFont="1" applyFill="1" applyBorder="1" applyAlignment="1" applyProtection="1">
      <alignment vertical="center" wrapText="1"/>
    </xf>
    <xf numFmtId="0" fontId="34" fillId="0" borderId="17" xfId="7" applyFont="1" applyFill="1" applyBorder="1" applyAlignment="1" applyProtection="1">
      <alignment vertical="center" wrapText="1"/>
    </xf>
    <xf numFmtId="0" fontId="35" fillId="0" borderId="17" xfId="7" applyFont="1" applyFill="1" applyBorder="1" applyAlignment="1" applyProtection="1">
      <alignment horizontal="center" vertical="center" wrapText="1"/>
    </xf>
    <xf numFmtId="0" fontId="10" fillId="17" borderId="24" xfId="7" applyFont="1" applyFill="1" applyBorder="1" applyAlignment="1" applyProtection="1">
      <alignment horizontal="center" vertical="center" wrapText="1"/>
      <protection locked="0"/>
    </xf>
    <xf numFmtId="4" fontId="34" fillId="0" borderId="0" xfId="7" applyNumberFormat="1" applyFont="1" applyAlignment="1" applyProtection="1">
      <alignment vertical="center"/>
      <protection locked="0"/>
    </xf>
    <xf numFmtId="0" fontId="34" fillId="0" borderId="0" xfId="7" applyFont="1" applyAlignment="1" applyProtection="1">
      <alignment vertical="center"/>
      <protection locked="0"/>
    </xf>
    <xf numFmtId="0" fontId="10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7" xfId="16" applyFont="1" applyFill="1" applyBorder="1" applyAlignment="1" applyProtection="1">
      <alignment horizontal="left" vertical="center" wrapText="1"/>
      <protection locked="0"/>
    </xf>
    <xf numFmtId="3" fontId="8" fillId="0" borderId="17" xfId="7" applyNumberFormat="1" applyFont="1" applyFill="1" applyBorder="1" applyAlignment="1" applyProtection="1">
      <alignment vertical="center"/>
    </xf>
    <xf numFmtId="0" fontId="10" fillId="0" borderId="17" xfId="7" applyFont="1" applyFill="1" applyBorder="1" applyAlignment="1" applyProtection="1">
      <alignment vertical="center" wrapText="1"/>
    </xf>
    <xf numFmtId="0" fontId="10" fillId="0" borderId="17" xfId="7" applyFont="1" applyFill="1" applyBorder="1" applyAlignment="1" applyProtection="1">
      <alignment horizontal="right" vertical="center" wrapText="1"/>
    </xf>
    <xf numFmtId="0" fontId="31" fillId="0" borderId="17" xfId="7" applyFont="1" applyFill="1" applyBorder="1" applyAlignment="1" applyProtection="1">
      <alignment horizontal="center" vertical="center" wrapText="1"/>
    </xf>
    <xf numFmtId="0" fontId="8" fillId="0" borderId="17" xfId="7" applyFont="1" applyFill="1" applyBorder="1" applyAlignment="1" applyProtection="1">
      <alignment vertical="center" wrapText="1"/>
    </xf>
    <xf numFmtId="0" fontId="8" fillId="0" borderId="17" xfId="7" applyFont="1" applyFill="1" applyBorder="1" applyAlignment="1" applyProtection="1">
      <alignment horizontal="right" vertical="center" wrapText="1"/>
    </xf>
    <xf numFmtId="0" fontId="33" fillId="0" borderId="17" xfId="7" applyFont="1" applyFill="1" applyBorder="1" applyAlignment="1" applyProtection="1">
      <alignment horizontal="center" vertical="center" wrapText="1"/>
    </xf>
    <xf numFmtId="41" fontId="10" fillId="15" borderId="17" xfId="7" applyNumberFormat="1" applyFont="1" applyFill="1" applyBorder="1" applyAlignment="1" applyProtection="1">
      <alignment horizontal="right" vertical="center" wrapText="1"/>
    </xf>
    <xf numFmtId="0" fontId="37" fillId="15" borderId="17" xfId="7" applyFont="1" applyFill="1" applyBorder="1" applyAlignment="1" applyProtection="1">
      <alignment horizontal="center" vertical="center" wrapText="1"/>
    </xf>
    <xf numFmtId="0" fontId="36" fillId="15" borderId="17" xfId="7" applyFont="1" applyFill="1" applyBorder="1" applyAlignment="1" applyProtection="1">
      <alignment horizontal="center" vertical="center" wrapText="1"/>
      <protection locked="0"/>
    </xf>
    <xf numFmtId="4" fontId="36" fillId="0" borderId="0" xfId="7" applyNumberFormat="1" applyFont="1" applyFill="1" applyAlignment="1" applyProtection="1">
      <alignment vertical="center"/>
      <protection locked="0"/>
    </xf>
    <xf numFmtId="0" fontId="36" fillId="0" borderId="0" xfId="7" applyFont="1" applyFill="1" applyAlignment="1" applyProtection="1">
      <alignment vertical="center"/>
      <protection locked="0"/>
    </xf>
    <xf numFmtId="0" fontId="24" fillId="0" borderId="0" xfId="0" applyFont="1" applyFill="1" applyAlignment="1">
      <alignment vertical="center" wrapText="1"/>
    </xf>
    <xf numFmtId="4" fontId="34" fillId="0" borderId="0" xfId="7" applyNumberFormat="1" applyFont="1" applyFill="1" applyAlignment="1" applyProtection="1">
      <alignment vertical="center"/>
      <protection locked="0"/>
    </xf>
    <xf numFmtId="0" fontId="34" fillId="0" borderId="0" xfId="7" applyFont="1" applyFill="1" applyAlignment="1" applyProtection="1">
      <alignment vertical="center"/>
      <protection locked="0"/>
    </xf>
    <xf numFmtId="0" fontId="38" fillId="0" borderId="17" xfId="7" applyFont="1" applyFill="1" applyBorder="1" applyAlignment="1" applyProtection="1">
      <alignment horizontal="right" vertical="center" wrapText="1"/>
    </xf>
    <xf numFmtId="0" fontId="34" fillId="0" borderId="17" xfId="7" applyFont="1" applyFill="1" applyBorder="1" applyAlignment="1" applyProtection="1">
      <alignment horizontal="right" vertical="center" wrapText="1"/>
    </xf>
    <xf numFmtId="0" fontId="35" fillId="16" borderId="17" xfId="7" applyFont="1" applyFill="1" applyBorder="1" applyAlignment="1" applyProtection="1">
      <alignment horizontal="center" vertical="center" wrapText="1"/>
    </xf>
    <xf numFmtId="0" fontId="10" fillId="16" borderId="17" xfId="7" applyFont="1" applyFill="1" applyBorder="1" applyAlignment="1" applyProtection="1">
      <alignment horizontal="center" vertical="center" wrapText="1"/>
      <protection locked="0"/>
    </xf>
    <xf numFmtId="0" fontId="10" fillId="15" borderId="17" xfId="7" applyFont="1" applyFill="1" applyBorder="1" applyAlignment="1" applyProtection="1">
      <alignment horizontal="center" vertical="center" wrapText="1"/>
      <protection locked="0"/>
    </xf>
    <xf numFmtId="4" fontId="10" fillId="0" borderId="0" xfId="7" applyNumberFormat="1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3" fontId="8" fillId="0" borderId="0" xfId="7" applyNumberFormat="1" applyFont="1" applyFill="1" applyAlignment="1" applyProtection="1">
      <alignment vertical="center"/>
      <protection locked="0"/>
    </xf>
    <xf numFmtId="3" fontId="8" fillId="0" borderId="17" xfId="7" applyNumberFormat="1" applyFont="1" applyFill="1" applyBorder="1" applyAlignment="1" applyProtection="1">
      <alignment horizontal="center" vertical="center"/>
    </xf>
    <xf numFmtId="0" fontId="8" fillId="0" borderId="17" xfId="7" applyNumberFormat="1" applyFont="1" applyFill="1" applyBorder="1" applyAlignment="1" applyProtection="1">
      <alignment horizontal="center" vertical="center"/>
    </xf>
    <xf numFmtId="3" fontId="8" fillId="0" borderId="17" xfId="7" applyNumberFormat="1" applyFont="1" applyFill="1" applyBorder="1" applyAlignment="1" applyProtection="1">
      <alignment horizontal="right" vertical="center" wrapText="1"/>
    </xf>
    <xf numFmtId="0" fontId="8" fillId="16" borderId="17" xfId="7" applyNumberFormat="1" applyFont="1" applyFill="1" applyBorder="1" applyAlignment="1" applyProtection="1">
      <alignment horizontal="center" vertical="center"/>
    </xf>
    <xf numFmtId="4" fontId="13" fillId="0" borderId="0" xfId="7" applyNumberFormat="1" applyFont="1" applyFill="1" applyAlignment="1" applyProtection="1">
      <alignment vertical="center"/>
      <protection locked="0"/>
    </xf>
    <xf numFmtId="0" fontId="13" fillId="0" borderId="0" xfId="7" applyFont="1" applyFill="1" applyAlignment="1" applyProtection="1">
      <alignment vertical="center"/>
      <protection locked="0"/>
    </xf>
    <xf numFmtId="0" fontId="8" fillId="0" borderId="28" xfId="7" applyFont="1" applyFill="1" applyBorder="1" applyAlignment="1">
      <alignment vertical="center" wrapText="1"/>
    </xf>
    <xf numFmtId="0" fontId="8" fillId="0" borderId="17" xfId="7" applyFont="1" applyFill="1" applyBorder="1" applyAlignment="1">
      <alignment vertical="center" wrapText="1"/>
    </xf>
    <xf numFmtId="41" fontId="31" fillId="15" borderId="17" xfId="7" applyNumberFormat="1" applyFont="1" applyFill="1" applyBorder="1" applyAlignment="1" applyProtection="1">
      <alignment horizontal="right" vertical="center" wrapText="1"/>
    </xf>
    <xf numFmtId="4" fontId="36" fillId="0" borderId="0" xfId="7" applyNumberFormat="1" applyFont="1" applyAlignment="1" applyProtection="1">
      <alignment vertical="center"/>
      <protection locked="0"/>
    </xf>
    <xf numFmtId="0" fontId="36" fillId="0" borderId="0" xfId="7" applyFont="1" applyAlignment="1" applyProtection="1">
      <alignment vertical="center"/>
      <protection locked="0"/>
    </xf>
    <xf numFmtId="0" fontId="24" fillId="0" borderId="17" xfId="0" applyFont="1" applyFill="1" applyBorder="1" applyAlignment="1">
      <alignment horizontal="left" vertical="center" wrapText="1"/>
    </xf>
    <xf numFmtId="0" fontId="8" fillId="0" borderId="17" xfId="7" applyFont="1" applyFill="1" applyBorder="1" applyAlignment="1" applyProtection="1">
      <alignment horizontal="left" vertical="center" wrapText="1"/>
      <protection locked="0"/>
    </xf>
    <xf numFmtId="1" fontId="10" fillId="15" borderId="17" xfId="7" applyNumberFormat="1" applyFont="1" applyFill="1" applyBorder="1" applyAlignment="1" applyProtection="1">
      <alignment horizontal="right" vertical="center" wrapText="1"/>
    </xf>
    <xf numFmtId="0" fontId="8" fillId="16" borderId="17" xfId="7" applyFont="1" applyFill="1" applyBorder="1" applyAlignment="1" applyProtection="1">
      <alignment horizontal="center" vertical="center"/>
    </xf>
    <xf numFmtId="0" fontId="8" fillId="16" borderId="17" xfId="7" applyFont="1" applyFill="1" applyBorder="1" applyAlignment="1" applyProtection="1">
      <alignment horizontal="left" vertical="center" wrapText="1"/>
    </xf>
    <xf numFmtId="3" fontId="8" fillId="16" borderId="17" xfId="7" applyNumberFormat="1" applyFont="1" applyFill="1" applyBorder="1" applyAlignment="1" applyProtection="1">
      <alignment vertical="center" wrapText="1"/>
    </xf>
    <xf numFmtId="0" fontId="35" fillId="15" borderId="17" xfId="7" applyFont="1" applyFill="1" applyBorder="1" applyAlignment="1" applyProtection="1">
      <alignment horizontal="center" vertical="center" wrapText="1"/>
    </xf>
    <xf numFmtId="0" fontId="39" fillId="15" borderId="17" xfId="7" applyFont="1" applyFill="1" applyBorder="1" applyAlignment="1" applyProtection="1">
      <alignment horizontal="center" vertical="center" wrapText="1"/>
      <protection locked="0"/>
    </xf>
    <xf numFmtId="3" fontId="34" fillId="0" borderId="17" xfId="7" applyNumberFormat="1" applyFont="1" applyFill="1" applyBorder="1" applyAlignment="1" applyProtection="1">
      <alignment vertical="center"/>
    </xf>
    <xf numFmtId="2" fontId="8" fillId="0" borderId="17" xfId="16" applyNumberFormat="1" applyFont="1" applyFill="1" applyBorder="1" applyAlignment="1" applyProtection="1">
      <alignment vertical="center" wrapText="1"/>
      <protection locked="0"/>
    </xf>
    <xf numFmtId="2" fontId="41" fillId="0" borderId="17" xfId="16" applyNumberFormat="1" applyFont="1" applyFill="1" applyBorder="1" applyAlignment="1" applyProtection="1">
      <alignment vertical="center" wrapText="1"/>
      <protection locked="0"/>
    </xf>
    <xf numFmtId="0" fontId="39" fillId="0" borderId="17" xfId="7" applyFont="1" applyFill="1" applyBorder="1" applyAlignment="1" applyProtection="1">
      <alignment horizontal="center" vertical="center" wrapText="1"/>
      <protection locked="0"/>
    </xf>
    <xf numFmtId="3" fontId="10" fillId="2" borderId="17" xfId="7" applyNumberFormat="1" applyFont="1" applyFill="1" applyBorder="1" applyAlignment="1" applyProtection="1">
      <alignment vertical="center" wrapText="1"/>
    </xf>
    <xf numFmtId="0" fontId="31" fillId="2" borderId="17" xfId="7" applyFont="1" applyFill="1" applyBorder="1" applyAlignment="1" applyProtection="1">
      <alignment horizontal="center" vertical="center" wrapText="1"/>
    </xf>
    <xf numFmtId="0" fontId="36" fillId="0" borderId="17" xfId="7" applyFont="1" applyFill="1" applyBorder="1" applyAlignment="1" applyProtection="1">
      <alignment horizontal="center" vertical="center" wrapText="1"/>
      <protection locked="0"/>
    </xf>
    <xf numFmtId="3" fontId="36" fillId="0" borderId="0" xfId="7" applyNumberFormat="1" applyFont="1" applyFill="1" applyAlignment="1" applyProtection="1">
      <alignment vertical="center"/>
      <protection locked="0"/>
    </xf>
    <xf numFmtId="0" fontId="39" fillId="0" borderId="29" xfId="7" applyFont="1" applyFill="1" applyBorder="1" applyAlignment="1" applyProtection="1">
      <alignment horizontal="center" vertical="center" wrapText="1"/>
      <protection locked="0"/>
    </xf>
    <xf numFmtId="4" fontId="42" fillId="0" borderId="0" xfId="7" applyNumberFormat="1" applyFont="1" applyFill="1" applyAlignment="1" applyProtection="1">
      <alignment vertical="center"/>
      <protection locked="0"/>
    </xf>
    <xf numFmtId="0" fontId="42" fillId="0" borderId="0" xfId="7" applyFont="1" applyFill="1" applyAlignment="1" applyProtection="1">
      <alignment vertical="center"/>
      <protection locked="0"/>
    </xf>
    <xf numFmtId="0" fontId="10" fillId="0" borderId="17" xfId="7" applyFont="1" applyFill="1" applyBorder="1" applyAlignment="1" applyProtection="1">
      <alignment vertical="center" wrapText="1"/>
      <protection locked="0"/>
    </xf>
    <xf numFmtId="0" fontId="10" fillId="17" borderId="17" xfId="7" applyFont="1" applyFill="1" applyBorder="1" applyAlignment="1" applyProtection="1">
      <alignment vertical="center" wrapText="1"/>
      <protection locked="0"/>
    </xf>
    <xf numFmtId="0" fontId="10" fillId="0" borderId="18" xfId="7" applyFont="1" applyFill="1" applyBorder="1" applyAlignment="1" applyProtection="1">
      <alignment vertical="center" wrapText="1"/>
      <protection locked="0"/>
    </xf>
    <xf numFmtId="3" fontId="10" fillId="0" borderId="17" xfId="7" applyNumberFormat="1" applyFont="1" applyFill="1" applyBorder="1" applyAlignment="1" applyProtection="1">
      <alignment vertical="center" wrapText="1"/>
    </xf>
    <xf numFmtId="0" fontId="10" fillId="17" borderId="29" xfId="7" applyFont="1" applyFill="1" applyBorder="1" applyAlignment="1" applyProtection="1">
      <alignment horizontal="center" vertical="center" wrapText="1"/>
      <protection locked="0"/>
    </xf>
    <xf numFmtId="0" fontId="10" fillId="17" borderId="33" xfId="7" applyFont="1" applyFill="1" applyBorder="1" applyAlignment="1" applyProtection="1">
      <alignment horizontal="center" vertical="center" wrapText="1"/>
      <protection locked="0"/>
    </xf>
    <xf numFmtId="0" fontId="10" fillId="2" borderId="17" xfId="7" applyFont="1" applyFill="1" applyBorder="1" applyAlignment="1" applyProtection="1">
      <alignment vertical="center" wrapText="1"/>
    </xf>
    <xf numFmtId="0" fontId="10" fillId="2" borderId="33" xfId="7" applyFont="1" applyFill="1" applyBorder="1" applyAlignment="1" applyProtection="1">
      <alignment vertical="center" wrapText="1"/>
      <protection locked="0"/>
    </xf>
    <xf numFmtId="0" fontId="10" fillId="0" borderId="33" xfId="7" applyFont="1" applyFill="1" applyBorder="1" applyAlignment="1" applyProtection="1">
      <alignment vertical="center" wrapText="1"/>
      <protection locked="0"/>
    </xf>
    <xf numFmtId="4" fontId="42" fillId="0" borderId="0" xfId="7" applyNumberFormat="1" applyFont="1" applyFill="1" applyBorder="1" applyAlignment="1" applyProtection="1">
      <alignment vertical="center"/>
      <protection locked="0"/>
    </xf>
    <xf numFmtId="0" fontId="42" fillId="0" borderId="0" xfId="7" applyFont="1" applyFill="1" applyBorder="1" applyAlignment="1" applyProtection="1">
      <alignment vertical="center"/>
      <protection locked="0"/>
    </xf>
    <xf numFmtId="0" fontId="10" fillId="0" borderId="34" xfId="7" applyFont="1" applyFill="1" applyBorder="1" applyAlignment="1" applyProtection="1">
      <alignment vertical="center" wrapText="1"/>
      <protection locked="0"/>
    </xf>
    <xf numFmtId="4" fontId="10" fillId="16" borderId="0" xfId="7" applyNumberFormat="1" applyFont="1" applyFill="1" applyAlignment="1" applyProtection="1">
      <alignment vertical="center"/>
      <protection locked="0"/>
    </xf>
    <xf numFmtId="0" fontId="10" fillId="16" borderId="0" xfId="7" applyFont="1" applyFill="1" applyAlignment="1" applyProtection="1">
      <alignment vertical="center"/>
      <protection locked="0"/>
    </xf>
    <xf numFmtId="0" fontId="38" fillId="0" borderId="17" xfId="7" applyFont="1" applyFill="1" applyBorder="1" applyAlignment="1" applyProtection="1">
      <alignment horizontal="center" vertical="center"/>
    </xf>
    <xf numFmtId="0" fontId="36" fillId="0" borderId="33" xfId="7" applyFont="1" applyFill="1" applyBorder="1" applyAlignment="1" applyProtection="1">
      <alignment vertical="center" wrapText="1"/>
      <protection locked="0"/>
    </xf>
    <xf numFmtId="3" fontId="10" fillId="16" borderId="0" xfId="7" applyNumberFormat="1" applyFont="1" applyFill="1" applyAlignment="1" applyProtection="1">
      <alignment vertical="center"/>
      <protection locked="0"/>
    </xf>
    <xf numFmtId="3" fontId="8" fillId="18" borderId="17" xfId="7" applyNumberFormat="1" applyFont="1" applyFill="1" applyBorder="1" applyAlignment="1" applyProtection="1">
      <alignment vertical="center" wrapText="1"/>
    </xf>
    <xf numFmtId="4" fontId="8" fillId="16" borderId="0" xfId="7" applyNumberFormat="1" applyFont="1" applyFill="1" applyAlignment="1" applyProtection="1">
      <alignment vertical="center"/>
      <protection locked="0"/>
    </xf>
    <xf numFmtId="0" fontId="8" fillId="16" borderId="0" xfId="7" applyFont="1" applyFill="1" applyAlignment="1" applyProtection="1">
      <alignment vertical="center"/>
      <protection locked="0"/>
    </xf>
    <xf numFmtId="0" fontId="10" fillId="16" borderId="17" xfId="7" applyFont="1" applyFill="1" applyBorder="1" applyAlignment="1" applyProtection="1">
      <alignment vertical="center" wrapText="1"/>
    </xf>
    <xf numFmtId="0" fontId="31" fillId="16" borderId="17" xfId="7" applyFont="1" applyFill="1" applyBorder="1" applyAlignment="1" applyProtection="1">
      <alignment horizontal="center" vertical="center" wrapText="1"/>
    </xf>
    <xf numFmtId="3" fontId="8" fillId="0" borderId="18" xfId="7" applyNumberFormat="1" applyFont="1" applyFill="1" applyBorder="1" applyAlignment="1" applyProtection="1">
      <alignment vertical="center" wrapText="1"/>
    </xf>
    <xf numFmtId="0" fontId="8" fillId="0" borderId="18" xfId="7" applyFont="1" applyFill="1" applyBorder="1" applyAlignment="1" applyProtection="1">
      <alignment vertical="center" wrapText="1"/>
    </xf>
    <xf numFmtId="0" fontId="8" fillId="0" borderId="18" xfId="7" applyFont="1" applyFill="1" applyBorder="1" applyAlignment="1" applyProtection="1">
      <alignment horizontal="right" vertical="center" wrapText="1"/>
    </xf>
    <xf numFmtId="0" fontId="33" fillId="0" borderId="18" xfId="7" applyFont="1" applyFill="1" applyBorder="1" applyAlignment="1" applyProtection="1">
      <alignment horizontal="center" vertical="center" wrapText="1"/>
    </xf>
    <xf numFmtId="3" fontId="10" fillId="2" borderId="18" xfId="7" applyNumberFormat="1" applyFont="1" applyFill="1" applyBorder="1" applyAlignment="1" applyProtection="1">
      <alignment vertical="center" wrapText="1"/>
    </xf>
    <xf numFmtId="0" fontId="10" fillId="2" borderId="18" xfId="7" applyFont="1" applyFill="1" applyBorder="1" applyAlignment="1" applyProtection="1">
      <alignment vertical="center" wrapText="1"/>
    </xf>
    <xf numFmtId="0" fontId="31" fillId="2" borderId="18" xfId="7" applyFont="1" applyFill="1" applyBorder="1" applyAlignment="1" applyProtection="1">
      <alignment horizontal="center" vertical="center" wrapText="1"/>
    </xf>
    <xf numFmtId="0" fontId="8" fillId="0" borderId="22" xfId="7" applyFont="1" applyFill="1" applyBorder="1" applyAlignment="1" applyProtection="1">
      <alignment horizontal="center" vertical="center" wrapText="1"/>
    </xf>
    <xf numFmtId="0" fontId="8" fillId="0" borderId="22" xfId="7" applyFont="1" applyFill="1" applyBorder="1" applyAlignment="1" applyProtection="1">
      <alignment horizontal="left" vertical="center" wrapText="1"/>
    </xf>
    <xf numFmtId="3" fontId="8" fillId="0" borderId="22" xfId="7" applyNumberFormat="1" applyFont="1" applyFill="1" applyBorder="1" applyAlignment="1" applyProtection="1">
      <alignment vertical="center" wrapText="1"/>
    </xf>
    <xf numFmtId="0" fontId="8" fillId="0" borderId="22" xfId="7" applyFont="1" applyFill="1" applyBorder="1" applyAlignment="1" applyProtection="1">
      <alignment vertical="center" wrapText="1"/>
    </xf>
    <xf numFmtId="0" fontId="33" fillId="0" borderId="22" xfId="7" applyFont="1" applyFill="1" applyBorder="1" applyAlignment="1" applyProtection="1">
      <alignment horizontal="center" vertical="center" wrapText="1"/>
    </xf>
    <xf numFmtId="0" fontId="10" fillId="0" borderId="23" xfId="7" applyFont="1" applyFill="1" applyBorder="1" applyAlignment="1" applyProtection="1">
      <alignment vertical="center" wrapText="1"/>
      <protection locked="0"/>
    </xf>
    <xf numFmtId="3" fontId="10" fillId="2" borderId="21" xfId="7" applyNumberFormat="1" applyFont="1" applyFill="1" applyBorder="1" applyAlignment="1" applyProtection="1">
      <alignment vertical="center" wrapText="1"/>
    </xf>
    <xf numFmtId="0" fontId="10" fillId="2" borderId="21" xfId="7" applyFont="1" applyFill="1" applyBorder="1" applyAlignment="1" applyProtection="1">
      <alignment vertical="center" wrapText="1"/>
    </xf>
    <xf numFmtId="0" fontId="31" fillId="2" borderId="21" xfId="7" applyFont="1" applyFill="1" applyBorder="1" applyAlignment="1" applyProtection="1">
      <alignment horizontal="center" vertical="center" wrapText="1"/>
    </xf>
    <xf numFmtId="3" fontId="10" fillId="19" borderId="17" xfId="7" applyNumberFormat="1" applyFont="1" applyFill="1" applyBorder="1" applyAlignment="1" applyProtection="1">
      <alignment vertical="center" wrapText="1"/>
    </xf>
    <xf numFmtId="3" fontId="31" fillId="19" borderId="17" xfId="7" applyNumberFormat="1" applyFont="1" applyFill="1" applyBorder="1" applyAlignment="1" applyProtection="1">
      <alignment horizontal="center" vertical="center" wrapText="1"/>
    </xf>
    <xf numFmtId="3" fontId="10" fillId="0" borderId="17" xfId="7" applyNumberFormat="1" applyFont="1" applyFill="1" applyBorder="1" applyAlignment="1" applyProtection="1">
      <alignment vertical="center" wrapText="1"/>
      <protection locked="0"/>
    </xf>
    <xf numFmtId="4" fontId="10" fillId="16" borderId="0" xfId="7" applyNumberFormat="1" applyFont="1" applyFill="1" applyBorder="1" applyAlignment="1" applyProtection="1">
      <alignment vertical="center"/>
      <protection locked="0"/>
    </xf>
    <xf numFmtId="0" fontId="10" fillId="16" borderId="0" xfId="7" applyFont="1" applyFill="1" applyBorder="1" applyAlignment="1" applyProtection="1">
      <alignment vertical="center"/>
      <protection locked="0"/>
    </xf>
    <xf numFmtId="0" fontId="33" fillId="0" borderId="0" xfId="9" applyFont="1" applyProtection="1"/>
    <xf numFmtId="0" fontId="33" fillId="0" borderId="0" xfId="7" applyFont="1" applyProtection="1"/>
    <xf numFmtId="3" fontId="33" fillId="0" borderId="0" xfId="7" applyNumberFormat="1" applyFont="1" applyProtection="1"/>
    <xf numFmtId="0" fontId="33" fillId="0" borderId="0" xfId="7" applyFont="1" applyAlignment="1" applyProtection="1">
      <alignment horizontal="center" vertical="center"/>
    </xf>
    <xf numFmtId="0" fontId="10" fillId="0" borderId="0" xfId="7" applyFont="1" applyFill="1" applyProtection="1">
      <protection locked="0"/>
    </xf>
    <xf numFmtId="3" fontId="8" fillId="0" borderId="0" xfId="7" applyNumberFormat="1" applyFont="1" applyProtection="1"/>
    <xf numFmtId="3" fontId="8" fillId="0" borderId="0" xfId="7" applyNumberFormat="1" applyFont="1" applyProtection="1">
      <protection locked="0"/>
    </xf>
    <xf numFmtId="4" fontId="33" fillId="0" borderId="0" xfId="7" applyNumberFormat="1" applyFont="1" applyProtection="1">
      <protection locked="0"/>
    </xf>
    <xf numFmtId="0" fontId="33" fillId="0" borderId="0" xfId="7" applyFont="1" applyProtection="1">
      <protection locked="0"/>
    </xf>
    <xf numFmtId="0" fontId="8" fillId="0" borderId="17" xfId="16" applyFont="1" applyFill="1" applyBorder="1" applyAlignment="1">
      <alignment vertical="center" wrapText="1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33" xfId="7" applyFont="1" applyFill="1" applyBorder="1" applyAlignment="1" applyProtection="1">
      <alignment vertical="center" wrapText="1"/>
      <protection locked="0"/>
    </xf>
    <xf numFmtId="0" fontId="5" fillId="0" borderId="4" xfId="7" applyFont="1" applyFill="1" applyBorder="1" applyAlignment="1">
      <alignment vertical="center" wrapText="1"/>
    </xf>
    <xf numFmtId="3" fontId="5" fillId="0" borderId="0" xfId="7" applyNumberFormat="1" applyFont="1" applyFill="1" applyAlignment="1">
      <alignment vertical="center"/>
    </xf>
    <xf numFmtId="0" fontId="5" fillId="0" borderId="0" xfId="7" applyFont="1" applyFill="1" applyAlignment="1">
      <alignment horizontal="center" vertical="center"/>
    </xf>
    <xf numFmtId="0" fontId="26" fillId="0" borderId="4" xfId="7" applyFont="1" applyBorder="1" applyAlignment="1">
      <alignment horizontal="center" vertical="center"/>
    </xf>
    <xf numFmtId="0" fontId="26" fillId="0" borderId="4" xfId="7" applyFont="1" applyFill="1" applyBorder="1" applyAlignment="1">
      <alignment horizontal="center" vertical="center"/>
    </xf>
    <xf numFmtId="0" fontId="26" fillId="0" borderId="4" xfId="7" applyFont="1" applyBorder="1" applyAlignment="1">
      <alignment vertical="center" wrapText="1"/>
    </xf>
    <xf numFmtId="3" fontId="26" fillId="0" borderId="4" xfId="7" applyNumberFormat="1" applyFont="1" applyFill="1" applyBorder="1" applyAlignment="1">
      <alignment vertical="center" wrapText="1"/>
    </xf>
    <xf numFmtId="0" fontId="27" fillId="0" borderId="4" xfId="7" applyFont="1" applyFill="1" applyBorder="1" applyAlignment="1">
      <alignment vertical="center" wrapText="1"/>
    </xf>
    <xf numFmtId="0" fontId="26" fillId="0" borderId="0" xfId="7" applyFont="1" applyAlignment="1">
      <alignment vertical="center"/>
    </xf>
    <xf numFmtId="3" fontId="27" fillId="0" borderId="4" xfId="7" applyNumberFormat="1" applyFont="1" applyFill="1" applyBorder="1" applyAlignment="1">
      <alignment vertical="center"/>
    </xf>
    <xf numFmtId="3" fontId="26" fillId="0" borderId="0" xfId="7" applyNumberFormat="1" applyFont="1" applyAlignment="1">
      <alignment vertical="center"/>
    </xf>
    <xf numFmtId="0" fontId="26" fillId="0" borderId="0" xfId="7" applyFont="1" applyAlignment="1">
      <alignment horizontal="center" vertical="center"/>
    </xf>
    <xf numFmtId="3" fontId="27" fillId="0" borderId="4" xfId="7" applyNumberFormat="1" applyFont="1" applyFill="1" applyBorder="1" applyAlignment="1">
      <alignment vertical="center" wrapText="1"/>
    </xf>
    <xf numFmtId="0" fontId="28" fillId="9" borderId="4" xfId="11" applyFont="1" applyFill="1" applyBorder="1" applyAlignment="1">
      <alignment horizontal="left" vertical="center"/>
    </xf>
    <xf numFmtId="0" fontId="30" fillId="13" borderId="4" xfId="11" applyFont="1" applyFill="1" applyBorder="1" applyAlignment="1">
      <alignment horizontal="left" vertical="center"/>
    </xf>
    <xf numFmtId="0" fontId="30" fillId="13" borderId="8" xfId="11" applyFont="1" applyFill="1" applyBorder="1" applyAlignment="1">
      <alignment horizontal="center" vertical="center"/>
    </xf>
    <xf numFmtId="0" fontId="30" fillId="13" borderId="8" xfId="11" applyFont="1" applyFill="1" applyBorder="1" applyAlignment="1">
      <alignment vertical="center" wrapText="1"/>
    </xf>
    <xf numFmtId="3" fontId="30" fillId="13" borderId="8" xfId="11" applyNumberFormat="1" applyFont="1" applyFill="1" applyBorder="1" applyAlignment="1">
      <alignment vertical="center"/>
    </xf>
    <xf numFmtId="0" fontId="26" fillId="11" borderId="4" xfId="9" applyFont="1" applyFill="1" applyBorder="1" applyAlignment="1">
      <alignment horizontal="left" vertical="center"/>
    </xf>
    <xf numFmtId="2" fontId="26" fillId="2" borderId="4" xfId="9" applyNumberFormat="1" applyFont="1" applyFill="1" applyBorder="1" applyAlignment="1">
      <alignment horizontal="right" wrapText="1"/>
    </xf>
    <xf numFmtId="2" fontId="26" fillId="2" borderId="4" xfId="9" applyNumberFormat="1" applyFont="1" applyFill="1" applyBorder="1" applyAlignment="1">
      <alignment horizontal="right"/>
    </xf>
    <xf numFmtId="0" fontId="26" fillId="0" borderId="4" xfId="9" applyFont="1" applyBorder="1" applyAlignment="1">
      <alignment horizontal="center" wrapText="1"/>
    </xf>
    <xf numFmtId="2" fontId="26" fillId="2" borderId="1" xfId="9" applyNumberFormat="1" applyFont="1" applyFill="1" applyBorder="1" applyAlignment="1">
      <alignment horizontal="right"/>
    </xf>
    <xf numFmtId="0" fontId="26" fillId="0" borderId="1" xfId="9" applyFont="1" applyFill="1" applyBorder="1" applyAlignment="1">
      <alignment horizontal="left" vertical="center"/>
    </xf>
    <xf numFmtId="0" fontId="26" fillId="0" borderId="4" xfId="9" applyFont="1" applyFill="1" applyBorder="1" applyAlignment="1">
      <alignment vertical="center" wrapText="1"/>
    </xf>
    <xf numFmtId="0" fontId="26" fillId="0" borderId="4" xfId="9" applyFont="1" applyBorder="1" applyAlignment="1">
      <alignment horizontal="left" vertical="center" wrapText="1"/>
    </xf>
    <xf numFmtId="0" fontId="26" fillId="0" borderId="0" xfId="9" applyFont="1" applyFill="1" applyAlignment="1"/>
    <xf numFmtId="0" fontId="39" fillId="20" borderId="17" xfId="7" applyFont="1" applyFill="1" applyBorder="1" applyAlignment="1" applyProtection="1">
      <alignment horizontal="center" vertical="center"/>
    </xf>
    <xf numFmtId="0" fontId="39" fillId="20" borderId="17" xfId="7" applyFont="1" applyFill="1" applyBorder="1" applyAlignment="1" applyProtection="1">
      <alignment horizontal="center" vertical="center" wrapText="1"/>
    </xf>
    <xf numFmtId="0" fontId="39" fillId="20" borderId="17" xfId="16" applyFont="1" applyFill="1" applyBorder="1" applyAlignment="1" applyProtection="1">
      <alignment vertical="center" wrapText="1"/>
      <protection locked="0"/>
    </xf>
    <xf numFmtId="3" fontId="39" fillId="20" borderId="17" xfId="7" applyNumberFormat="1" applyFont="1" applyFill="1" applyBorder="1" applyAlignment="1" applyProtection="1">
      <alignment vertical="center" wrapText="1"/>
    </xf>
    <xf numFmtId="3" fontId="39" fillId="20" borderId="17" xfId="7" applyNumberFormat="1" applyFont="1" applyFill="1" applyBorder="1" applyAlignment="1" applyProtection="1">
      <alignment vertical="center"/>
    </xf>
    <xf numFmtId="0" fontId="42" fillId="20" borderId="17" xfId="7" applyFont="1" applyFill="1" applyBorder="1" applyAlignment="1" applyProtection="1">
      <alignment vertical="center" wrapText="1"/>
    </xf>
    <xf numFmtId="0" fontId="42" fillId="20" borderId="17" xfId="7" applyFont="1" applyFill="1" applyBorder="1" applyAlignment="1" applyProtection="1">
      <alignment horizontal="right" vertical="center" wrapText="1"/>
    </xf>
    <xf numFmtId="0" fontId="43" fillId="20" borderId="17" xfId="7" applyFont="1" applyFill="1" applyBorder="1" applyAlignment="1" applyProtection="1">
      <alignment horizontal="center" vertical="center" wrapText="1"/>
    </xf>
    <xf numFmtId="0" fontId="8" fillId="17" borderId="17" xfId="7" applyFont="1" applyFill="1" applyBorder="1" applyAlignment="1" applyProtection="1">
      <alignment horizontal="center" vertical="center" wrapText="1"/>
      <protection locked="0"/>
    </xf>
    <xf numFmtId="0" fontId="39" fillId="20" borderId="35" xfId="7" applyFont="1" applyFill="1" applyBorder="1" applyAlignment="1" applyProtection="1">
      <alignment horizontal="center" vertical="center"/>
    </xf>
    <xf numFmtId="0" fontId="39" fillId="20" borderId="35" xfId="16" applyFont="1" applyFill="1" applyBorder="1" applyAlignment="1" applyProtection="1">
      <alignment vertical="center" wrapText="1"/>
      <protection locked="0"/>
    </xf>
    <xf numFmtId="3" fontId="39" fillId="20" borderId="23" xfId="7" applyNumberFormat="1" applyFont="1" applyFill="1" applyBorder="1" applyAlignment="1" applyProtection="1">
      <alignment vertical="center" wrapText="1"/>
    </xf>
    <xf numFmtId="3" fontId="39" fillId="20" borderId="35" xfId="7" applyNumberFormat="1" applyFont="1" applyFill="1" applyBorder="1" applyAlignment="1" applyProtection="1">
      <alignment vertical="center"/>
    </xf>
    <xf numFmtId="0" fontId="39" fillId="20" borderId="35" xfId="7" applyFont="1" applyFill="1" applyBorder="1" applyAlignment="1" applyProtection="1">
      <alignment vertical="center" wrapText="1"/>
    </xf>
    <xf numFmtId="0" fontId="39" fillId="20" borderId="35" xfId="7" applyFont="1" applyFill="1" applyBorder="1" applyAlignment="1" applyProtection="1">
      <alignment horizontal="right" vertical="center" wrapText="1"/>
    </xf>
    <xf numFmtId="0" fontId="40" fillId="20" borderId="35" xfId="7" applyFont="1" applyFill="1" applyBorder="1" applyAlignment="1" applyProtection="1">
      <alignment horizontal="center" vertical="center" wrapText="1"/>
    </xf>
    <xf numFmtId="0" fontId="39" fillId="20" borderId="17" xfId="7" applyFont="1" applyFill="1" applyBorder="1" applyAlignment="1" applyProtection="1">
      <alignment horizontal="right" vertical="center" wrapText="1"/>
    </xf>
    <xf numFmtId="0" fontId="8" fillId="0" borderId="35" xfId="7" applyFont="1" applyFill="1" applyBorder="1" applyAlignment="1" applyProtection="1">
      <alignment horizontal="center" vertical="center" wrapText="1"/>
      <protection locked="0"/>
    </xf>
    <xf numFmtId="3" fontId="39" fillId="20" borderId="35" xfId="7" applyNumberFormat="1" applyFont="1" applyFill="1" applyBorder="1" applyAlignment="1" applyProtection="1">
      <alignment vertical="center" wrapText="1"/>
    </xf>
    <xf numFmtId="0" fontId="43" fillId="20" borderId="35" xfId="7" applyFont="1" applyFill="1" applyBorder="1" applyAlignment="1" applyProtection="1">
      <alignment horizontal="center" vertical="center" wrapText="1"/>
    </xf>
    <xf numFmtId="0" fontId="10" fillId="0" borderId="35" xfId="7" applyFont="1" applyFill="1" applyBorder="1" applyAlignment="1" applyProtection="1">
      <alignment horizontal="center" vertical="center" wrapText="1"/>
      <protection locked="0"/>
    </xf>
    <xf numFmtId="0" fontId="39" fillId="20" borderId="35" xfId="7" applyFont="1" applyFill="1" applyBorder="1" applyAlignment="1" applyProtection="1">
      <alignment horizontal="center" vertical="center" wrapText="1"/>
    </xf>
    <xf numFmtId="0" fontId="44" fillId="20" borderId="36" xfId="0" applyFont="1" applyFill="1" applyBorder="1" applyAlignment="1">
      <alignment vertical="center" wrapText="1"/>
    </xf>
    <xf numFmtId="0" fontId="44" fillId="20" borderId="35" xfId="0" applyFont="1" applyFill="1" applyBorder="1" applyAlignment="1">
      <alignment vertical="center" wrapText="1"/>
    </xf>
    <xf numFmtId="3" fontId="39" fillId="20" borderId="17" xfId="7" applyNumberFormat="1" applyFont="1" applyFill="1" applyBorder="1" applyAlignment="1" applyProtection="1">
      <alignment horizontal="center" vertical="center"/>
    </xf>
    <xf numFmtId="0" fontId="39" fillId="20" borderId="17" xfId="7" applyNumberFormat="1" applyFont="1" applyFill="1" applyBorder="1" applyAlignment="1" applyProtection="1">
      <alignment horizontal="center" vertical="center"/>
    </xf>
    <xf numFmtId="3" fontId="39" fillId="20" borderId="35" xfId="7" applyNumberFormat="1" applyFont="1" applyFill="1" applyBorder="1" applyAlignment="1" applyProtection="1">
      <alignment horizontal="right" vertical="center" wrapText="1"/>
    </xf>
    <xf numFmtId="0" fontId="45" fillId="20" borderId="17" xfId="16" applyFont="1" applyFill="1" applyBorder="1" applyAlignment="1" applyProtection="1">
      <alignment vertical="center" wrapText="1"/>
      <protection locked="0"/>
    </xf>
    <xf numFmtId="0" fontId="40" fillId="20" borderId="17" xfId="7" applyFont="1" applyFill="1" applyBorder="1" applyAlignment="1" applyProtection="1">
      <alignment horizontal="center" vertical="center" wrapText="1"/>
    </xf>
    <xf numFmtId="2" fontId="46" fillId="20" borderId="17" xfId="16" applyNumberFormat="1" applyFont="1" applyFill="1" applyBorder="1" applyAlignment="1" applyProtection="1">
      <alignment vertical="center" wrapText="1"/>
      <protection locked="0"/>
    </xf>
    <xf numFmtId="0" fontId="39" fillId="20" borderId="17" xfId="7" applyFont="1" applyFill="1" applyBorder="1" applyAlignment="1" applyProtection="1">
      <alignment horizontal="left" vertical="center" wrapText="1"/>
    </xf>
    <xf numFmtId="0" fontId="39" fillId="20" borderId="17" xfId="7" applyFont="1" applyFill="1" applyBorder="1" applyAlignment="1" applyProtection="1">
      <alignment vertical="center" wrapText="1"/>
    </xf>
    <xf numFmtId="0" fontId="39" fillId="20" borderId="35" xfId="7" applyFont="1" applyFill="1" applyBorder="1" applyAlignment="1" applyProtection="1">
      <alignment horizontal="left" vertical="center" wrapText="1"/>
      <protection locked="0"/>
    </xf>
    <xf numFmtId="0" fontId="39" fillId="20" borderId="4" xfId="7" applyFont="1" applyFill="1" applyBorder="1" applyAlignment="1">
      <alignment vertical="center" wrapText="1"/>
    </xf>
    <xf numFmtId="0" fontId="39" fillId="17" borderId="17" xfId="7" applyFont="1" applyFill="1" applyBorder="1" applyAlignment="1" applyProtection="1">
      <alignment horizontal="center" vertical="center" wrapText="1"/>
      <protection locked="0"/>
    </xf>
    <xf numFmtId="0" fontId="47" fillId="20" borderId="35" xfId="7" applyFont="1" applyFill="1" applyBorder="1" applyAlignment="1" applyProtection="1">
      <alignment vertical="center" wrapText="1"/>
      <protection locked="0"/>
    </xf>
    <xf numFmtId="0" fontId="42" fillId="20" borderId="18" xfId="7" applyFont="1" applyFill="1" applyBorder="1" applyAlignment="1" applyProtection="1">
      <alignment horizontal="center" vertical="center" wrapText="1"/>
      <protection locked="0"/>
    </xf>
    <xf numFmtId="0" fontId="10" fillId="20" borderId="33" xfId="7" applyFont="1" applyFill="1" applyBorder="1" applyAlignment="1" applyProtection="1">
      <alignment vertical="center" wrapText="1"/>
      <protection locked="0"/>
    </xf>
    <xf numFmtId="0" fontId="48" fillId="21" borderId="0" xfId="19" applyFont="1" applyFill="1" applyAlignment="1">
      <alignment horizontal="left" vertical="top" wrapText="1"/>
    </xf>
    <xf numFmtId="0" fontId="49" fillId="21" borderId="37" xfId="19" applyFont="1" applyFill="1" applyBorder="1" applyAlignment="1">
      <alignment horizontal="center" vertical="center" wrapText="1"/>
    </xf>
    <xf numFmtId="0" fontId="49" fillId="21" borderId="37" xfId="19" applyFont="1" applyFill="1" applyBorder="1" applyAlignment="1">
      <alignment horizontal="left" vertical="center" wrapText="1"/>
    </xf>
    <xf numFmtId="166" fontId="49" fillId="21" borderId="37" xfId="19" applyNumberFormat="1" applyFont="1" applyFill="1" applyBorder="1" applyAlignment="1">
      <alignment horizontal="right" vertical="center" wrapText="1"/>
    </xf>
    <xf numFmtId="0" fontId="49" fillId="3" borderId="37" xfId="19" applyFont="1" applyFill="1" applyBorder="1" applyAlignment="1">
      <alignment horizontal="center" vertical="center" wrapText="1"/>
    </xf>
    <xf numFmtId="0" fontId="49" fillId="3" borderId="37" xfId="19" applyFont="1" applyFill="1" applyBorder="1" applyAlignment="1">
      <alignment horizontal="left" vertical="center" wrapText="1"/>
    </xf>
    <xf numFmtId="166" fontId="49" fillId="3" borderId="37" xfId="19" applyNumberFormat="1" applyFont="1" applyFill="1" applyBorder="1" applyAlignment="1">
      <alignment horizontal="right" vertical="center" wrapText="1"/>
    </xf>
    <xf numFmtId="0" fontId="50" fillId="9" borderId="37" xfId="19" applyFont="1" applyFill="1" applyBorder="1" applyAlignment="1">
      <alignment horizontal="center" vertical="center" wrapText="1"/>
    </xf>
    <xf numFmtId="0" fontId="50" fillId="9" borderId="37" xfId="19" applyFont="1" applyFill="1" applyBorder="1" applyAlignment="1">
      <alignment horizontal="left" vertical="center" wrapText="1"/>
    </xf>
    <xf numFmtId="166" fontId="50" fillId="9" borderId="37" xfId="19" applyNumberFormat="1" applyFont="1" applyFill="1" applyBorder="1" applyAlignment="1">
      <alignment horizontal="right" vertical="center" wrapText="1"/>
    </xf>
    <xf numFmtId="166" fontId="50" fillId="22" borderId="37" xfId="19" applyNumberFormat="1" applyFont="1" applyFill="1" applyBorder="1" applyAlignment="1">
      <alignment horizontal="right" vertical="center" wrapText="1"/>
    </xf>
    <xf numFmtId="0" fontId="31" fillId="2" borderId="25" xfId="7" applyFont="1" applyFill="1" applyBorder="1" applyAlignment="1" applyProtection="1">
      <alignment horizontal="center" vertical="center" wrapText="1"/>
    </xf>
    <xf numFmtId="0" fontId="8" fillId="0" borderId="35" xfId="7" applyFont="1" applyFill="1" applyBorder="1" applyAlignment="1" applyProtection="1">
      <alignment horizontal="center" vertical="center" wrapText="1"/>
    </xf>
    <xf numFmtId="0" fontId="8" fillId="0" borderId="35" xfId="7" applyFont="1" applyFill="1" applyBorder="1" applyAlignment="1" applyProtection="1">
      <alignment horizontal="left" vertical="center" wrapText="1"/>
    </xf>
    <xf numFmtId="3" fontId="10" fillId="0" borderId="35" xfId="7" applyNumberFormat="1" applyFont="1" applyFill="1" applyBorder="1" applyAlignment="1" applyProtection="1">
      <alignment vertical="center" wrapText="1"/>
    </xf>
    <xf numFmtId="0" fontId="31" fillId="0" borderId="35" xfId="7" applyFont="1" applyFill="1" applyBorder="1" applyAlignment="1" applyProtection="1">
      <alignment horizontal="center" vertical="center" wrapText="1"/>
    </xf>
    <xf numFmtId="0" fontId="40" fillId="20" borderId="17" xfId="7" applyFont="1" applyFill="1" applyBorder="1" applyAlignment="1" applyProtection="1">
      <alignment horizontal="left" vertical="center" wrapText="1"/>
    </xf>
    <xf numFmtId="0" fontId="39" fillId="20" borderId="22" xfId="7" applyFont="1" applyFill="1" applyBorder="1" applyAlignment="1" applyProtection="1">
      <alignment horizontal="center" vertical="center"/>
    </xf>
    <xf numFmtId="0" fontId="39" fillId="20" borderId="35" xfId="7" applyFont="1" applyFill="1" applyBorder="1" applyAlignment="1" applyProtection="1">
      <alignment horizontal="left" vertical="center" wrapText="1"/>
    </xf>
    <xf numFmtId="0" fontId="10" fillId="0" borderId="22" xfId="7" applyFont="1" applyFill="1" applyBorder="1" applyAlignment="1" applyProtection="1">
      <alignment vertical="center" wrapText="1"/>
      <protection locked="0"/>
    </xf>
    <xf numFmtId="166" fontId="48" fillId="21" borderId="0" xfId="19" applyNumberFormat="1" applyFont="1" applyFill="1" applyAlignment="1">
      <alignment horizontal="left" vertical="top" wrapText="1"/>
    </xf>
    <xf numFmtId="0" fontId="26" fillId="0" borderId="4" xfId="7" applyFont="1" applyFill="1" applyBorder="1" applyAlignment="1">
      <alignment horizontal="center" vertical="center" wrapText="1"/>
    </xf>
    <xf numFmtId="0" fontId="26" fillId="0" borderId="4" xfId="11" applyFont="1" applyBorder="1" applyAlignment="1">
      <alignment vertical="center" wrapText="1"/>
    </xf>
    <xf numFmtId="0" fontId="26" fillId="0" borderId="4" xfId="7" applyFont="1" applyFill="1" applyBorder="1" applyAlignment="1">
      <alignment horizontal="right" vertical="center"/>
    </xf>
    <xf numFmtId="0" fontId="26" fillId="0" borderId="4" xfId="9" applyFont="1" applyFill="1" applyBorder="1" applyAlignment="1">
      <alignment horizontal="center" vertical="center"/>
    </xf>
    <xf numFmtId="0" fontId="26" fillId="0" borderId="0" xfId="9" applyFont="1" applyAlignment="1">
      <alignment vertical="center"/>
    </xf>
    <xf numFmtId="0" fontId="26" fillId="11" borderId="0" xfId="9" applyFont="1" applyFill="1" applyAlignment="1">
      <alignment horizontal="left" vertical="center" wrapText="1"/>
    </xf>
    <xf numFmtId="0" fontId="51" fillId="0" borderId="4" xfId="11" applyFont="1" applyBorder="1" applyAlignment="1">
      <alignment horizontal="center" vertical="center"/>
    </xf>
    <xf numFmtId="0" fontId="51" fillId="0" borderId="8" xfId="11" applyFont="1" applyBorder="1" applyAlignment="1">
      <alignment horizontal="center" vertical="center"/>
    </xf>
    <xf numFmtId="0" fontId="51" fillId="0" borderId="4" xfId="11" applyFont="1" applyBorder="1" applyAlignment="1">
      <alignment vertical="center" wrapText="1"/>
    </xf>
    <xf numFmtId="3" fontId="26" fillId="0" borderId="8" xfId="11" applyNumberFormat="1" applyFont="1" applyBorder="1" applyAlignment="1">
      <alignment vertical="center"/>
    </xf>
    <xf numFmtId="0" fontId="51" fillId="0" borderId="0" xfId="11" applyFont="1" applyAlignment="1">
      <alignment vertical="center"/>
    </xf>
    <xf numFmtId="4" fontId="26" fillId="2" borderId="4" xfId="9" applyNumberFormat="1" applyFont="1" applyFill="1" applyBorder="1" applyAlignment="1">
      <alignment horizontal="right"/>
    </xf>
    <xf numFmtId="0" fontId="26" fillId="0" borderId="4" xfId="7" applyFont="1" applyFill="1" applyBorder="1" applyAlignment="1">
      <alignment vertical="center"/>
    </xf>
    <xf numFmtId="3" fontId="26" fillId="0" borderId="4" xfId="7" applyNumberFormat="1" applyFont="1" applyFill="1" applyBorder="1" applyAlignment="1">
      <alignment vertical="center"/>
    </xf>
    <xf numFmtId="3" fontId="8" fillId="0" borderId="35" xfId="7" applyNumberFormat="1" applyFont="1" applyFill="1" applyBorder="1" applyAlignment="1" applyProtection="1">
      <alignment vertical="center" wrapText="1"/>
    </xf>
    <xf numFmtId="3" fontId="8" fillId="2" borderId="18" xfId="7" applyNumberFormat="1" applyFont="1" applyFill="1" applyBorder="1" applyAlignment="1" applyProtection="1">
      <alignment vertical="center" wrapText="1"/>
    </xf>
    <xf numFmtId="0" fontId="26" fillId="11" borderId="4" xfId="9" applyFont="1" applyFill="1" applyBorder="1" applyAlignment="1">
      <alignment vertical="center" wrapText="1"/>
    </xf>
    <xf numFmtId="4" fontId="52" fillId="0" borderId="0" xfId="7" applyNumberFormat="1" applyFont="1" applyAlignment="1" applyProtection="1">
      <alignment vertical="center"/>
      <protection locked="0"/>
    </xf>
    <xf numFmtId="0" fontId="52" fillId="0" borderId="0" xfId="7" applyFont="1" applyAlignment="1" applyProtection="1">
      <alignment vertical="center"/>
      <protection locked="0"/>
    </xf>
    <xf numFmtId="0" fontId="51" fillId="9" borderId="4" xfId="11" applyFont="1" applyFill="1" applyBorder="1" applyAlignment="1">
      <alignment horizontal="center" vertical="center"/>
    </xf>
    <xf numFmtId="0" fontId="51" fillId="9" borderId="8" xfId="11" applyFont="1" applyFill="1" applyBorder="1" applyAlignment="1">
      <alignment horizontal="center" vertical="center"/>
    </xf>
    <xf numFmtId="0" fontId="51" fillId="9" borderId="4" xfId="11" applyFont="1" applyFill="1" applyBorder="1" applyAlignment="1">
      <alignment vertical="center" wrapText="1"/>
    </xf>
    <xf numFmtId="3" fontId="26" fillId="9" borderId="8" xfId="11" applyNumberFormat="1" applyFont="1" applyFill="1" applyBorder="1" applyAlignment="1">
      <alignment vertical="center"/>
    </xf>
    <xf numFmtId="3" fontId="51" fillId="9" borderId="4" xfId="11" applyNumberFormat="1" applyFont="1" applyFill="1" applyBorder="1" applyAlignment="1">
      <alignment vertical="center"/>
    </xf>
    <xf numFmtId="3" fontId="26" fillId="0" borderId="4" xfId="11" applyNumberFormat="1" applyFont="1" applyBorder="1" applyAlignment="1">
      <alignment vertical="center"/>
    </xf>
    <xf numFmtId="0" fontId="51" fillId="0" borderId="4" xfId="1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vertical="center" wrapText="1"/>
    </xf>
    <xf numFmtId="3" fontId="51" fillId="0" borderId="4" xfId="11" applyNumberFormat="1" applyFont="1" applyFill="1" applyBorder="1" applyAlignment="1">
      <alignment vertical="center"/>
    </xf>
    <xf numFmtId="0" fontId="51" fillId="0" borderId="0" xfId="11" applyFont="1" applyFill="1" applyAlignment="1">
      <alignment vertical="center"/>
    </xf>
    <xf numFmtId="4" fontId="6" fillId="0" borderId="0" xfId="9" applyNumberFormat="1" applyFont="1" applyAlignment="1"/>
    <xf numFmtId="0" fontId="16" fillId="15" borderId="17" xfId="7" applyFont="1" applyFill="1" applyBorder="1" applyAlignment="1" applyProtection="1">
      <alignment horizontal="center" vertical="center"/>
    </xf>
    <xf numFmtId="0" fontId="9" fillId="0" borderId="0" xfId="7" applyFont="1" applyBorder="1" applyAlignment="1" applyProtection="1">
      <alignment horizontal="center"/>
    </xf>
    <xf numFmtId="0" fontId="8" fillId="2" borderId="17" xfId="7" applyFont="1" applyFill="1" applyBorder="1" applyAlignment="1" applyProtection="1">
      <alignment horizontal="center" vertical="center"/>
    </xf>
    <xf numFmtId="0" fontId="8" fillId="2" borderId="17" xfId="7" applyFont="1" applyFill="1" applyBorder="1" applyAlignment="1" applyProtection="1">
      <alignment horizontal="center" vertical="center" wrapText="1"/>
    </xf>
    <xf numFmtId="0" fontId="8" fillId="14" borderId="17" xfId="7" applyFont="1" applyFill="1" applyBorder="1" applyAlignment="1" applyProtection="1">
      <alignment horizontal="center" vertical="center" wrapText="1"/>
    </xf>
    <xf numFmtId="0" fontId="8" fillId="14" borderId="18" xfId="7" applyFont="1" applyFill="1" applyBorder="1" applyAlignment="1" applyProtection="1">
      <alignment horizontal="center" vertical="center" wrapText="1"/>
    </xf>
    <xf numFmtId="0" fontId="8" fillId="14" borderId="21" xfId="7" applyFont="1" applyFill="1" applyBorder="1" applyAlignment="1" applyProtection="1">
      <alignment horizontal="center" vertical="center" wrapText="1"/>
    </xf>
    <xf numFmtId="0" fontId="10" fillId="14" borderId="17" xfId="7" applyFont="1" applyFill="1" applyBorder="1" applyAlignment="1" applyProtection="1">
      <alignment horizontal="center" vertical="center" wrapText="1"/>
    </xf>
    <xf numFmtId="0" fontId="10" fillId="14" borderId="19" xfId="7" applyFont="1" applyFill="1" applyBorder="1" applyAlignment="1" applyProtection="1">
      <alignment horizontal="center" vertical="center" wrapText="1"/>
    </xf>
    <xf numFmtId="0" fontId="10" fillId="14" borderId="20" xfId="7" applyFont="1" applyFill="1" applyBorder="1" applyAlignment="1" applyProtection="1">
      <alignment horizontal="center" vertical="center" wrapText="1"/>
    </xf>
    <xf numFmtId="0" fontId="10" fillId="14" borderId="18" xfId="7" applyFont="1" applyFill="1" applyBorder="1" applyAlignment="1" applyProtection="1">
      <alignment horizontal="center" vertical="center" wrapText="1"/>
    </xf>
    <xf numFmtId="0" fontId="10" fillId="14" borderId="21" xfId="7" applyFont="1" applyFill="1" applyBorder="1" applyAlignment="1" applyProtection="1">
      <alignment horizontal="center" vertical="center" wrapText="1"/>
    </xf>
    <xf numFmtId="0" fontId="10" fillId="2" borderId="18" xfId="7" applyFont="1" applyFill="1" applyBorder="1" applyAlignment="1" applyProtection="1">
      <alignment horizontal="center" vertical="center" wrapText="1"/>
      <protection locked="0"/>
    </xf>
    <xf numFmtId="0" fontId="10" fillId="2" borderId="21" xfId="7" applyFont="1" applyFill="1" applyBorder="1" applyAlignment="1" applyProtection="1">
      <alignment horizontal="center" vertical="center" wrapText="1"/>
      <protection locked="0"/>
    </xf>
    <xf numFmtId="0" fontId="16" fillId="15" borderId="25" xfId="7" applyFont="1" applyFill="1" applyBorder="1" applyAlignment="1" applyProtection="1">
      <alignment horizontal="center" vertical="center" wrapText="1"/>
    </xf>
    <xf numFmtId="0" fontId="16" fillId="15" borderId="26" xfId="7" applyFont="1" applyFill="1" applyBorder="1" applyAlignment="1" applyProtection="1">
      <alignment horizontal="center" vertical="center" wrapText="1"/>
    </xf>
    <xf numFmtId="0" fontId="16" fillId="15" borderId="27" xfId="7" applyFont="1" applyFill="1" applyBorder="1" applyAlignment="1" applyProtection="1">
      <alignment horizontal="center" vertical="center" wrapText="1"/>
    </xf>
    <xf numFmtId="0" fontId="10" fillId="2" borderId="17" xfId="7" applyFont="1" applyFill="1" applyBorder="1" applyAlignment="1" applyProtection="1">
      <alignment horizontal="center" vertical="center" wrapText="1"/>
    </xf>
    <xf numFmtId="0" fontId="16" fillId="15" borderId="19" xfId="7" applyFont="1" applyFill="1" applyBorder="1" applyAlignment="1" applyProtection="1">
      <alignment horizontal="center" vertical="center"/>
    </xf>
    <xf numFmtId="0" fontId="16" fillId="15" borderId="20" xfId="7" applyFont="1" applyFill="1" applyBorder="1" applyAlignment="1" applyProtection="1">
      <alignment horizontal="center" vertical="center"/>
    </xf>
    <xf numFmtId="0" fontId="16" fillId="15" borderId="23" xfId="7" applyFont="1" applyFill="1" applyBorder="1" applyAlignment="1" applyProtection="1">
      <alignment horizontal="center" vertical="center"/>
    </xf>
    <xf numFmtId="0" fontId="10" fillId="2" borderId="32" xfId="7" applyFont="1" applyFill="1" applyBorder="1" applyAlignment="1" applyProtection="1">
      <alignment horizontal="center" vertical="center" wrapText="1"/>
    </xf>
    <xf numFmtId="0" fontId="10" fillId="2" borderId="30" xfId="7" applyFont="1" applyFill="1" applyBorder="1" applyAlignment="1" applyProtection="1">
      <alignment horizontal="center" vertical="center" wrapText="1"/>
    </xf>
    <xf numFmtId="0" fontId="10" fillId="2" borderId="31" xfId="7" applyFont="1" applyFill="1" applyBorder="1" applyAlignment="1" applyProtection="1">
      <alignment horizontal="center" vertical="center" wrapText="1"/>
    </xf>
    <xf numFmtId="0" fontId="10" fillId="2" borderId="25" xfId="7" applyFont="1" applyFill="1" applyBorder="1" applyAlignment="1" applyProtection="1">
      <alignment horizontal="center" vertical="center" wrapText="1"/>
    </xf>
    <xf numFmtId="0" fontId="10" fillId="2" borderId="26" xfId="7" applyFont="1" applyFill="1" applyBorder="1" applyAlignment="1" applyProtection="1">
      <alignment horizontal="center" vertical="center" wrapText="1"/>
    </xf>
    <xf numFmtId="0" fontId="10" fillId="2" borderId="0" xfId="7" applyFont="1" applyFill="1" applyBorder="1" applyAlignment="1" applyProtection="1">
      <alignment horizontal="center" vertical="center" wrapText="1"/>
    </xf>
    <xf numFmtId="0" fontId="10" fillId="2" borderId="38" xfId="7" applyFont="1" applyFill="1" applyBorder="1" applyAlignment="1" applyProtection="1">
      <alignment horizontal="center" vertical="center" wrapText="1"/>
    </xf>
    <xf numFmtId="0" fontId="10" fillId="2" borderId="19" xfId="7" applyFont="1" applyFill="1" applyBorder="1" applyAlignment="1" applyProtection="1">
      <alignment horizontal="center" vertical="center" wrapText="1"/>
    </xf>
    <xf numFmtId="0" fontId="10" fillId="2" borderId="20" xfId="7" applyFont="1" applyFill="1" applyBorder="1" applyAlignment="1" applyProtection="1">
      <alignment horizontal="center" vertical="center" wrapText="1"/>
    </xf>
    <xf numFmtId="0" fontId="10" fillId="2" borderId="23" xfId="7" applyFont="1" applyFill="1" applyBorder="1" applyAlignment="1" applyProtection="1">
      <alignment horizontal="center" vertical="center" wrapText="1"/>
    </xf>
    <xf numFmtId="165" fontId="9" fillId="19" borderId="19" xfId="8" applyNumberFormat="1" applyFont="1" applyFill="1" applyBorder="1" applyAlignment="1" applyProtection="1">
      <alignment horizontal="center" vertical="center" wrapText="1"/>
    </xf>
    <xf numFmtId="165" fontId="9" fillId="19" borderId="20" xfId="8" applyNumberFormat="1" applyFont="1" applyFill="1" applyBorder="1" applyAlignment="1" applyProtection="1">
      <alignment horizontal="center" vertical="center" wrapText="1"/>
    </xf>
    <xf numFmtId="165" fontId="9" fillId="19" borderId="23" xfId="8" applyNumberFormat="1" applyFont="1" applyFill="1" applyBorder="1" applyAlignment="1" applyProtection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5" xfId="9" applyFont="1" applyFill="1" applyBorder="1" applyAlignment="1">
      <alignment horizontal="center" vertical="center"/>
    </xf>
    <xf numFmtId="0" fontId="10" fillId="4" borderId="2" xfId="9" applyFont="1" applyFill="1" applyBorder="1" applyAlignment="1">
      <alignment horizontal="center" vertical="center"/>
    </xf>
    <xf numFmtId="0" fontId="26" fillId="0" borderId="1" xfId="9" applyFont="1" applyFill="1" applyBorder="1" applyAlignment="1">
      <alignment horizontal="center" vertical="center"/>
    </xf>
    <xf numFmtId="0" fontId="26" fillId="0" borderId="3" xfId="9" applyFont="1" applyFill="1" applyBorder="1" applyAlignment="1">
      <alignment horizontal="center" vertical="center"/>
    </xf>
    <xf numFmtId="0" fontId="26" fillId="0" borderId="8" xfId="9" applyFont="1" applyFill="1" applyBorder="1" applyAlignment="1">
      <alignment horizontal="center" vertical="center"/>
    </xf>
    <xf numFmtId="0" fontId="26" fillId="0" borderId="4" xfId="9" applyFont="1" applyBorder="1" applyAlignment="1">
      <alignment horizontal="center" vertical="center"/>
    </xf>
    <xf numFmtId="0" fontId="26" fillId="0" borderId="1" xfId="9" applyFont="1" applyBorder="1" applyAlignment="1">
      <alignment horizontal="center" vertical="center" wrapText="1"/>
    </xf>
    <xf numFmtId="0" fontId="26" fillId="0" borderId="8" xfId="9" applyFont="1" applyBorder="1" applyAlignment="1">
      <alignment horizontal="center" vertical="center" wrapText="1"/>
    </xf>
    <xf numFmtId="0" fontId="16" fillId="0" borderId="0" xfId="9" applyFont="1" applyAlignment="1">
      <alignment horizontal="center" vertical="center" wrapText="1"/>
    </xf>
    <xf numFmtId="0" fontId="6" fillId="10" borderId="1" xfId="9" applyFont="1" applyFill="1" applyBorder="1" applyAlignment="1">
      <alignment horizontal="center" vertical="center" wrapText="1"/>
    </xf>
    <xf numFmtId="0" fontId="6" fillId="10" borderId="3" xfId="9" applyFont="1" applyFill="1" applyBorder="1" applyAlignment="1">
      <alignment horizontal="center" vertical="center" wrapText="1"/>
    </xf>
    <xf numFmtId="0" fontId="6" fillId="10" borderId="4" xfId="9" applyFont="1" applyFill="1" applyBorder="1" applyAlignment="1">
      <alignment horizontal="center" vertical="center" wrapText="1"/>
    </xf>
    <xf numFmtId="0" fontId="6" fillId="10" borderId="4" xfId="9" applyFont="1" applyFill="1" applyBorder="1" applyAlignment="1">
      <alignment horizontal="center" vertical="center"/>
    </xf>
    <xf numFmtId="0" fontId="26" fillId="0" borderId="1" xfId="9" applyFont="1" applyBorder="1" applyAlignment="1">
      <alignment horizontal="center" vertical="center"/>
    </xf>
    <xf numFmtId="0" fontId="26" fillId="0" borderId="3" xfId="9" applyFont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/>
    </xf>
    <xf numFmtId="0" fontId="6" fillId="0" borderId="8" xfId="9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0" fontId="26" fillId="0" borderId="8" xfId="9" applyFont="1" applyFill="1" applyBorder="1" applyAlignment="1">
      <alignment horizontal="center" vertical="center" wrapText="1"/>
    </xf>
    <xf numFmtId="0" fontId="26" fillId="0" borderId="8" xfId="9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horizontal="center" vertical="center" wrapText="1"/>
    </xf>
    <xf numFmtId="0" fontId="26" fillId="0" borderId="10" xfId="9" applyFont="1" applyFill="1" applyBorder="1" applyAlignment="1">
      <alignment horizontal="center" vertical="center" wrapText="1"/>
    </xf>
    <xf numFmtId="0" fontId="26" fillId="0" borderId="11" xfId="9" applyFont="1" applyFill="1" applyBorder="1" applyAlignment="1">
      <alignment horizontal="center" vertical="center" wrapText="1"/>
    </xf>
    <xf numFmtId="0" fontId="26" fillId="0" borderId="12" xfId="9" applyFont="1" applyFill="1" applyBorder="1" applyAlignment="1">
      <alignment horizontal="center" vertical="center" wrapText="1"/>
    </xf>
    <xf numFmtId="0" fontId="26" fillId="0" borderId="13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26" fillId="0" borderId="14" xfId="9" applyFont="1" applyFill="1" applyBorder="1" applyAlignment="1">
      <alignment horizontal="center" vertical="center" wrapText="1"/>
    </xf>
    <xf numFmtId="0" fontId="26" fillId="0" borderId="15" xfId="9" applyFont="1" applyFill="1" applyBorder="1" applyAlignment="1">
      <alignment horizontal="center" vertical="center" wrapText="1"/>
    </xf>
    <xf numFmtId="0" fontId="26" fillId="0" borderId="16" xfId="9" applyFont="1" applyFill="1" applyBorder="1" applyAlignment="1">
      <alignment horizontal="center" vertical="center" wrapText="1"/>
    </xf>
    <xf numFmtId="0" fontId="26" fillId="0" borderId="6" xfId="9" applyFont="1" applyFill="1" applyBorder="1" applyAlignment="1">
      <alignment horizontal="center" vertical="center" wrapText="1"/>
    </xf>
    <xf numFmtId="0" fontId="5" fillId="0" borderId="10" xfId="9" applyFont="1" applyFill="1" applyBorder="1" applyAlignment="1">
      <alignment horizontal="center" vertical="center" wrapText="1"/>
    </xf>
    <xf numFmtId="0" fontId="5" fillId="0" borderId="15" xfId="9" applyFont="1" applyFill="1" applyBorder="1" applyAlignment="1">
      <alignment horizontal="center" vertical="center" wrapText="1"/>
    </xf>
    <xf numFmtId="49" fontId="29" fillId="0" borderId="0" xfId="10" applyNumberFormat="1" applyFont="1" applyAlignment="1">
      <alignment horizontal="center" vertical="center" wrapText="1"/>
    </xf>
    <xf numFmtId="0" fontId="50" fillId="22" borderId="37" xfId="19" applyFont="1" applyFill="1" applyBorder="1" applyAlignment="1">
      <alignment horizontal="center" vertical="center" wrapText="1"/>
    </xf>
    <xf numFmtId="0" fontId="29" fillId="0" borderId="0" xfId="11" applyFont="1" applyAlignment="1">
      <alignment horizontal="center" vertical="center" wrapText="1"/>
    </xf>
    <xf numFmtId="0" fontId="30" fillId="12" borderId="5" xfId="11" applyFont="1" applyFill="1" applyBorder="1" applyAlignment="1">
      <alignment horizontal="center" vertical="center" wrapText="1"/>
    </xf>
    <xf numFmtId="0" fontId="30" fillId="12" borderId="9" xfId="11" applyFont="1" applyFill="1" applyBorder="1" applyAlignment="1">
      <alignment horizontal="center" vertical="center" wrapText="1"/>
    </xf>
    <xf numFmtId="0" fontId="30" fillId="12" borderId="2" xfId="1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 wrapText="1"/>
    </xf>
    <xf numFmtId="44" fontId="6" fillId="2" borderId="4" xfId="12" applyFont="1" applyFill="1" applyBorder="1" applyAlignment="1">
      <alignment horizontal="center" vertical="center"/>
    </xf>
    <xf numFmtId="44" fontId="9" fillId="6" borderId="4" xfId="12" applyFont="1" applyFill="1" applyBorder="1" applyAlignment="1">
      <alignment horizontal="center"/>
    </xf>
  </cellXfs>
  <cellStyles count="22">
    <cellStyle name="Normalny" xfId="0" builtinId="0"/>
    <cellStyle name="Normalny 10" xfId="3"/>
    <cellStyle name="Normalny 11" xfId="20"/>
    <cellStyle name="Normalny 12" xfId="21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3"/>
  <sheetViews>
    <sheetView zoomScale="93" zoomScaleNormal="93" workbookViewId="0">
      <selection activeCell="G63" sqref="G63"/>
    </sheetView>
  </sheetViews>
  <sheetFormatPr defaultColWidth="11.6640625" defaultRowHeight="12.75"/>
  <cols>
    <col min="1" max="1" width="5.6640625" style="158" customWidth="1"/>
    <col min="2" max="2" width="6.6640625" style="158" customWidth="1"/>
    <col min="3" max="3" width="9.33203125" style="159" customWidth="1"/>
    <col min="4" max="4" width="7.33203125" style="159" customWidth="1"/>
    <col min="5" max="5" width="83.1640625" style="159" customWidth="1"/>
    <col min="6" max="9" width="14.33203125" style="159" customWidth="1"/>
    <col min="10" max="10" width="15.33203125" style="159" customWidth="1"/>
    <col min="11" max="11" width="34.33203125" style="160" customWidth="1"/>
    <col min="12" max="12" width="6.83203125" style="161" hidden="1" customWidth="1"/>
    <col min="13" max="13" width="15.5" style="162" bestFit="1" customWidth="1"/>
    <col min="14" max="14" width="13" style="159" bestFit="1" customWidth="1"/>
    <col min="15" max="16384" width="11.6640625" style="159"/>
  </cols>
  <sheetData>
    <row r="1" spans="1:13" ht="12" customHeight="1"/>
    <row r="2" spans="1:13" ht="15.75" customHeight="1">
      <c r="A2" s="429" t="s">
        <v>190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3" ht="15" customHeight="1" thickBot="1">
      <c r="A3" s="163"/>
      <c r="B3" s="163"/>
      <c r="C3" s="164"/>
      <c r="D3" s="164"/>
      <c r="E3" s="164"/>
      <c r="F3" s="164"/>
      <c r="G3" s="164"/>
      <c r="H3" s="164"/>
      <c r="I3" s="164"/>
      <c r="J3" s="164"/>
      <c r="K3" s="165"/>
    </row>
    <row r="4" spans="1:13" ht="19.5" customHeight="1" thickBot="1">
      <c r="A4" s="430" t="s">
        <v>7</v>
      </c>
      <c r="B4" s="431" t="s">
        <v>0</v>
      </c>
      <c r="C4" s="432" t="s">
        <v>191</v>
      </c>
      <c r="D4" s="433" t="s">
        <v>38</v>
      </c>
      <c r="E4" s="435" t="s">
        <v>39</v>
      </c>
      <c r="F4" s="435" t="s">
        <v>192</v>
      </c>
      <c r="G4" s="436" t="s">
        <v>193</v>
      </c>
      <c r="H4" s="437"/>
      <c r="I4" s="437"/>
      <c r="J4" s="437"/>
      <c r="K4" s="438" t="s">
        <v>194</v>
      </c>
      <c r="L4" s="440"/>
    </row>
    <row r="5" spans="1:13" ht="95.25" customHeight="1" thickBot="1">
      <c r="A5" s="430"/>
      <c r="B5" s="431"/>
      <c r="C5" s="432"/>
      <c r="D5" s="434"/>
      <c r="E5" s="435"/>
      <c r="F5" s="435"/>
      <c r="G5" s="166" t="s">
        <v>195</v>
      </c>
      <c r="H5" s="166" t="s">
        <v>196</v>
      </c>
      <c r="I5" s="166" t="s">
        <v>197</v>
      </c>
      <c r="J5" s="166" t="s">
        <v>198</v>
      </c>
      <c r="K5" s="439"/>
      <c r="L5" s="441"/>
    </row>
    <row r="6" spans="1:13" s="171" customFormat="1" ht="15" customHeight="1" thickBot="1">
      <c r="A6" s="167" t="s">
        <v>8</v>
      </c>
      <c r="B6" s="167" t="s">
        <v>9</v>
      </c>
      <c r="C6" s="167" t="s">
        <v>10</v>
      </c>
      <c r="D6" s="167" t="s">
        <v>11</v>
      </c>
      <c r="E6" s="168" t="s">
        <v>12</v>
      </c>
      <c r="F6" s="167" t="s">
        <v>60</v>
      </c>
      <c r="G6" s="167" t="s">
        <v>59</v>
      </c>
      <c r="H6" s="167" t="s">
        <v>172</v>
      </c>
      <c r="I6" s="167" t="s">
        <v>174</v>
      </c>
      <c r="J6" s="167" t="s">
        <v>199</v>
      </c>
      <c r="K6" s="167" t="s">
        <v>200</v>
      </c>
      <c r="L6" s="169"/>
      <c r="M6" s="170"/>
    </row>
    <row r="7" spans="1:13" s="177" customFormat="1" ht="27.95" customHeight="1" thickBot="1">
      <c r="A7" s="428" t="s">
        <v>201</v>
      </c>
      <c r="B7" s="428"/>
      <c r="C7" s="428"/>
      <c r="D7" s="428"/>
      <c r="E7" s="428"/>
      <c r="F7" s="172">
        <f>SUM(G7:J7)</f>
        <v>1115000</v>
      </c>
      <c r="G7" s="172">
        <f>SUM(G8:G11)</f>
        <v>315000</v>
      </c>
      <c r="H7" s="172">
        <f t="shared" ref="H7:J7" si="0">SUM(H8:H11)</f>
        <v>800000</v>
      </c>
      <c r="I7" s="172">
        <f t="shared" si="0"/>
        <v>0</v>
      </c>
      <c r="J7" s="172">
        <f t="shared" si="0"/>
        <v>0</v>
      </c>
      <c r="K7" s="174"/>
      <c r="L7" s="175"/>
      <c r="M7" s="176"/>
    </row>
    <row r="8" spans="1:13" s="189" customFormat="1" ht="32.25" customHeight="1" thickBot="1">
      <c r="A8" s="178" t="s">
        <v>8</v>
      </c>
      <c r="B8" s="179">
        <v>600</v>
      </c>
      <c r="C8" s="180">
        <v>60014</v>
      </c>
      <c r="D8" s="180">
        <v>6050</v>
      </c>
      <c r="E8" s="181" t="s">
        <v>202</v>
      </c>
      <c r="F8" s="182">
        <f>SUM(G8:H8)</f>
        <v>480000</v>
      </c>
      <c r="G8" s="183">
        <v>280000</v>
      </c>
      <c r="H8" s="183">
        <v>200000</v>
      </c>
      <c r="I8" s="184"/>
      <c r="J8" s="185"/>
      <c r="K8" s="186"/>
      <c r="L8" s="187" t="s">
        <v>203</v>
      </c>
      <c r="M8" s="188"/>
    </row>
    <row r="9" spans="1:13" s="189" customFormat="1" ht="45" customHeight="1" thickBot="1">
      <c r="A9" s="190" t="s">
        <v>9</v>
      </c>
      <c r="B9" s="191">
        <v>600</v>
      </c>
      <c r="C9" s="192">
        <v>60014</v>
      </c>
      <c r="D9" s="192">
        <v>6050</v>
      </c>
      <c r="E9" s="193" t="s">
        <v>204</v>
      </c>
      <c r="F9" s="182">
        <f>G9</f>
        <v>35000</v>
      </c>
      <c r="G9" s="183">
        <v>35000</v>
      </c>
      <c r="H9" s="183"/>
      <c r="I9" s="184"/>
      <c r="J9" s="185"/>
      <c r="K9" s="186"/>
      <c r="L9" s="194"/>
      <c r="M9" s="188"/>
    </row>
    <row r="10" spans="1:13" s="189" customFormat="1" ht="45" customHeight="1" thickBot="1">
      <c r="A10" s="394" t="s">
        <v>10</v>
      </c>
      <c r="B10" s="340">
        <v>600</v>
      </c>
      <c r="C10" s="340">
        <v>60014</v>
      </c>
      <c r="D10" s="340">
        <v>6050</v>
      </c>
      <c r="E10" s="349" t="s">
        <v>342</v>
      </c>
      <c r="F10" s="350">
        <f>SUM(G10:I10)</f>
        <v>200000</v>
      </c>
      <c r="G10" s="351">
        <v>0</v>
      </c>
      <c r="H10" s="351">
        <v>200000</v>
      </c>
      <c r="I10" s="352"/>
      <c r="J10" s="353"/>
      <c r="K10" s="354"/>
      <c r="L10" s="359"/>
      <c r="M10" s="188"/>
    </row>
    <row r="11" spans="1:13" s="201" customFormat="1" ht="91.5" customHeight="1" thickBot="1">
      <c r="A11" s="190" t="s">
        <v>11</v>
      </c>
      <c r="B11" s="191">
        <v>600</v>
      </c>
      <c r="C11" s="191">
        <v>60014</v>
      </c>
      <c r="D11" s="191">
        <v>6610</v>
      </c>
      <c r="E11" s="195" t="s">
        <v>205</v>
      </c>
      <c r="F11" s="196">
        <f>SUM(G11:H11)</f>
        <v>400000</v>
      </c>
      <c r="G11" s="196">
        <v>0</v>
      </c>
      <c r="H11" s="196">
        <f>1500000-1100000</f>
        <v>400000</v>
      </c>
      <c r="I11" s="197"/>
      <c r="J11" s="197"/>
      <c r="K11" s="198"/>
      <c r="L11" s="199" t="s">
        <v>203</v>
      </c>
      <c r="M11" s="200"/>
    </row>
    <row r="12" spans="1:13" s="189" customFormat="1" ht="27.95" customHeight="1" thickBot="1">
      <c r="A12" s="442" t="s">
        <v>206</v>
      </c>
      <c r="B12" s="443"/>
      <c r="C12" s="443"/>
      <c r="D12" s="443"/>
      <c r="E12" s="444"/>
      <c r="F12" s="173">
        <f>SUM(G12:J12)</f>
        <v>970000</v>
      </c>
      <c r="G12" s="173">
        <f>SUM(G13:G18)</f>
        <v>35000</v>
      </c>
      <c r="H12" s="173">
        <f t="shared" ref="H12:J12" si="1">SUM(H13:H18)</f>
        <v>935000</v>
      </c>
      <c r="I12" s="173">
        <f t="shared" si="1"/>
        <v>0</v>
      </c>
      <c r="J12" s="173">
        <f t="shared" si="1"/>
        <v>0</v>
      </c>
      <c r="K12" s="174"/>
      <c r="L12" s="202"/>
      <c r="M12" s="188"/>
    </row>
    <row r="13" spans="1:13" s="189" customFormat="1" ht="44.25" customHeight="1" thickBot="1">
      <c r="A13" s="190" t="s">
        <v>12</v>
      </c>
      <c r="B13" s="191">
        <v>600</v>
      </c>
      <c r="C13" s="191">
        <v>60014</v>
      </c>
      <c r="D13" s="191">
        <v>6050</v>
      </c>
      <c r="E13" s="203" t="s">
        <v>207</v>
      </c>
      <c r="F13" s="196">
        <f>SUM(G13:H13)</f>
        <v>200000</v>
      </c>
      <c r="G13" s="204">
        <v>0</v>
      </c>
      <c r="H13" s="204">
        <v>200000</v>
      </c>
      <c r="I13" s="205"/>
      <c r="J13" s="206"/>
      <c r="K13" s="207"/>
      <c r="L13" s="202"/>
      <c r="M13" s="188"/>
    </row>
    <row r="14" spans="1:13" s="189" customFormat="1" ht="42.75" customHeight="1" thickBot="1">
      <c r="A14" s="190" t="s">
        <v>60</v>
      </c>
      <c r="B14" s="191">
        <v>600</v>
      </c>
      <c r="C14" s="191">
        <v>60014</v>
      </c>
      <c r="D14" s="191">
        <v>6050</v>
      </c>
      <c r="E14" s="193" t="s">
        <v>208</v>
      </c>
      <c r="F14" s="196">
        <f t="shared" ref="F14" si="2">G14</f>
        <v>35000</v>
      </c>
      <c r="G14" s="204">
        <v>35000</v>
      </c>
      <c r="H14" s="204"/>
      <c r="I14" s="208"/>
      <c r="J14" s="209"/>
      <c r="K14" s="210"/>
      <c r="L14" s="202"/>
      <c r="M14" s="188"/>
    </row>
    <row r="15" spans="1:13" s="189" customFormat="1" ht="51.75" customHeight="1" thickBot="1">
      <c r="A15" s="190" t="s">
        <v>59</v>
      </c>
      <c r="B15" s="191">
        <v>600</v>
      </c>
      <c r="C15" s="191">
        <v>60014</v>
      </c>
      <c r="D15" s="191">
        <v>6050</v>
      </c>
      <c r="E15" s="193" t="s">
        <v>209</v>
      </c>
      <c r="F15" s="196">
        <f>SUM(G15:H15)</f>
        <v>250000</v>
      </c>
      <c r="G15" s="204">
        <v>0</v>
      </c>
      <c r="H15" s="204">
        <v>250000</v>
      </c>
      <c r="I15" s="208"/>
      <c r="J15" s="209"/>
      <c r="K15" s="210"/>
      <c r="L15" s="202"/>
      <c r="M15" s="188"/>
    </row>
    <row r="16" spans="1:13" s="189" customFormat="1" ht="44.25" customHeight="1" thickBot="1">
      <c r="A16" s="190" t="s">
        <v>172</v>
      </c>
      <c r="B16" s="191">
        <v>600</v>
      </c>
      <c r="C16" s="191">
        <v>60014</v>
      </c>
      <c r="D16" s="191">
        <v>6050</v>
      </c>
      <c r="E16" s="193" t="s">
        <v>210</v>
      </c>
      <c r="F16" s="196">
        <f>SUM(G16:H16)</f>
        <v>250000</v>
      </c>
      <c r="G16" s="204">
        <v>0</v>
      </c>
      <c r="H16" s="204">
        <v>250000</v>
      </c>
      <c r="I16" s="208"/>
      <c r="J16" s="209"/>
      <c r="K16" s="210"/>
      <c r="L16" s="202"/>
      <c r="M16" s="188"/>
    </row>
    <row r="17" spans="1:14" s="189" customFormat="1" ht="44.25" customHeight="1" thickBot="1">
      <c r="A17" s="348" t="s">
        <v>174</v>
      </c>
      <c r="B17" s="340">
        <v>600</v>
      </c>
      <c r="C17" s="340">
        <v>60014</v>
      </c>
      <c r="D17" s="340">
        <v>6050</v>
      </c>
      <c r="E17" s="361" t="s">
        <v>345</v>
      </c>
      <c r="F17" s="357">
        <f>SUM(G17:I17)</f>
        <v>200000</v>
      </c>
      <c r="G17" s="351">
        <v>0</v>
      </c>
      <c r="H17" s="351">
        <v>200000</v>
      </c>
      <c r="I17" s="352"/>
      <c r="J17" s="353"/>
      <c r="K17" s="354"/>
      <c r="L17" s="359"/>
      <c r="M17" s="188"/>
    </row>
    <row r="18" spans="1:14" s="189" customFormat="1" ht="44.25" customHeight="1" thickBot="1">
      <c r="A18" s="348" t="s">
        <v>199</v>
      </c>
      <c r="B18" s="340">
        <v>600</v>
      </c>
      <c r="C18" s="340">
        <v>60014</v>
      </c>
      <c r="D18" s="340">
        <v>6050</v>
      </c>
      <c r="E18" s="362" t="s">
        <v>346</v>
      </c>
      <c r="F18" s="357">
        <f>SUM(G18:I18)</f>
        <v>35000</v>
      </c>
      <c r="G18" s="351">
        <v>0</v>
      </c>
      <c r="H18" s="351">
        <v>35000</v>
      </c>
      <c r="I18" s="352"/>
      <c r="J18" s="353"/>
      <c r="K18" s="354"/>
      <c r="L18" s="359"/>
      <c r="M18" s="188"/>
    </row>
    <row r="19" spans="1:14" s="215" customFormat="1" ht="27.95" customHeight="1" thickBot="1">
      <c r="A19" s="428" t="s">
        <v>211</v>
      </c>
      <c r="B19" s="428"/>
      <c r="C19" s="428"/>
      <c r="D19" s="428"/>
      <c r="E19" s="428"/>
      <c r="F19" s="172">
        <f>SUM(G19:J19)</f>
        <v>3040000</v>
      </c>
      <c r="G19" s="172">
        <f>SUM(G20:G27)</f>
        <v>395000</v>
      </c>
      <c r="H19" s="172">
        <f t="shared" ref="H19:I19" si="3">SUM(H20:H27)</f>
        <v>1056000</v>
      </c>
      <c r="I19" s="172">
        <f t="shared" si="3"/>
        <v>0</v>
      </c>
      <c r="J19" s="172">
        <f>1000000+489000+100000</f>
        <v>1589000</v>
      </c>
      <c r="K19" s="212"/>
      <c r="L19" s="213"/>
      <c r="M19" s="214"/>
    </row>
    <row r="20" spans="1:14" s="218" customFormat="1" ht="39" customHeight="1" thickBot="1">
      <c r="A20" s="190" t="s">
        <v>200</v>
      </c>
      <c r="B20" s="191">
        <v>600</v>
      </c>
      <c r="C20" s="191">
        <v>60014</v>
      </c>
      <c r="D20" s="191">
        <v>6050</v>
      </c>
      <c r="E20" s="216" t="s">
        <v>212</v>
      </c>
      <c r="F20" s="196">
        <f>SUM(G20:H20)</f>
        <v>100000</v>
      </c>
      <c r="G20" s="204">
        <v>0</v>
      </c>
      <c r="H20" s="204">
        <v>100000</v>
      </c>
      <c r="I20" s="197"/>
      <c r="J20" s="209"/>
      <c r="K20" s="198"/>
      <c r="L20" s="187" t="s">
        <v>203</v>
      </c>
      <c r="M20" s="217"/>
    </row>
    <row r="21" spans="1:14" s="218" customFormat="1" ht="46.5" customHeight="1" thickBot="1">
      <c r="A21" s="190" t="s">
        <v>216</v>
      </c>
      <c r="B21" s="191">
        <v>600</v>
      </c>
      <c r="C21" s="191">
        <v>60014</v>
      </c>
      <c r="D21" s="191">
        <v>6050</v>
      </c>
      <c r="E21" s="193" t="s">
        <v>213</v>
      </c>
      <c r="F21" s="196">
        <f>SUM(G21:H21)</f>
        <v>600000</v>
      </c>
      <c r="G21" s="204">
        <v>144000</v>
      </c>
      <c r="H21" s="204">
        <v>456000</v>
      </c>
      <c r="I21" s="197"/>
      <c r="J21" s="219"/>
      <c r="K21" s="198"/>
      <c r="L21" s="202"/>
      <c r="M21" s="217"/>
    </row>
    <row r="22" spans="1:14" s="256" customFormat="1" ht="45.75" customHeight="1" thickBot="1">
      <c r="A22" s="339" t="s">
        <v>217</v>
      </c>
      <c r="B22" s="340">
        <v>600</v>
      </c>
      <c r="C22" s="340">
        <v>60014</v>
      </c>
      <c r="D22" s="340">
        <v>6050</v>
      </c>
      <c r="E22" s="341" t="s">
        <v>214</v>
      </c>
      <c r="F22" s="342">
        <f>SUM(G22:H22)</f>
        <v>0</v>
      </c>
      <c r="G22" s="343">
        <v>0</v>
      </c>
      <c r="H22" s="343">
        <v>0</v>
      </c>
      <c r="I22" s="344"/>
      <c r="J22" s="345"/>
      <c r="K22" s="346"/>
      <c r="L22" s="373" t="s">
        <v>203</v>
      </c>
      <c r="M22" s="255"/>
    </row>
    <row r="23" spans="1:14" s="218" customFormat="1" ht="45.75" customHeight="1" thickBot="1">
      <c r="A23" s="339" t="s">
        <v>220</v>
      </c>
      <c r="B23" s="340">
        <v>600</v>
      </c>
      <c r="C23" s="340">
        <v>60014</v>
      </c>
      <c r="D23" s="340">
        <v>6050</v>
      </c>
      <c r="E23" s="341" t="s">
        <v>215</v>
      </c>
      <c r="F23" s="342">
        <f>SUM(G23:H23)+100000</f>
        <v>200000</v>
      </c>
      <c r="G23" s="343">
        <v>100000</v>
      </c>
      <c r="H23" s="343"/>
      <c r="I23" s="344"/>
      <c r="J23" s="355" t="s">
        <v>351</v>
      </c>
      <c r="K23" s="393" t="s">
        <v>415</v>
      </c>
      <c r="L23" s="187" t="s">
        <v>203</v>
      </c>
      <c r="M23" s="217"/>
    </row>
    <row r="24" spans="1:14" s="218" customFormat="1" ht="102.75" customHeight="1" thickBot="1">
      <c r="A24" s="339" t="s">
        <v>223</v>
      </c>
      <c r="B24" s="340">
        <v>600</v>
      </c>
      <c r="C24" s="340">
        <v>60014</v>
      </c>
      <c r="D24" s="340">
        <v>6050</v>
      </c>
      <c r="E24" s="341" t="s">
        <v>432</v>
      </c>
      <c r="F24" s="342">
        <f>SUM(G24:H24)</f>
        <v>500000</v>
      </c>
      <c r="G24" s="343">
        <v>0</v>
      </c>
      <c r="H24" s="343">
        <f>350000+150000</f>
        <v>500000</v>
      </c>
      <c r="I24" s="344"/>
      <c r="J24" s="355"/>
      <c r="K24" s="346"/>
      <c r="L24" s="222"/>
      <c r="M24" s="217"/>
    </row>
    <row r="25" spans="1:14" s="218" customFormat="1" ht="87.75" customHeight="1" thickBot="1">
      <c r="A25" s="190" t="s">
        <v>225</v>
      </c>
      <c r="B25" s="191">
        <v>600</v>
      </c>
      <c r="C25" s="191">
        <v>60014</v>
      </c>
      <c r="D25" s="191">
        <v>6050</v>
      </c>
      <c r="E25" s="193" t="s">
        <v>218</v>
      </c>
      <c r="F25" s="196">
        <f t="shared" ref="F25" si="4">G25</f>
        <v>140000</v>
      </c>
      <c r="G25" s="204">
        <v>140000</v>
      </c>
      <c r="H25" s="204"/>
      <c r="I25" s="197"/>
      <c r="J25" s="220"/>
      <c r="K25" s="198"/>
      <c r="L25" s="222"/>
      <c r="M25" s="217"/>
    </row>
    <row r="26" spans="1:14" s="218" customFormat="1" ht="42.75" customHeight="1" thickBot="1">
      <c r="A26" s="339" t="s">
        <v>227</v>
      </c>
      <c r="B26" s="340">
        <v>600</v>
      </c>
      <c r="C26" s="340">
        <v>60014</v>
      </c>
      <c r="D26" s="340">
        <v>6050</v>
      </c>
      <c r="E26" s="341" t="s">
        <v>334</v>
      </c>
      <c r="F26" s="342">
        <v>1000000</v>
      </c>
      <c r="G26" s="343">
        <v>0</v>
      </c>
      <c r="H26" s="343"/>
      <c r="I26" s="344"/>
      <c r="J26" s="355" t="s">
        <v>433</v>
      </c>
      <c r="K26" s="346"/>
      <c r="L26" s="310"/>
      <c r="M26" s="217"/>
    </row>
    <row r="27" spans="1:14" s="218" customFormat="1" ht="42.75" customHeight="1" thickBot="1">
      <c r="A27" s="348" t="s">
        <v>230</v>
      </c>
      <c r="B27" s="340">
        <v>600</v>
      </c>
      <c r="C27" s="340">
        <v>60014</v>
      </c>
      <c r="D27" s="340">
        <v>6050</v>
      </c>
      <c r="E27" s="349" t="s">
        <v>343</v>
      </c>
      <c r="F27" s="357">
        <f>G27+489000</f>
        <v>500000</v>
      </c>
      <c r="G27" s="351">
        <v>11000</v>
      </c>
      <c r="H27" s="351"/>
      <c r="I27" s="352"/>
      <c r="J27" s="353" t="s">
        <v>344</v>
      </c>
      <c r="K27" s="354"/>
      <c r="L27" s="356"/>
      <c r="M27" s="217"/>
    </row>
    <row r="28" spans="1:14" s="225" customFormat="1" ht="27.95" customHeight="1" thickBot="1">
      <c r="A28" s="428" t="s">
        <v>219</v>
      </c>
      <c r="B28" s="428"/>
      <c r="C28" s="428"/>
      <c r="D28" s="428"/>
      <c r="E28" s="428"/>
      <c r="F28" s="172">
        <f>SUM(G28:J28)</f>
        <v>3383074</v>
      </c>
      <c r="G28" s="172">
        <f>SUM(G29:G37)</f>
        <v>1279768</v>
      </c>
      <c r="H28" s="172">
        <f>SUM(H29:H37)</f>
        <v>235000</v>
      </c>
      <c r="I28" s="172">
        <f t="shared" ref="I28" si="5">SUM(I29:I37)</f>
        <v>0</v>
      </c>
      <c r="J28" s="211">
        <f>339768+1528538</f>
        <v>1868306</v>
      </c>
      <c r="K28" s="174"/>
      <c r="L28" s="223"/>
      <c r="M28" s="224"/>
    </row>
    <row r="29" spans="1:14" s="189" customFormat="1" ht="39.75" customHeight="1" thickBot="1">
      <c r="A29" s="190" t="s">
        <v>232</v>
      </c>
      <c r="B29" s="227">
        <v>600</v>
      </c>
      <c r="C29" s="228">
        <v>60014</v>
      </c>
      <c r="D29" s="228">
        <v>6050</v>
      </c>
      <c r="E29" s="309" t="s">
        <v>221</v>
      </c>
      <c r="F29" s="229">
        <f>G29+339768+1528538</f>
        <v>2208074</v>
      </c>
      <c r="G29" s="204">
        <v>339768</v>
      </c>
      <c r="H29" s="204"/>
      <c r="I29" s="208"/>
      <c r="J29" s="209" t="s">
        <v>222</v>
      </c>
      <c r="K29" s="210"/>
      <c r="L29" s="347" t="s">
        <v>203</v>
      </c>
      <c r="M29" s="188"/>
      <c r="N29" s="226"/>
    </row>
    <row r="30" spans="1:14" s="189" customFormat="1" ht="40.5" customHeight="1" thickBot="1">
      <c r="A30" s="190" t="s">
        <v>234</v>
      </c>
      <c r="B30" s="227">
        <v>600</v>
      </c>
      <c r="C30" s="228">
        <v>60014</v>
      </c>
      <c r="D30" s="228">
        <v>6050</v>
      </c>
      <c r="E30" s="193" t="s">
        <v>224</v>
      </c>
      <c r="F30" s="229">
        <v>150000</v>
      </c>
      <c r="G30" s="204">
        <v>150000</v>
      </c>
      <c r="H30" s="204"/>
      <c r="I30" s="208"/>
      <c r="J30" s="209"/>
      <c r="K30" s="198"/>
      <c r="L30" s="202"/>
      <c r="M30" s="188"/>
    </row>
    <row r="31" spans="1:14" s="232" customFormat="1" ht="30.75" customHeight="1" thickBot="1">
      <c r="A31" s="190" t="s">
        <v>237</v>
      </c>
      <c r="B31" s="227">
        <v>600</v>
      </c>
      <c r="C31" s="230">
        <v>60014</v>
      </c>
      <c r="D31" s="230">
        <v>6050</v>
      </c>
      <c r="E31" s="193" t="s">
        <v>226</v>
      </c>
      <c r="F31" s="229">
        <f t="shared" ref="F31:F35" si="6">G31</f>
        <v>250000</v>
      </c>
      <c r="G31" s="183">
        <v>250000</v>
      </c>
      <c r="H31" s="183"/>
      <c r="I31" s="184"/>
      <c r="J31" s="185"/>
      <c r="K31" s="221"/>
      <c r="L31" s="187" t="s">
        <v>203</v>
      </c>
      <c r="M31" s="231"/>
    </row>
    <row r="32" spans="1:14" s="232" customFormat="1" ht="33.75" customHeight="1" thickBot="1">
      <c r="A32" s="190" t="s">
        <v>240</v>
      </c>
      <c r="B32" s="227">
        <v>600</v>
      </c>
      <c r="C32" s="228">
        <v>60014</v>
      </c>
      <c r="D32" s="228">
        <v>6050</v>
      </c>
      <c r="E32" s="233" t="s">
        <v>228</v>
      </c>
      <c r="F32" s="229">
        <f t="shared" si="6"/>
        <v>150000</v>
      </c>
      <c r="G32" s="204">
        <v>150000</v>
      </c>
      <c r="H32" s="204"/>
      <c r="I32" s="208"/>
      <c r="J32" s="209"/>
      <c r="K32" s="198"/>
      <c r="L32" s="187" t="s">
        <v>229</v>
      </c>
      <c r="M32" s="231"/>
    </row>
    <row r="33" spans="1:13" s="232" customFormat="1" ht="33" customHeight="1" thickBot="1">
      <c r="A33" s="190" t="s">
        <v>242</v>
      </c>
      <c r="B33" s="227">
        <v>600</v>
      </c>
      <c r="C33" s="228">
        <v>60014</v>
      </c>
      <c r="D33" s="228">
        <v>6050</v>
      </c>
      <c r="E33" s="234" t="s">
        <v>231</v>
      </c>
      <c r="F33" s="229">
        <f t="shared" si="6"/>
        <v>100000</v>
      </c>
      <c r="G33" s="204">
        <v>100000</v>
      </c>
      <c r="H33" s="204"/>
      <c r="I33" s="208"/>
      <c r="J33" s="209"/>
      <c r="K33" s="198"/>
      <c r="L33" s="187" t="s">
        <v>203</v>
      </c>
      <c r="M33" s="231"/>
    </row>
    <row r="34" spans="1:13" s="232" customFormat="1" ht="30.75" customHeight="1" thickBot="1">
      <c r="A34" s="190" t="s">
        <v>244</v>
      </c>
      <c r="B34" s="227">
        <v>600</v>
      </c>
      <c r="C34" s="228">
        <v>60014</v>
      </c>
      <c r="D34" s="228">
        <v>6050</v>
      </c>
      <c r="E34" s="234" t="s">
        <v>233</v>
      </c>
      <c r="F34" s="229">
        <f t="shared" si="6"/>
        <v>150000</v>
      </c>
      <c r="G34" s="204">
        <v>150000</v>
      </c>
      <c r="H34" s="204"/>
      <c r="I34" s="208"/>
      <c r="J34" s="209"/>
      <c r="K34" s="198"/>
      <c r="L34" s="202"/>
      <c r="M34" s="231"/>
    </row>
    <row r="35" spans="1:13" s="189" customFormat="1" ht="78" customHeight="1" thickBot="1">
      <c r="A35" s="190" t="s">
        <v>246</v>
      </c>
      <c r="B35" s="227">
        <v>600</v>
      </c>
      <c r="C35" s="228">
        <v>60014</v>
      </c>
      <c r="D35" s="228">
        <v>6050</v>
      </c>
      <c r="E35" s="193" t="s">
        <v>235</v>
      </c>
      <c r="F35" s="229">
        <f t="shared" si="6"/>
        <v>140000</v>
      </c>
      <c r="G35" s="204">
        <v>140000</v>
      </c>
      <c r="H35" s="204"/>
      <c r="I35" s="208"/>
      <c r="J35" s="209"/>
      <c r="K35" s="198"/>
      <c r="L35" s="202"/>
      <c r="M35" s="188"/>
    </row>
    <row r="36" spans="1:13" s="189" customFormat="1" ht="37.5" customHeight="1" thickBot="1">
      <c r="A36" s="348" t="s">
        <v>248</v>
      </c>
      <c r="B36" s="363">
        <v>600</v>
      </c>
      <c r="C36" s="364">
        <v>60014</v>
      </c>
      <c r="D36" s="364">
        <v>6050</v>
      </c>
      <c r="E36" s="349" t="s">
        <v>416</v>
      </c>
      <c r="F36" s="365">
        <f>SUM(G36:I36)</f>
        <v>200000</v>
      </c>
      <c r="G36" s="351">
        <v>0</v>
      </c>
      <c r="H36" s="351">
        <v>200000</v>
      </c>
      <c r="I36" s="352"/>
      <c r="J36" s="353"/>
      <c r="K36" s="358"/>
      <c r="L36" s="359"/>
      <c r="M36" s="188"/>
    </row>
    <row r="37" spans="1:13" s="189" customFormat="1" ht="42" customHeight="1" thickBot="1">
      <c r="A37" s="348" t="s">
        <v>251</v>
      </c>
      <c r="B37" s="363">
        <v>600</v>
      </c>
      <c r="C37" s="364">
        <v>60014</v>
      </c>
      <c r="D37" s="364">
        <v>6050</v>
      </c>
      <c r="E37" s="349" t="s">
        <v>417</v>
      </c>
      <c r="F37" s="365">
        <f>SUM(G37:I37)</f>
        <v>35000</v>
      </c>
      <c r="G37" s="351">
        <v>0</v>
      </c>
      <c r="H37" s="351">
        <v>35000</v>
      </c>
      <c r="I37" s="352"/>
      <c r="J37" s="353"/>
      <c r="K37" s="358"/>
      <c r="L37" s="359"/>
      <c r="M37" s="188"/>
    </row>
    <row r="38" spans="1:13" s="237" customFormat="1" ht="27.95" customHeight="1" thickBot="1">
      <c r="A38" s="428" t="s">
        <v>236</v>
      </c>
      <c r="B38" s="428"/>
      <c r="C38" s="428"/>
      <c r="D38" s="428"/>
      <c r="E38" s="428"/>
      <c r="F38" s="172">
        <f>SUM(G38:J38)</f>
        <v>1170000</v>
      </c>
      <c r="G38" s="172">
        <f>SUM(G39:G45)</f>
        <v>830000</v>
      </c>
      <c r="H38" s="172">
        <f t="shared" ref="H38:I38" si="7">SUM(H39:H45)</f>
        <v>200000</v>
      </c>
      <c r="I38" s="172">
        <f t="shared" si="7"/>
        <v>0</v>
      </c>
      <c r="J38" s="211">
        <v>140000</v>
      </c>
      <c r="K38" s="235"/>
      <c r="L38" s="202"/>
      <c r="M38" s="236"/>
    </row>
    <row r="39" spans="1:13" s="218" customFormat="1" ht="30" customHeight="1" thickBot="1">
      <c r="A39" s="190" t="s">
        <v>253</v>
      </c>
      <c r="B39" s="190">
        <v>600</v>
      </c>
      <c r="C39" s="190">
        <v>60014</v>
      </c>
      <c r="D39" s="190">
        <v>6050</v>
      </c>
      <c r="E39" s="195" t="s">
        <v>238</v>
      </c>
      <c r="F39" s="196">
        <f>G39+140000</f>
        <v>200000</v>
      </c>
      <c r="G39" s="204">
        <v>60000</v>
      </c>
      <c r="H39" s="204"/>
      <c r="I39" s="208"/>
      <c r="J39" s="209" t="s">
        <v>239</v>
      </c>
      <c r="K39" s="198"/>
      <c r="L39" s="187" t="s">
        <v>203</v>
      </c>
      <c r="M39" s="217"/>
    </row>
    <row r="40" spans="1:13" s="201" customFormat="1" ht="30" customHeight="1" thickBot="1">
      <c r="A40" s="190" t="s">
        <v>256</v>
      </c>
      <c r="B40" s="190">
        <v>600</v>
      </c>
      <c r="C40" s="190">
        <v>60014</v>
      </c>
      <c r="D40" s="190">
        <v>6050</v>
      </c>
      <c r="E40" s="195" t="s">
        <v>241</v>
      </c>
      <c r="F40" s="196">
        <f>G40</f>
        <v>300000</v>
      </c>
      <c r="G40" s="204">
        <v>300000</v>
      </c>
      <c r="H40" s="204"/>
      <c r="I40" s="208"/>
      <c r="J40" s="209"/>
      <c r="K40" s="198"/>
      <c r="L40" s="187" t="s">
        <v>203</v>
      </c>
      <c r="M40" s="200"/>
    </row>
    <row r="41" spans="1:13" s="218" customFormat="1" ht="30" customHeight="1" thickBot="1">
      <c r="A41" s="190" t="s">
        <v>260</v>
      </c>
      <c r="B41" s="190">
        <v>600</v>
      </c>
      <c r="C41" s="190">
        <v>60014</v>
      </c>
      <c r="D41" s="190">
        <v>6050</v>
      </c>
      <c r="E41" s="195" t="s">
        <v>243</v>
      </c>
      <c r="F41" s="196">
        <f>G41</f>
        <v>300000</v>
      </c>
      <c r="G41" s="204">
        <v>300000</v>
      </c>
      <c r="H41" s="204"/>
      <c r="I41" s="208"/>
      <c r="J41" s="209"/>
      <c r="K41" s="198"/>
      <c r="L41" s="187" t="s">
        <v>203</v>
      </c>
      <c r="M41" s="217"/>
    </row>
    <row r="42" spans="1:13" s="218" customFormat="1" ht="30" customHeight="1" thickBot="1">
      <c r="A42" s="190" t="s">
        <v>262</v>
      </c>
      <c r="B42" s="190">
        <v>600</v>
      </c>
      <c r="C42" s="190">
        <v>60014</v>
      </c>
      <c r="D42" s="190">
        <v>6050</v>
      </c>
      <c r="E42" s="238" t="s">
        <v>245</v>
      </c>
      <c r="F42" s="196">
        <f t="shared" ref="F42:F43" si="8">G42</f>
        <v>50000</v>
      </c>
      <c r="G42" s="204">
        <v>50000</v>
      </c>
      <c r="H42" s="204"/>
      <c r="I42" s="208"/>
      <c r="J42" s="209"/>
      <c r="K42" s="198"/>
      <c r="L42" s="202"/>
      <c r="M42" s="217"/>
    </row>
    <row r="43" spans="1:13" s="218" customFormat="1" ht="30" customHeight="1" thickBot="1">
      <c r="A43" s="190" t="s">
        <v>264</v>
      </c>
      <c r="B43" s="190">
        <v>600</v>
      </c>
      <c r="C43" s="190">
        <v>60014</v>
      </c>
      <c r="D43" s="190">
        <v>6050</v>
      </c>
      <c r="E43" s="238" t="s">
        <v>247</v>
      </c>
      <c r="F43" s="196">
        <f t="shared" si="8"/>
        <v>50000</v>
      </c>
      <c r="G43" s="204">
        <v>50000</v>
      </c>
      <c r="H43" s="204"/>
      <c r="I43" s="208"/>
      <c r="J43" s="209"/>
      <c r="K43" s="198"/>
      <c r="L43" s="202"/>
      <c r="M43" s="217"/>
    </row>
    <row r="44" spans="1:13" s="218" customFormat="1" ht="65.25" customHeight="1" thickBot="1">
      <c r="A44" s="190" t="s">
        <v>267</v>
      </c>
      <c r="B44" s="190">
        <v>600</v>
      </c>
      <c r="C44" s="190">
        <v>60014</v>
      </c>
      <c r="D44" s="190">
        <v>6050</v>
      </c>
      <c r="E44" s="239" t="s">
        <v>249</v>
      </c>
      <c r="F44" s="196">
        <f>G44</f>
        <v>70000</v>
      </c>
      <c r="G44" s="204">
        <v>70000</v>
      </c>
      <c r="H44" s="204"/>
      <c r="I44" s="208"/>
      <c r="J44" s="209"/>
      <c r="K44" s="198"/>
      <c r="L44" s="202"/>
      <c r="M44" s="217"/>
    </row>
    <row r="45" spans="1:13" s="218" customFormat="1" ht="36.75" customHeight="1" thickBot="1">
      <c r="A45" s="348" t="s">
        <v>270</v>
      </c>
      <c r="B45" s="339">
        <v>600</v>
      </c>
      <c r="C45" s="339">
        <v>60014</v>
      </c>
      <c r="D45" s="339">
        <v>6050</v>
      </c>
      <c r="E45" s="371" t="s">
        <v>348</v>
      </c>
      <c r="F45" s="357">
        <f>SUM(G45:I45)</f>
        <v>200000</v>
      </c>
      <c r="G45" s="351">
        <v>0</v>
      </c>
      <c r="H45" s="351">
        <v>200000</v>
      </c>
      <c r="I45" s="352"/>
      <c r="J45" s="353"/>
      <c r="K45" s="358"/>
      <c r="L45" s="359"/>
      <c r="M45" s="217"/>
    </row>
    <row r="46" spans="1:13" s="201" customFormat="1" ht="27.95" customHeight="1" thickBot="1">
      <c r="A46" s="428" t="s">
        <v>250</v>
      </c>
      <c r="B46" s="428"/>
      <c r="C46" s="428"/>
      <c r="D46" s="428"/>
      <c r="E46" s="428"/>
      <c r="F46" s="211">
        <f>SUM(G46:J46)</f>
        <v>810000</v>
      </c>
      <c r="G46" s="211">
        <f>SUM(G47:G50)</f>
        <v>0</v>
      </c>
      <c r="H46" s="173">
        <f t="shared" ref="H46:I46" si="9">SUM(H47:H50)</f>
        <v>200000</v>
      </c>
      <c r="I46" s="240">
        <f t="shared" si="9"/>
        <v>0</v>
      </c>
      <c r="J46" s="211">
        <f>560000+50000</f>
        <v>610000</v>
      </c>
      <c r="K46" s="235"/>
      <c r="L46" s="202"/>
      <c r="M46" s="200"/>
    </row>
    <row r="47" spans="1:13" s="201" customFormat="1" ht="34.5" customHeight="1" thickBot="1">
      <c r="A47" s="339" t="s">
        <v>272</v>
      </c>
      <c r="B47" s="339">
        <v>600</v>
      </c>
      <c r="C47" s="339">
        <v>60014</v>
      </c>
      <c r="D47" s="339">
        <v>6050</v>
      </c>
      <c r="E47" s="369" t="s">
        <v>252</v>
      </c>
      <c r="F47" s="342">
        <f>250000+50000</f>
        <v>300000</v>
      </c>
      <c r="G47" s="343">
        <v>0</v>
      </c>
      <c r="H47" s="343"/>
      <c r="I47" s="370"/>
      <c r="J47" s="355" t="s">
        <v>349</v>
      </c>
      <c r="K47" s="346"/>
      <c r="L47" s="187" t="s">
        <v>203</v>
      </c>
      <c r="M47" s="200"/>
    </row>
    <row r="48" spans="1:13" s="201" customFormat="1" ht="38.25" customHeight="1" thickBot="1">
      <c r="A48" s="190" t="s">
        <v>275</v>
      </c>
      <c r="B48" s="190">
        <v>600</v>
      </c>
      <c r="C48" s="190">
        <v>60014</v>
      </c>
      <c r="D48" s="190">
        <v>6050</v>
      </c>
      <c r="E48" s="216" t="s">
        <v>254</v>
      </c>
      <c r="F48" s="196">
        <v>50000</v>
      </c>
      <c r="G48" s="204">
        <v>0</v>
      </c>
      <c r="H48" s="204"/>
      <c r="I48" s="208"/>
      <c r="J48" s="209" t="s">
        <v>255</v>
      </c>
      <c r="K48" s="198"/>
      <c r="L48" s="202"/>
      <c r="M48" s="200"/>
    </row>
    <row r="49" spans="1:13" s="201" customFormat="1" ht="34.5" customHeight="1" thickBot="1">
      <c r="A49" s="190" t="s">
        <v>276</v>
      </c>
      <c r="B49" s="190">
        <v>600</v>
      </c>
      <c r="C49" s="241">
        <v>60014</v>
      </c>
      <c r="D49" s="241">
        <v>6050</v>
      </c>
      <c r="E49" s="242" t="s">
        <v>257</v>
      </c>
      <c r="F49" s="243">
        <v>260000</v>
      </c>
      <c r="G49" s="183">
        <v>0</v>
      </c>
      <c r="H49" s="183"/>
      <c r="I49" s="184"/>
      <c r="J49" s="185" t="s">
        <v>258</v>
      </c>
      <c r="K49" s="221"/>
      <c r="L49" s="187" t="s">
        <v>203</v>
      </c>
      <c r="M49" s="200"/>
    </row>
    <row r="50" spans="1:13" s="416" customFormat="1" ht="34.5" customHeight="1" thickBot="1">
      <c r="A50" s="348" t="s">
        <v>278</v>
      </c>
      <c r="B50" s="339">
        <v>600</v>
      </c>
      <c r="C50" s="339">
        <v>60014</v>
      </c>
      <c r="D50" s="339">
        <v>6050</v>
      </c>
      <c r="E50" s="372" t="s">
        <v>350</v>
      </c>
      <c r="F50" s="342">
        <f>SUM(G50:I50)</f>
        <v>200000</v>
      </c>
      <c r="G50" s="351">
        <v>0</v>
      </c>
      <c r="H50" s="351">
        <v>200000</v>
      </c>
      <c r="I50" s="352"/>
      <c r="J50" s="353"/>
      <c r="K50" s="358"/>
      <c r="L50" s="373" t="s">
        <v>203</v>
      </c>
      <c r="M50" s="415"/>
    </row>
    <row r="51" spans="1:13" s="201" customFormat="1" ht="27.95" customHeight="1" thickBot="1">
      <c r="A51" s="428" t="s">
        <v>259</v>
      </c>
      <c r="B51" s="428"/>
      <c r="C51" s="428"/>
      <c r="D51" s="428"/>
      <c r="E51" s="428"/>
      <c r="F51" s="172">
        <f>SUM(G51:J51)</f>
        <v>1070000</v>
      </c>
      <c r="G51" s="172">
        <f>SUM(G52:G55)</f>
        <v>470000</v>
      </c>
      <c r="H51" s="172">
        <f t="shared" ref="H51:I51" si="10">SUM(H52:H55)</f>
        <v>200000</v>
      </c>
      <c r="I51" s="172">
        <f t="shared" si="10"/>
        <v>0</v>
      </c>
      <c r="J51" s="211">
        <v>400000</v>
      </c>
      <c r="K51" s="244"/>
      <c r="L51" s="245"/>
      <c r="M51" s="200"/>
    </row>
    <row r="52" spans="1:13" s="218" customFormat="1" ht="39" customHeight="1" thickBot="1">
      <c r="A52" s="190" t="s">
        <v>280</v>
      </c>
      <c r="B52" s="190">
        <v>600</v>
      </c>
      <c r="C52" s="190">
        <v>60014</v>
      </c>
      <c r="D52" s="190">
        <v>6050</v>
      </c>
      <c r="E52" s="239" t="s">
        <v>261</v>
      </c>
      <c r="F52" s="196">
        <f>G52</f>
        <v>200000</v>
      </c>
      <c r="G52" s="204">
        <v>200000</v>
      </c>
      <c r="H52" s="204"/>
      <c r="I52" s="208"/>
      <c r="J52" s="209"/>
      <c r="K52" s="198"/>
      <c r="L52" s="202"/>
      <c r="M52" s="217"/>
    </row>
    <row r="53" spans="1:13" s="218" customFormat="1" ht="69" customHeight="1" thickBot="1">
      <c r="A53" s="190" t="s">
        <v>283</v>
      </c>
      <c r="B53" s="190">
        <v>600</v>
      </c>
      <c r="C53" s="190">
        <v>60014</v>
      </c>
      <c r="D53" s="190">
        <v>6050</v>
      </c>
      <c r="E53" s="239" t="s">
        <v>263</v>
      </c>
      <c r="F53" s="196">
        <f t="shared" ref="F53" si="11">G53</f>
        <v>70000</v>
      </c>
      <c r="G53" s="204">
        <v>70000</v>
      </c>
      <c r="H53" s="204"/>
      <c r="I53" s="208"/>
      <c r="J53" s="209"/>
      <c r="K53" s="198"/>
      <c r="L53" s="202"/>
      <c r="M53" s="217"/>
    </row>
    <row r="54" spans="1:13" s="218" customFormat="1" ht="36.75" customHeight="1" thickBot="1">
      <c r="A54" s="339" t="s">
        <v>285</v>
      </c>
      <c r="B54" s="339">
        <v>600</v>
      </c>
      <c r="C54" s="339">
        <v>60014</v>
      </c>
      <c r="D54" s="339">
        <v>6050</v>
      </c>
      <c r="E54" s="369" t="s">
        <v>265</v>
      </c>
      <c r="F54" s="342">
        <f>G54+200000</f>
        <v>400000</v>
      </c>
      <c r="G54" s="343">
        <v>200000</v>
      </c>
      <c r="H54" s="343"/>
      <c r="I54" s="370"/>
      <c r="J54" s="355" t="s">
        <v>347</v>
      </c>
      <c r="K54" s="346"/>
      <c r="L54" s="187" t="s">
        <v>203</v>
      </c>
      <c r="M54" s="217"/>
    </row>
    <row r="55" spans="1:13" s="218" customFormat="1" ht="36.75" customHeight="1" thickBot="1">
      <c r="A55" s="348" t="s">
        <v>288</v>
      </c>
      <c r="B55" s="339">
        <v>600</v>
      </c>
      <c r="C55" s="339">
        <v>60014</v>
      </c>
      <c r="D55" s="339">
        <v>6050</v>
      </c>
      <c r="E55" s="372" t="s">
        <v>413</v>
      </c>
      <c r="F55" s="342">
        <f>SUM(G55:I55)+200000</f>
        <v>400000</v>
      </c>
      <c r="G55" s="343">
        <v>0</v>
      </c>
      <c r="H55" s="351">
        <v>200000</v>
      </c>
      <c r="I55" s="352"/>
      <c r="J55" s="355" t="s">
        <v>347</v>
      </c>
      <c r="K55" s="358"/>
      <c r="L55" s="187" t="s">
        <v>203</v>
      </c>
      <c r="M55" s="217"/>
    </row>
    <row r="56" spans="1:13" s="218" customFormat="1" ht="27.95" customHeight="1" thickBot="1">
      <c r="A56" s="428" t="s">
        <v>266</v>
      </c>
      <c r="B56" s="428"/>
      <c r="C56" s="428"/>
      <c r="D56" s="428"/>
      <c r="E56" s="428"/>
      <c r="F56" s="172">
        <f>SUM(G56:J56)</f>
        <v>1343522</v>
      </c>
      <c r="G56" s="172">
        <f>SUM(G57:G62)</f>
        <v>944872</v>
      </c>
      <c r="H56" s="172">
        <f t="shared" ref="H56:I56" si="12">SUM(H57:H62)</f>
        <v>295600</v>
      </c>
      <c r="I56" s="172">
        <f t="shared" si="12"/>
        <v>0</v>
      </c>
      <c r="J56" s="211">
        <v>103050</v>
      </c>
      <c r="K56" s="212"/>
      <c r="L56" s="223"/>
      <c r="M56" s="217"/>
    </row>
    <row r="57" spans="1:13" s="218" customFormat="1" ht="51" customHeight="1" thickBot="1">
      <c r="A57" s="190" t="s">
        <v>290</v>
      </c>
      <c r="B57" s="191">
        <v>600</v>
      </c>
      <c r="C57" s="191">
        <v>60014</v>
      </c>
      <c r="D57" s="191">
        <v>6050</v>
      </c>
      <c r="E57" s="195" t="s">
        <v>268</v>
      </c>
      <c r="F57" s="196">
        <f>G57+103050</f>
        <v>508400</v>
      </c>
      <c r="G57" s="204">
        <f>255350+150000</f>
        <v>405350</v>
      </c>
      <c r="H57" s="246"/>
      <c r="I57" s="197"/>
      <c r="J57" s="209" t="s">
        <v>269</v>
      </c>
      <c r="K57" s="198"/>
      <c r="L57" s="187" t="s">
        <v>203</v>
      </c>
      <c r="M57" s="217"/>
    </row>
    <row r="58" spans="1:13" s="218" customFormat="1" ht="40.5" customHeight="1" thickBot="1">
      <c r="A58" s="339" t="s">
        <v>293</v>
      </c>
      <c r="B58" s="340">
        <v>600</v>
      </c>
      <c r="C58" s="340">
        <v>60014</v>
      </c>
      <c r="D58" s="340">
        <v>6050</v>
      </c>
      <c r="E58" s="366" t="s">
        <v>271</v>
      </c>
      <c r="F58" s="342">
        <f>SUM(G58:I58)</f>
        <v>200000</v>
      </c>
      <c r="G58" s="343">
        <v>100000</v>
      </c>
      <c r="H58" s="343">
        <v>100000</v>
      </c>
      <c r="I58" s="344"/>
      <c r="J58" s="355"/>
      <c r="K58" s="346"/>
      <c r="L58" s="187" t="s">
        <v>203</v>
      </c>
      <c r="M58" s="217"/>
    </row>
    <row r="59" spans="1:13" s="218" customFormat="1" ht="36.75" customHeight="1" thickBot="1">
      <c r="A59" s="339" t="s">
        <v>295</v>
      </c>
      <c r="B59" s="340">
        <v>600</v>
      </c>
      <c r="C59" s="340">
        <v>60014</v>
      </c>
      <c r="D59" s="340">
        <v>6050</v>
      </c>
      <c r="E59" s="366" t="s">
        <v>273</v>
      </c>
      <c r="F59" s="342">
        <f>SUM(G59:I59)</f>
        <v>150000</v>
      </c>
      <c r="G59" s="343">
        <v>100000</v>
      </c>
      <c r="H59" s="343">
        <v>50000</v>
      </c>
      <c r="I59" s="344"/>
      <c r="J59" s="355"/>
      <c r="K59" s="367" t="s">
        <v>274</v>
      </c>
      <c r="L59" s="187" t="s">
        <v>203</v>
      </c>
      <c r="M59" s="217"/>
    </row>
    <row r="60" spans="1:13" s="218" customFormat="1" ht="94.5" customHeight="1" thickBot="1">
      <c r="A60" s="190" t="s">
        <v>298</v>
      </c>
      <c r="B60" s="191">
        <v>600</v>
      </c>
      <c r="C60" s="191">
        <v>60014</v>
      </c>
      <c r="D60" s="191">
        <v>6050</v>
      </c>
      <c r="E60" s="247" t="s">
        <v>414</v>
      </c>
      <c r="F60" s="196">
        <f>G60</f>
        <v>105000</v>
      </c>
      <c r="G60" s="204">
        <v>105000</v>
      </c>
      <c r="H60" s="246"/>
      <c r="I60" s="197"/>
      <c r="J60" s="209"/>
      <c r="K60" s="198"/>
      <c r="L60" s="202"/>
      <c r="M60" s="217"/>
    </row>
    <row r="61" spans="1:13" s="218" customFormat="1" ht="47.25" customHeight="1" thickBot="1">
      <c r="A61" s="190" t="s">
        <v>300</v>
      </c>
      <c r="B61" s="191">
        <v>600</v>
      </c>
      <c r="C61" s="191">
        <v>60014</v>
      </c>
      <c r="D61" s="191">
        <v>6050</v>
      </c>
      <c r="E61" s="248" t="s">
        <v>277</v>
      </c>
      <c r="F61" s="196">
        <f>G61+H61</f>
        <v>80000</v>
      </c>
      <c r="G61" s="204">
        <v>1400</v>
      </c>
      <c r="H61" s="204">
        <v>78600</v>
      </c>
      <c r="I61" s="197"/>
      <c r="J61" s="209"/>
      <c r="K61" s="209"/>
      <c r="L61" s="202"/>
      <c r="M61" s="217"/>
    </row>
    <row r="62" spans="1:13" s="218" customFormat="1" ht="33.75" customHeight="1" thickBot="1">
      <c r="A62" s="339" t="s">
        <v>303</v>
      </c>
      <c r="B62" s="340">
        <v>600</v>
      </c>
      <c r="C62" s="340">
        <v>60014</v>
      </c>
      <c r="D62" s="340">
        <v>6050</v>
      </c>
      <c r="E62" s="368" t="s">
        <v>279</v>
      </c>
      <c r="F62" s="342">
        <f>SUM(G62:I62)</f>
        <v>300122</v>
      </c>
      <c r="G62" s="343">
        <f>394122-150000-11000</f>
        <v>233122</v>
      </c>
      <c r="H62" s="343">
        <v>67000</v>
      </c>
      <c r="I62" s="344"/>
      <c r="J62" s="355"/>
      <c r="K62" s="346"/>
      <c r="L62" s="187" t="s">
        <v>203</v>
      </c>
      <c r="M62" s="217"/>
    </row>
    <row r="63" spans="1:13" s="232" customFormat="1" ht="27.95" customHeight="1" thickBot="1">
      <c r="A63" s="446"/>
      <c r="B63" s="447"/>
      <c r="C63" s="447"/>
      <c r="D63" s="447"/>
      <c r="E63" s="448"/>
      <c r="F63" s="172">
        <f>SUM(G63:J63)</f>
        <v>550000</v>
      </c>
      <c r="G63" s="172">
        <f>SUM(G64:G64)</f>
        <v>250000</v>
      </c>
      <c r="H63" s="172">
        <f>SUM(H64:H64)</f>
        <v>300000</v>
      </c>
      <c r="I63" s="172">
        <f>SUM(I64:I64)</f>
        <v>0</v>
      </c>
      <c r="J63" s="172">
        <f>SUM(J64:J64)</f>
        <v>0</v>
      </c>
      <c r="K63" s="212"/>
      <c r="L63" s="249"/>
      <c r="M63" s="231"/>
    </row>
    <row r="64" spans="1:13" s="201" customFormat="1" ht="30" customHeight="1" thickBot="1">
      <c r="A64" s="339" t="s">
        <v>306</v>
      </c>
      <c r="B64" s="340">
        <v>600</v>
      </c>
      <c r="C64" s="340">
        <v>60014</v>
      </c>
      <c r="D64" s="340">
        <v>6060</v>
      </c>
      <c r="E64" s="369" t="s">
        <v>281</v>
      </c>
      <c r="F64" s="342">
        <f>SUM(G64:H64)</f>
        <v>550000</v>
      </c>
      <c r="G64" s="342">
        <f>250000</f>
        <v>250000</v>
      </c>
      <c r="H64" s="342">
        <v>300000</v>
      </c>
      <c r="I64" s="344"/>
      <c r="J64" s="344"/>
      <c r="K64" s="346"/>
      <c r="L64" s="375"/>
      <c r="M64" s="200"/>
    </row>
    <row r="65" spans="1:15" s="215" customFormat="1" ht="35.1" customHeight="1" thickBot="1">
      <c r="A65" s="445" t="s">
        <v>282</v>
      </c>
      <c r="B65" s="445"/>
      <c r="C65" s="445"/>
      <c r="D65" s="445"/>
      <c r="E65" s="445"/>
      <c r="F65" s="250">
        <f>SUM(F7,F12,F19,F28,F38,F46,F51,F56,F63)</f>
        <v>13451596</v>
      </c>
      <c r="G65" s="250">
        <f>SUM(G7,G12,G19,G28,G38,G46,G51,G56,G63)</f>
        <v>4519640</v>
      </c>
      <c r="H65" s="250">
        <f>SUM(H7,H12,H19,H28,H38,H46,H51,H56,H63)</f>
        <v>4221600</v>
      </c>
      <c r="I65" s="250">
        <f>SUM(I7,I12,I19,I28,I38,I46,I51,I56,I63)</f>
        <v>0</v>
      </c>
      <c r="J65" s="250">
        <f>SUM(J7,J12,J19,J28,J38,J46,J51,J56,J63)</f>
        <v>4710356</v>
      </c>
      <c r="K65" s="251"/>
      <c r="L65" s="252"/>
      <c r="M65" s="214"/>
      <c r="N65" s="253"/>
      <c r="O65" s="253"/>
    </row>
    <row r="66" spans="1:15" s="256" customFormat="1" ht="28.5" customHeight="1" thickBot="1">
      <c r="A66" s="191" t="s">
        <v>308</v>
      </c>
      <c r="B66" s="191">
        <v>710</v>
      </c>
      <c r="C66" s="191">
        <v>71012</v>
      </c>
      <c r="D66" s="191">
        <v>6060</v>
      </c>
      <c r="E66" s="208" t="s">
        <v>284</v>
      </c>
      <c r="F66" s="196">
        <f>G66</f>
        <v>45000</v>
      </c>
      <c r="G66" s="196">
        <v>45000</v>
      </c>
      <c r="H66" s="196"/>
      <c r="I66" s="208"/>
      <c r="J66" s="208"/>
      <c r="K66" s="210"/>
      <c r="L66" s="254"/>
      <c r="M66" s="255"/>
    </row>
    <row r="67" spans="1:15" s="218" customFormat="1" ht="30" customHeight="1" thickBot="1">
      <c r="A67" s="191" t="s">
        <v>311</v>
      </c>
      <c r="B67" s="191">
        <v>710</v>
      </c>
      <c r="C67" s="191">
        <v>71012</v>
      </c>
      <c r="D67" s="191">
        <v>6060</v>
      </c>
      <c r="E67" s="208" t="s">
        <v>286</v>
      </c>
      <c r="F67" s="196">
        <f>G67</f>
        <v>110000</v>
      </c>
      <c r="G67" s="196">
        <v>110000</v>
      </c>
      <c r="H67" s="196"/>
      <c r="I67" s="208"/>
      <c r="J67" s="208"/>
      <c r="K67" s="210"/>
      <c r="L67" s="356"/>
      <c r="M67" s="217"/>
    </row>
    <row r="68" spans="1:15" s="218" customFormat="1" ht="35.1" customHeight="1" thickBot="1">
      <c r="A68" s="445" t="s">
        <v>287</v>
      </c>
      <c r="B68" s="445"/>
      <c r="C68" s="445"/>
      <c r="D68" s="445"/>
      <c r="E68" s="445"/>
      <c r="F68" s="250">
        <f>SUM(F66:F67)</f>
        <v>155000</v>
      </c>
      <c r="G68" s="250">
        <f>SUM(G66:G67)</f>
        <v>155000</v>
      </c>
      <c r="H68" s="250">
        <f>H66</f>
        <v>0</v>
      </c>
      <c r="I68" s="250"/>
      <c r="J68" s="250"/>
      <c r="K68" s="251"/>
      <c r="L68" s="257"/>
      <c r="M68" s="217"/>
    </row>
    <row r="69" spans="1:15" s="218" customFormat="1" ht="45" customHeight="1" thickBot="1">
      <c r="A69" s="340" t="s">
        <v>316</v>
      </c>
      <c r="B69" s="340">
        <v>710</v>
      </c>
      <c r="C69" s="340">
        <v>71095</v>
      </c>
      <c r="D69" s="340">
        <v>6639</v>
      </c>
      <c r="E69" s="369" t="s">
        <v>153</v>
      </c>
      <c r="F69" s="342">
        <f>G69</f>
        <v>89666</v>
      </c>
      <c r="G69" s="342">
        <f>97666-8000</f>
        <v>89666</v>
      </c>
      <c r="H69" s="342"/>
      <c r="I69" s="342"/>
      <c r="J69" s="342"/>
      <c r="K69" s="367"/>
      <c r="L69" s="258" t="s">
        <v>203</v>
      </c>
      <c r="M69" s="217"/>
    </row>
    <row r="70" spans="1:15" s="218" customFormat="1" ht="35.1" customHeight="1" thickBot="1">
      <c r="A70" s="449" t="s">
        <v>289</v>
      </c>
      <c r="B70" s="450"/>
      <c r="C70" s="450"/>
      <c r="D70" s="450"/>
      <c r="E70" s="451"/>
      <c r="F70" s="283">
        <f>SUM(F69)</f>
        <v>89666</v>
      </c>
      <c r="G70" s="413">
        <f>SUM(G69)</f>
        <v>89666</v>
      </c>
      <c r="H70" s="283"/>
      <c r="I70" s="283"/>
      <c r="J70" s="283"/>
      <c r="K70" s="285"/>
      <c r="L70" s="259"/>
      <c r="M70" s="217"/>
    </row>
    <row r="71" spans="1:15" s="218" customFormat="1" ht="37.5" customHeight="1" thickBot="1">
      <c r="A71" s="360" t="s">
        <v>320</v>
      </c>
      <c r="B71" s="360">
        <v>750</v>
      </c>
      <c r="C71" s="360">
        <v>75011</v>
      </c>
      <c r="D71" s="360">
        <v>6050</v>
      </c>
      <c r="E71" s="395" t="s">
        <v>352</v>
      </c>
      <c r="F71" s="357">
        <f>SUM(G71:I71)</f>
        <v>15000</v>
      </c>
      <c r="G71" s="357">
        <v>0</v>
      </c>
      <c r="H71" s="357">
        <v>15000</v>
      </c>
      <c r="I71" s="357"/>
      <c r="J71" s="357"/>
      <c r="K71" s="360"/>
      <c r="L71" s="374"/>
      <c r="M71" s="217"/>
    </row>
    <row r="72" spans="1:15" s="218" customFormat="1" ht="35.1" customHeight="1" thickBot="1">
      <c r="A72" s="449" t="s">
        <v>353</v>
      </c>
      <c r="B72" s="450"/>
      <c r="C72" s="450"/>
      <c r="D72" s="450"/>
      <c r="E72" s="451"/>
      <c r="F72" s="283">
        <f>F71</f>
        <v>15000</v>
      </c>
      <c r="G72" s="283">
        <f>G71</f>
        <v>0</v>
      </c>
      <c r="H72" s="283">
        <f>H71</f>
        <v>15000</v>
      </c>
      <c r="I72" s="283"/>
      <c r="J72" s="283"/>
      <c r="K72" s="285"/>
      <c r="L72" s="259"/>
      <c r="M72" s="217"/>
    </row>
    <row r="73" spans="1:15" s="218" customFormat="1" ht="39" customHeight="1" thickBot="1">
      <c r="A73" s="389" t="s">
        <v>323</v>
      </c>
      <c r="B73" s="389">
        <v>750</v>
      </c>
      <c r="C73" s="389">
        <v>75019</v>
      </c>
      <c r="D73" s="389">
        <v>6050</v>
      </c>
      <c r="E73" s="390" t="s">
        <v>291</v>
      </c>
      <c r="F73" s="412">
        <f>SUM(G73:I73)</f>
        <v>50000</v>
      </c>
      <c r="G73" s="412">
        <v>50000</v>
      </c>
      <c r="H73" s="412">
        <v>0</v>
      </c>
      <c r="I73" s="391"/>
      <c r="J73" s="391"/>
      <c r="K73" s="392"/>
      <c r="L73" s="259"/>
      <c r="M73" s="217"/>
    </row>
    <row r="74" spans="1:15" s="218" customFormat="1" ht="35.1" customHeight="1" thickBot="1">
      <c r="A74" s="452" t="s">
        <v>292</v>
      </c>
      <c r="B74" s="453"/>
      <c r="C74" s="454"/>
      <c r="D74" s="454"/>
      <c r="E74" s="455"/>
      <c r="F74" s="292">
        <f>SUM(F73)</f>
        <v>50000</v>
      </c>
      <c r="G74" s="292">
        <f>SUM(G73)</f>
        <v>50000</v>
      </c>
      <c r="H74" s="292">
        <f>SUM(H73)</f>
        <v>0</v>
      </c>
      <c r="I74" s="292"/>
      <c r="J74" s="292"/>
      <c r="K74" s="388"/>
      <c r="L74" s="396"/>
      <c r="M74" s="217"/>
    </row>
    <row r="75" spans="1:15" s="189" customFormat="1" ht="57.75" customHeight="1" thickBot="1">
      <c r="A75" s="340" t="s">
        <v>325</v>
      </c>
      <c r="B75" s="340">
        <v>750</v>
      </c>
      <c r="C75" s="340">
        <v>75020</v>
      </c>
      <c r="D75" s="340">
        <v>6050</v>
      </c>
      <c r="E75" s="369" t="s">
        <v>294</v>
      </c>
      <c r="F75" s="342">
        <f>SUM(G75:H75)</f>
        <v>1300000</v>
      </c>
      <c r="G75" s="342">
        <v>0</v>
      </c>
      <c r="H75" s="342">
        <f>1000000+300000</f>
        <v>1300000</v>
      </c>
      <c r="I75" s="370"/>
      <c r="J75" s="370"/>
      <c r="K75" s="346"/>
      <c r="L75" s="261" t="s">
        <v>203</v>
      </c>
      <c r="M75" s="188"/>
    </row>
    <row r="76" spans="1:15" s="189" customFormat="1" ht="46.9" customHeight="1" thickBot="1">
      <c r="A76" s="191" t="s">
        <v>328</v>
      </c>
      <c r="B76" s="191">
        <v>750</v>
      </c>
      <c r="C76" s="191">
        <v>75020</v>
      </c>
      <c r="D76" s="191">
        <v>6050</v>
      </c>
      <c r="E76" s="195" t="s">
        <v>296</v>
      </c>
      <c r="F76" s="196">
        <f>SUM(G76:H76)</f>
        <v>820700</v>
      </c>
      <c r="G76" s="196">
        <v>0</v>
      </c>
      <c r="H76" s="196">
        <v>820700</v>
      </c>
      <c r="I76" s="208"/>
      <c r="J76" s="208"/>
      <c r="K76" s="210"/>
      <c r="L76" s="262" t="s">
        <v>203</v>
      </c>
      <c r="M76" s="188"/>
    </row>
    <row r="77" spans="1:15" s="256" customFormat="1" ht="35.25" customHeight="1" thickBot="1">
      <c r="A77" s="445" t="s">
        <v>297</v>
      </c>
      <c r="B77" s="445"/>
      <c r="C77" s="445"/>
      <c r="D77" s="445"/>
      <c r="E77" s="445"/>
      <c r="F77" s="250">
        <f>SUM(F75:F76)</f>
        <v>2120700</v>
      </c>
      <c r="G77" s="250">
        <f>SUM(G75:G76)</f>
        <v>0</v>
      </c>
      <c r="H77" s="250">
        <f>SUM(H75:H76)</f>
        <v>2120700</v>
      </c>
      <c r="I77" s="263"/>
      <c r="J77" s="263"/>
      <c r="K77" s="251"/>
      <c r="L77" s="264"/>
      <c r="M77" s="255"/>
    </row>
    <row r="78" spans="1:15" s="218" customFormat="1" ht="51" customHeight="1" thickBot="1">
      <c r="A78" s="340" t="s">
        <v>336</v>
      </c>
      <c r="B78" s="340">
        <v>750</v>
      </c>
      <c r="C78" s="340">
        <v>75095</v>
      </c>
      <c r="D78" s="340">
        <v>6639</v>
      </c>
      <c r="E78" s="369" t="s">
        <v>436</v>
      </c>
      <c r="F78" s="342">
        <f>G78</f>
        <v>8000</v>
      </c>
      <c r="G78" s="342">
        <v>8000</v>
      </c>
      <c r="H78" s="342"/>
      <c r="I78" s="342"/>
      <c r="J78" s="342"/>
      <c r="K78" s="367"/>
      <c r="L78" s="258" t="s">
        <v>203</v>
      </c>
      <c r="M78" s="217"/>
    </row>
    <row r="79" spans="1:15" s="218" customFormat="1" ht="35.1" customHeight="1" thickBot="1">
      <c r="A79" s="449" t="s">
        <v>434</v>
      </c>
      <c r="B79" s="450"/>
      <c r="C79" s="450"/>
      <c r="D79" s="450"/>
      <c r="E79" s="451"/>
      <c r="F79" s="283">
        <f>SUM(F78)</f>
        <v>8000</v>
      </c>
      <c r="G79" s="283">
        <f>SUM(G78)</f>
        <v>8000</v>
      </c>
      <c r="H79" s="283"/>
      <c r="I79" s="283"/>
      <c r="J79" s="283"/>
      <c r="K79" s="285"/>
      <c r="L79" s="259"/>
      <c r="M79" s="217"/>
    </row>
    <row r="80" spans="1:15" s="218" customFormat="1" ht="45" customHeight="1" thickBot="1">
      <c r="A80" s="191" t="s">
        <v>418</v>
      </c>
      <c r="B80" s="191">
        <v>754</v>
      </c>
      <c r="C80" s="191">
        <v>75404</v>
      </c>
      <c r="D80" s="191">
        <v>6170</v>
      </c>
      <c r="E80" s="208" t="s">
        <v>335</v>
      </c>
      <c r="F80" s="196">
        <f>G80</f>
        <v>131610</v>
      </c>
      <c r="G80" s="196">
        <v>131610</v>
      </c>
      <c r="H80" s="196"/>
      <c r="I80" s="208"/>
      <c r="J80" s="208"/>
      <c r="K80" s="210"/>
      <c r="L80" s="311"/>
      <c r="M80" s="217"/>
    </row>
    <row r="81" spans="1:14" s="256" customFormat="1" ht="35.25" customHeight="1" thickBot="1">
      <c r="A81" s="456" t="s">
        <v>299</v>
      </c>
      <c r="B81" s="457"/>
      <c r="C81" s="457"/>
      <c r="D81" s="457"/>
      <c r="E81" s="458"/>
      <c r="F81" s="250">
        <f>F80</f>
        <v>131610</v>
      </c>
      <c r="G81" s="250">
        <f>G80</f>
        <v>131610</v>
      </c>
      <c r="H81" s="250"/>
      <c r="I81" s="263"/>
      <c r="J81" s="263"/>
      <c r="K81" s="251"/>
      <c r="L81" s="264"/>
      <c r="M81" s="255"/>
    </row>
    <row r="82" spans="1:14" s="218" customFormat="1" ht="35.1" customHeight="1" thickBot="1">
      <c r="A82" s="191" t="s">
        <v>419</v>
      </c>
      <c r="B82" s="191">
        <v>754</v>
      </c>
      <c r="C82" s="191">
        <v>75410</v>
      </c>
      <c r="D82" s="191">
        <v>6170</v>
      </c>
      <c r="E82" s="195" t="s">
        <v>301</v>
      </c>
      <c r="F82" s="196">
        <f>G82</f>
        <v>30000</v>
      </c>
      <c r="G82" s="196">
        <v>30000</v>
      </c>
      <c r="H82" s="196"/>
      <c r="I82" s="208"/>
      <c r="J82" s="209"/>
      <c r="K82" s="210"/>
      <c r="L82" s="265"/>
      <c r="M82" s="217"/>
    </row>
    <row r="83" spans="1:14" s="256" customFormat="1" ht="35.1" customHeight="1" thickBot="1">
      <c r="A83" s="456" t="s">
        <v>302</v>
      </c>
      <c r="B83" s="457"/>
      <c r="C83" s="457"/>
      <c r="D83" s="457"/>
      <c r="E83" s="458"/>
      <c r="F83" s="250">
        <f>SUM(F82:F82)</f>
        <v>30000</v>
      </c>
      <c r="G83" s="250">
        <f>SUM(G82:G82)</f>
        <v>30000</v>
      </c>
      <c r="H83" s="250"/>
      <c r="I83" s="263"/>
      <c r="J83" s="250"/>
      <c r="K83" s="251"/>
      <c r="L83" s="264"/>
      <c r="M83" s="255"/>
    </row>
    <row r="84" spans="1:14" s="267" customFormat="1" ht="34.5" customHeight="1" thickBot="1">
      <c r="A84" s="340" t="s">
        <v>420</v>
      </c>
      <c r="B84" s="340">
        <v>758</v>
      </c>
      <c r="C84" s="340">
        <v>75818</v>
      </c>
      <c r="D84" s="340">
        <v>6800</v>
      </c>
      <c r="E84" s="369" t="s">
        <v>304</v>
      </c>
      <c r="F84" s="342">
        <f>G84</f>
        <v>1083160</v>
      </c>
      <c r="G84" s="342">
        <f>500000+820000+1493770-110000-131610-1000000-489000</f>
        <v>1083160</v>
      </c>
      <c r="H84" s="342"/>
      <c r="I84" s="370"/>
      <c r="J84" s="370"/>
      <c r="K84" s="367"/>
      <c r="L84" s="376"/>
      <c r="M84" s="266"/>
    </row>
    <row r="85" spans="1:14" s="218" customFormat="1" ht="35.1" customHeight="1" thickBot="1">
      <c r="A85" s="445" t="s">
        <v>305</v>
      </c>
      <c r="B85" s="445"/>
      <c r="C85" s="445"/>
      <c r="D85" s="445"/>
      <c r="E85" s="445"/>
      <c r="F85" s="250">
        <f>SUM(F84)</f>
        <v>1083160</v>
      </c>
      <c r="G85" s="250">
        <f>SUM(G84)</f>
        <v>1083160</v>
      </c>
      <c r="H85" s="250">
        <f>SUM(H84)</f>
        <v>0</v>
      </c>
      <c r="I85" s="263"/>
      <c r="J85" s="263"/>
      <c r="K85" s="251"/>
      <c r="L85" s="268"/>
      <c r="M85" s="217"/>
    </row>
    <row r="86" spans="1:14" s="189" customFormat="1" ht="37.5" customHeight="1" thickBot="1">
      <c r="A86" s="190" t="s">
        <v>421</v>
      </c>
      <c r="B86" s="191">
        <v>801</v>
      </c>
      <c r="C86" s="191">
        <v>80120</v>
      </c>
      <c r="D86" s="191">
        <v>6580</v>
      </c>
      <c r="E86" s="208" t="s">
        <v>307</v>
      </c>
      <c r="F86" s="196">
        <f>SUM(G86:H86)</f>
        <v>1000000</v>
      </c>
      <c r="G86" s="196">
        <v>0</v>
      </c>
      <c r="H86" s="196">
        <v>1000000</v>
      </c>
      <c r="I86" s="208"/>
      <c r="J86" s="209"/>
      <c r="K86" s="210"/>
      <c r="L86" s="262" t="s">
        <v>203</v>
      </c>
      <c r="M86" s="188"/>
    </row>
    <row r="87" spans="1:14" s="189" customFormat="1" ht="37.5" customHeight="1" thickBot="1">
      <c r="A87" s="190" t="s">
        <v>422</v>
      </c>
      <c r="B87" s="191">
        <v>801</v>
      </c>
      <c r="C87" s="191">
        <v>80120</v>
      </c>
      <c r="D87" s="191">
        <v>6580</v>
      </c>
      <c r="E87" s="208" t="s">
        <v>309</v>
      </c>
      <c r="F87" s="196">
        <v>187700</v>
      </c>
      <c r="G87" s="196">
        <v>0</v>
      </c>
      <c r="H87" s="196">
        <v>187700</v>
      </c>
      <c r="I87" s="208"/>
      <c r="J87" s="209"/>
      <c r="K87" s="210"/>
      <c r="L87" s="262" t="s">
        <v>203</v>
      </c>
      <c r="M87" s="188"/>
    </row>
    <row r="88" spans="1:14" s="270" customFormat="1" ht="35.1" customHeight="1" thickBot="1">
      <c r="A88" s="445" t="s">
        <v>310</v>
      </c>
      <c r="B88" s="445"/>
      <c r="C88" s="445"/>
      <c r="D88" s="445"/>
      <c r="E88" s="445"/>
      <c r="F88" s="250">
        <f>SUM(F86:F87)</f>
        <v>1187700</v>
      </c>
      <c r="G88" s="250">
        <f>SUM(G86:G87)</f>
        <v>0</v>
      </c>
      <c r="H88" s="250">
        <f>SUM(H86:H87)</f>
        <v>1187700</v>
      </c>
      <c r="I88" s="263"/>
      <c r="J88" s="250"/>
      <c r="K88" s="251"/>
      <c r="L88" s="265"/>
      <c r="M88" s="269"/>
    </row>
    <row r="89" spans="1:14" s="189" customFormat="1" ht="41.25" customHeight="1" thickBot="1">
      <c r="A89" s="271" t="s">
        <v>423</v>
      </c>
      <c r="B89" s="191">
        <v>851</v>
      </c>
      <c r="C89" s="191">
        <v>85111</v>
      </c>
      <c r="D89" s="191">
        <v>6010</v>
      </c>
      <c r="E89" s="208" t="s">
        <v>312</v>
      </c>
      <c r="F89" s="196">
        <f>SUM(G89:H89)</f>
        <v>2500000</v>
      </c>
      <c r="G89" s="196">
        <v>0</v>
      </c>
      <c r="H89" s="196">
        <v>2500000</v>
      </c>
      <c r="I89" s="197"/>
      <c r="J89" s="197"/>
      <c r="K89" s="198"/>
      <c r="L89" s="272"/>
      <c r="M89" s="188"/>
    </row>
    <row r="90" spans="1:14" s="270" customFormat="1" ht="35.1" customHeight="1" thickBot="1">
      <c r="A90" s="445" t="s">
        <v>313</v>
      </c>
      <c r="B90" s="445"/>
      <c r="C90" s="445"/>
      <c r="D90" s="445"/>
      <c r="E90" s="445"/>
      <c r="F90" s="250">
        <f>SUM(F89:F89)</f>
        <v>2500000</v>
      </c>
      <c r="G90" s="250">
        <f>SUM(G89:G89)</f>
        <v>0</v>
      </c>
      <c r="H90" s="250">
        <f>SUM(H89:H89)</f>
        <v>2500000</v>
      </c>
      <c r="I90" s="250">
        <f>SUM(I89:I89)</f>
        <v>0</v>
      </c>
      <c r="J90" s="250"/>
      <c r="K90" s="250"/>
      <c r="L90" s="265"/>
      <c r="M90" s="269"/>
      <c r="N90" s="273"/>
    </row>
    <row r="91" spans="1:14" s="276" customFormat="1" ht="42" hidden="1" customHeight="1">
      <c r="A91" s="191"/>
      <c r="B91" s="191">
        <v>851</v>
      </c>
      <c r="C91" s="191">
        <v>85149</v>
      </c>
      <c r="D91" s="191">
        <v>6230</v>
      </c>
      <c r="E91" s="195" t="s">
        <v>314</v>
      </c>
      <c r="F91" s="274">
        <f>G91</f>
        <v>0</v>
      </c>
      <c r="G91" s="274">
        <v>0</v>
      </c>
      <c r="H91" s="196"/>
      <c r="I91" s="208"/>
      <c r="J91" s="208"/>
      <c r="K91" s="210"/>
      <c r="L91" s="265"/>
      <c r="M91" s="275"/>
    </row>
    <row r="92" spans="1:14" s="270" customFormat="1" ht="42" hidden="1" customHeight="1">
      <c r="A92" s="445" t="s">
        <v>315</v>
      </c>
      <c r="B92" s="445"/>
      <c r="C92" s="445"/>
      <c r="D92" s="445"/>
      <c r="E92" s="445"/>
      <c r="F92" s="250">
        <f>F91</f>
        <v>0</v>
      </c>
      <c r="G92" s="250">
        <f>G91</f>
        <v>0</v>
      </c>
      <c r="H92" s="250"/>
      <c r="I92" s="263"/>
      <c r="J92" s="263"/>
      <c r="K92" s="251"/>
      <c r="L92" s="265"/>
      <c r="M92" s="269"/>
    </row>
    <row r="93" spans="1:14" s="270" customFormat="1" ht="42" customHeight="1" thickBot="1">
      <c r="A93" s="191" t="s">
        <v>424</v>
      </c>
      <c r="B93" s="191">
        <v>852</v>
      </c>
      <c r="C93" s="191">
        <v>85202</v>
      </c>
      <c r="D93" s="191">
        <v>6050</v>
      </c>
      <c r="E93" s="195" t="s">
        <v>317</v>
      </c>
      <c r="F93" s="196">
        <f>G93</f>
        <v>47000</v>
      </c>
      <c r="G93" s="196">
        <v>47000</v>
      </c>
      <c r="H93" s="260"/>
      <c r="I93" s="205"/>
      <c r="J93" s="205"/>
      <c r="K93" s="207"/>
      <c r="L93" s="265"/>
      <c r="M93" s="269"/>
    </row>
    <row r="94" spans="1:14" s="270" customFormat="1" ht="42" customHeight="1" thickBot="1">
      <c r="A94" s="456" t="s">
        <v>318</v>
      </c>
      <c r="B94" s="457"/>
      <c r="C94" s="457"/>
      <c r="D94" s="457"/>
      <c r="E94" s="458"/>
      <c r="F94" s="250">
        <f>SUM(F91:F93)</f>
        <v>47000</v>
      </c>
      <c r="G94" s="250">
        <f>SUM(G91:G93)</f>
        <v>47000</v>
      </c>
      <c r="H94" s="250"/>
      <c r="I94" s="263"/>
      <c r="J94" s="263"/>
      <c r="K94" s="251"/>
      <c r="L94" s="265"/>
      <c r="M94" s="269" t="s">
        <v>319</v>
      </c>
    </row>
    <row r="95" spans="1:14" s="225" customFormat="1" ht="38.25" customHeight="1" thickBot="1">
      <c r="A95" s="191" t="s">
        <v>425</v>
      </c>
      <c r="B95" s="191">
        <v>852</v>
      </c>
      <c r="C95" s="192">
        <v>85203</v>
      </c>
      <c r="D95" s="192">
        <v>6060</v>
      </c>
      <c r="E95" s="242" t="s">
        <v>321</v>
      </c>
      <c r="F95" s="243">
        <f>SUM(G95:H95)</f>
        <v>50000</v>
      </c>
      <c r="G95" s="243">
        <v>0</v>
      </c>
      <c r="H95" s="243">
        <v>50000</v>
      </c>
      <c r="I95" s="277"/>
      <c r="J95" s="277"/>
      <c r="K95" s="278"/>
      <c r="L95" s="265"/>
      <c r="M95" s="224"/>
    </row>
    <row r="96" spans="1:14" s="225" customFormat="1" ht="35.1" customHeight="1" thickBot="1">
      <c r="A96" s="456" t="s">
        <v>322</v>
      </c>
      <c r="B96" s="457"/>
      <c r="C96" s="457"/>
      <c r="D96" s="457"/>
      <c r="E96" s="458"/>
      <c r="F96" s="250">
        <f>SUM(F95:F95)</f>
        <v>50000</v>
      </c>
      <c r="G96" s="250">
        <f>SUM(G95:G95)</f>
        <v>0</v>
      </c>
      <c r="H96" s="250">
        <f>SUM(H95:H95)</f>
        <v>50000</v>
      </c>
      <c r="I96" s="263"/>
      <c r="J96" s="263"/>
      <c r="K96" s="251"/>
      <c r="L96" s="265"/>
      <c r="M96" s="224"/>
    </row>
    <row r="97" spans="1:13" s="189" customFormat="1" ht="45.75" customHeight="1" thickBot="1">
      <c r="A97" s="191" t="s">
        <v>426</v>
      </c>
      <c r="B97" s="191">
        <v>854</v>
      </c>
      <c r="C97" s="191">
        <v>85403</v>
      </c>
      <c r="D97" s="191">
        <v>6050</v>
      </c>
      <c r="E97" s="195" t="s">
        <v>324</v>
      </c>
      <c r="F97" s="196">
        <v>700000</v>
      </c>
      <c r="G97" s="279">
        <v>0</v>
      </c>
      <c r="H97" s="279">
        <v>700000</v>
      </c>
      <c r="I97" s="280"/>
      <c r="J97" s="281"/>
      <c r="K97" s="282"/>
      <c r="L97" s="257"/>
      <c r="M97" s="188"/>
    </row>
    <row r="98" spans="1:13" s="189" customFormat="1" ht="35.1" customHeight="1" thickBot="1">
      <c r="A98" s="191" t="s">
        <v>427</v>
      </c>
      <c r="B98" s="191">
        <v>854</v>
      </c>
      <c r="C98" s="191">
        <v>85403</v>
      </c>
      <c r="D98" s="191">
        <v>6060</v>
      </c>
      <c r="E98" s="195" t="s">
        <v>326</v>
      </c>
      <c r="F98" s="196">
        <f>G98</f>
        <v>20000</v>
      </c>
      <c r="G98" s="196">
        <v>20000</v>
      </c>
      <c r="H98" s="196"/>
      <c r="I98" s="208"/>
      <c r="J98" s="208"/>
      <c r="K98" s="210"/>
      <c r="L98" s="257"/>
      <c r="M98" s="188"/>
    </row>
    <row r="99" spans="1:13" s="225" customFormat="1" ht="35.1" customHeight="1" thickBot="1">
      <c r="A99" s="449" t="s">
        <v>327</v>
      </c>
      <c r="B99" s="450"/>
      <c r="C99" s="450"/>
      <c r="D99" s="450"/>
      <c r="E99" s="451"/>
      <c r="F99" s="283">
        <f>SUM(F97:F98)</f>
        <v>720000</v>
      </c>
      <c r="G99" s="283">
        <f>SUM(G97:G98)</f>
        <v>20000</v>
      </c>
      <c r="H99" s="283">
        <f>SUM(H97:H98)</f>
        <v>700000</v>
      </c>
      <c r="I99" s="284"/>
      <c r="J99" s="283"/>
      <c r="K99" s="285"/>
      <c r="L99" s="257"/>
      <c r="M99" s="224"/>
    </row>
    <row r="100" spans="1:13" s="189" customFormat="1" ht="35.1" customHeight="1" thickBot="1">
      <c r="A100" s="286" t="s">
        <v>435</v>
      </c>
      <c r="B100" s="286">
        <v>855</v>
      </c>
      <c r="C100" s="286">
        <v>85510</v>
      </c>
      <c r="D100" s="286">
        <v>6050</v>
      </c>
      <c r="E100" s="287" t="s">
        <v>329</v>
      </c>
      <c r="F100" s="288">
        <f>G100</f>
        <v>50000</v>
      </c>
      <c r="G100" s="288">
        <v>50000</v>
      </c>
      <c r="H100" s="288"/>
      <c r="I100" s="289"/>
      <c r="J100" s="289"/>
      <c r="K100" s="290"/>
      <c r="L100" s="291"/>
      <c r="M100" s="188"/>
    </row>
    <row r="101" spans="1:13" s="225" customFormat="1" ht="35.1" customHeight="1" thickBot="1">
      <c r="A101" s="449" t="s">
        <v>330</v>
      </c>
      <c r="B101" s="450"/>
      <c r="C101" s="450"/>
      <c r="D101" s="450"/>
      <c r="E101" s="451"/>
      <c r="F101" s="292">
        <f>F100</f>
        <v>50000</v>
      </c>
      <c r="G101" s="292">
        <f>G100</f>
        <v>50000</v>
      </c>
      <c r="H101" s="292"/>
      <c r="I101" s="293"/>
      <c r="J101" s="293"/>
      <c r="K101" s="294"/>
      <c r="L101" s="257"/>
      <c r="M101" s="224"/>
    </row>
    <row r="102" spans="1:13" s="299" customFormat="1" ht="36" customHeight="1" thickBot="1">
      <c r="A102" s="459" t="s">
        <v>331</v>
      </c>
      <c r="B102" s="460"/>
      <c r="C102" s="460"/>
      <c r="D102" s="460"/>
      <c r="E102" s="461"/>
      <c r="F102" s="295">
        <f>F65+F68+F70+F74+F77+F81+F79+F83+F85+F88+F90+F72+F94+F96+F99+F101</f>
        <v>21689432</v>
      </c>
      <c r="G102" s="295">
        <f>G65+G68+G70+G74+G77+G81+G79+G83+G85+G88+G90+G72+G94+G96+G99+G101</f>
        <v>6184076</v>
      </c>
      <c r="H102" s="295">
        <f>H65+H68+H70+H74+H77+H81+H79+H83+H85+H88+H90+H72+H94+H96+H99+H101</f>
        <v>10795000</v>
      </c>
      <c r="I102" s="295">
        <f>I65+I68+I70+I74+I77+I81+I79+I83+I85+I88+I90+I72+I94+I96+I99+I101</f>
        <v>0</v>
      </c>
      <c r="J102" s="295">
        <f>J65+J68+J70+J74+J77+J81+J79+J83+J85+J88+J90+J72+J94+J96+J99+J101</f>
        <v>4710356</v>
      </c>
      <c r="K102" s="296"/>
      <c r="L102" s="297"/>
      <c r="M102" s="298"/>
    </row>
    <row r="103" spans="1:13" s="225" customFormat="1" ht="27" customHeight="1">
      <c r="A103" s="300" t="s">
        <v>332</v>
      </c>
      <c r="B103" s="301"/>
      <c r="C103" s="301"/>
      <c r="D103" s="301"/>
      <c r="E103" s="164"/>
      <c r="F103" s="302"/>
      <c r="G103" s="302"/>
      <c r="H103" s="302"/>
      <c r="I103" s="301"/>
      <c r="J103" s="301"/>
      <c r="K103" s="303"/>
      <c r="L103" s="304"/>
      <c r="M103" s="224"/>
    </row>
    <row r="104" spans="1:13" s="201" customFormat="1" ht="20.25" customHeight="1">
      <c r="A104" s="300" t="s">
        <v>333</v>
      </c>
      <c r="B104" s="301"/>
      <c r="C104" s="301"/>
      <c r="D104" s="301"/>
      <c r="E104" s="164"/>
      <c r="F104" s="301"/>
      <c r="G104" s="301"/>
      <c r="H104" s="301"/>
      <c r="I104" s="301"/>
      <c r="J104" s="302"/>
      <c r="K104" s="303"/>
      <c r="L104" s="304"/>
      <c r="M104" s="200"/>
    </row>
    <row r="105" spans="1:13" s="225" customFormat="1" ht="21" customHeight="1">
      <c r="A105" s="300" t="s">
        <v>437</v>
      </c>
      <c r="B105" s="301"/>
      <c r="C105" s="301"/>
      <c r="D105" s="301"/>
      <c r="E105" s="164"/>
      <c r="F105" s="302"/>
      <c r="G105" s="301"/>
      <c r="H105" s="301"/>
      <c r="I105" s="301"/>
      <c r="J105" s="301"/>
      <c r="K105" s="303"/>
      <c r="L105" s="304"/>
      <c r="M105" s="224"/>
    </row>
    <row r="106" spans="1:13" s="225" customFormat="1" ht="27" customHeight="1">
      <c r="A106" s="163"/>
      <c r="B106" s="163"/>
      <c r="C106" s="164"/>
      <c r="D106" s="164"/>
      <c r="E106" s="164"/>
      <c r="F106" s="164"/>
      <c r="G106" s="164"/>
      <c r="H106" s="164"/>
      <c r="I106" s="305"/>
      <c r="J106" s="305"/>
      <c r="K106" s="165"/>
      <c r="L106" s="161"/>
      <c r="M106" s="224"/>
    </row>
    <row r="107" spans="1:13" s="218" customFormat="1" ht="28.5" customHeight="1">
      <c r="A107" s="163"/>
      <c r="B107" s="163"/>
      <c r="C107" s="164"/>
      <c r="D107" s="164"/>
      <c r="E107" s="164"/>
      <c r="F107" s="305"/>
      <c r="G107" s="164"/>
      <c r="H107" s="164"/>
      <c r="I107" s="164"/>
      <c r="J107" s="164"/>
      <c r="K107" s="165"/>
      <c r="L107" s="161"/>
      <c r="M107" s="217"/>
    </row>
    <row r="108" spans="1:13" s="225" customFormat="1" ht="30" customHeight="1">
      <c r="A108" s="158"/>
      <c r="B108" s="158"/>
      <c r="C108" s="159"/>
      <c r="D108" s="159"/>
      <c r="E108" s="159"/>
      <c r="F108" s="159"/>
      <c r="G108" s="159"/>
      <c r="H108" s="306"/>
      <c r="I108" s="159"/>
      <c r="J108" s="306"/>
      <c r="K108" s="160"/>
      <c r="L108" s="161"/>
      <c r="M108" s="224"/>
    </row>
    <row r="109" spans="1:13" s="177" customFormat="1" ht="27" customHeight="1">
      <c r="A109" s="158"/>
      <c r="B109" s="158"/>
      <c r="C109" s="159"/>
      <c r="D109" s="159"/>
      <c r="E109" s="159"/>
      <c r="F109" s="159"/>
      <c r="G109" s="159"/>
      <c r="H109" s="159"/>
      <c r="I109" s="159"/>
      <c r="J109" s="159"/>
      <c r="K109" s="160"/>
      <c r="L109" s="161"/>
      <c r="M109" s="176"/>
    </row>
    <row r="111" spans="1:13" s="308" customFormat="1" ht="12.75" customHeight="1">
      <c r="A111" s="158"/>
      <c r="B111" s="158"/>
      <c r="C111" s="159"/>
      <c r="D111" s="159"/>
      <c r="E111" s="159"/>
      <c r="F111" s="159"/>
      <c r="G111" s="159"/>
      <c r="H111" s="159"/>
      <c r="I111" s="159"/>
      <c r="J111" s="159"/>
      <c r="K111" s="160"/>
      <c r="L111" s="161"/>
      <c r="M111" s="307"/>
    </row>
    <row r="112" spans="1:13" s="308" customFormat="1" ht="12.75" customHeight="1">
      <c r="A112" s="158"/>
      <c r="B112" s="158"/>
      <c r="C112" s="159"/>
      <c r="D112" s="159"/>
      <c r="E112" s="159"/>
      <c r="F112" s="159"/>
      <c r="G112" s="159"/>
      <c r="H112" s="159"/>
      <c r="I112" s="159"/>
      <c r="J112" s="159"/>
      <c r="K112" s="160"/>
      <c r="L112" s="161"/>
      <c r="M112" s="307"/>
    </row>
    <row r="113" spans="1:13" s="308" customFormat="1" ht="12.75" customHeight="1">
      <c r="A113" s="158"/>
      <c r="B113" s="158"/>
      <c r="C113" s="159"/>
      <c r="D113" s="159"/>
      <c r="E113" s="159"/>
      <c r="F113" s="159"/>
      <c r="G113" s="159"/>
      <c r="H113" s="159"/>
      <c r="I113" s="159"/>
      <c r="J113" s="159"/>
      <c r="K113" s="160"/>
      <c r="L113" s="161"/>
      <c r="M113" s="307"/>
    </row>
  </sheetData>
  <sheetProtection algorithmName="SHA-512" hashValue="mO77zrm+HapWMzlpuO43iZggSmNc6DPtW3cibIulei+ZM2mEKbh6L6o8uRYd1F0UZl9igDYLDSjh8kUQcKk67g==" saltValue="P8r1Cj+z+zZRCq5iecjJ1g==" spinCount="100000" sheet="1" objects="1" scenarios="1"/>
  <mergeCells count="37">
    <mergeCell ref="A101:E101"/>
    <mergeCell ref="A102:E102"/>
    <mergeCell ref="A88:E88"/>
    <mergeCell ref="A90:E90"/>
    <mergeCell ref="A92:E92"/>
    <mergeCell ref="A94:E94"/>
    <mergeCell ref="A96:E96"/>
    <mergeCell ref="A99:E99"/>
    <mergeCell ref="A85:E85"/>
    <mergeCell ref="A46:E46"/>
    <mergeCell ref="A51:E51"/>
    <mergeCell ref="A56:E56"/>
    <mergeCell ref="A63:E63"/>
    <mergeCell ref="A65:E65"/>
    <mergeCell ref="A68:E68"/>
    <mergeCell ref="A70:E70"/>
    <mergeCell ref="A74:E74"/>
    <mergeCell ref="A77:E77"/>
    <mergeCell ref="A81:E81"/>
    <mergeCell ref="A83:E83"/>
    <mergeCell ref="A72:E72"/>
    <mergeCell ref="A79:E79"/>
    <mergeCell ref="L4:L5"/>
    <mergeCell ref="A7:E7"/>
    <mergeCell ref="A12:E12"/>
    <mergeCell ref="A19:E19"/>
    <mergeCell ref="A28:E28"/>
    <mergeCell ref="A38:E38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1496062992125984" right="0.31496062992125984" top="0.94488188976377963" bottom="0.74803149606299213" header="0.51181102362204722" footer="0.51181102362204722"/>
  <pageSetup paperSize="9" scale="80" fitToHeight="0" orientation="landscape" horizontalDpi="4294967295" r:id="rId1"/>
  <headerFooter differentOddEven="1" differentFirst="1" alignWithMargins="0">
    <oddFooter>&amp;C&amp;P</oddFooter>
    <evenFooter>&amp;C&amp;P</evenFooter>
    <firstHeader>&amp;RTabela Nr 2a
do uchwały Nr ................
Rady Powiatu  Otwockiego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29"/>
  <sheetViews>
    <sheetView showGridLines="0" workbookViewId="0">
      <selection activeCell="D12" sqref="D12"/>
    </sheetView>
  </sheetViews>
  <sheetFormatPr defaultColWidth="9.33203125" defaultRowHeight="12.75"/>
  <cols>
    <col min="1" max="1" width="5.83203125" style="2" customWidth="1"/>
    <col min="2" max="2" width="62.83203125" style="2" customWidth="1"/>
    <col min="3" max="3" width="15.33203125" style="2" customWidth="1"/>
    <col min="4" max="4" width="18" style="2" customWidth="1"/>
    <col min="5" max="16384" width="9.33203125" style="2"/>
  </cols>
  <sheetData>
    <row r="3" spans="1:4" s="1" customFormat="1" ht="15" customHeight="1">
      <c r="A3" s="462" t="s">
        <v>429</v>
      </c>
      <c r="B3" s="462"/>
      <c r="C3" s="462"/>
      <c r="D3" s="462"/>
    </row>
    <row r="4" spans="1:4">
      <c r="D4" s="3"/>
    </row>
    <row r="5" spans="1:4" ht="54" customHeight="1">
      <c r="A5" s="4" t="s">
        <v>7</v>
      </c>
      <c r="B5" s="4" t="s">
        <v>13</v>
      </c>
      <c r="C5" s="5" t="s">
        <v>14</v>
      </c>
      <c r="D5" s="5" t="s">
        <v>15</v>
      </c>
    </row>
    <row r="6" spans="1:4" s="30" customFormat="1" ht="16.5" customHeight="1">
      <c r="A6" s="33">
        <v>1</v>
      </c>
      <c r="B6" s="33">
        <v>2</v>
      </c>
      <c r="C6" s="33">
        <v>3</v>
      </c>
      <c r="D6" s="34">
        <v>4</v>
      </c>
    </row>
    <row r="7" spans="1:4" s="9" customFormat="1" ht="24.75" customHeight="1">
      <c r="A7" s="6" t="s">
        <v>8</v>
      </c>
      <c r="B7" s="7" t="s">
        <v>16</v>
      </c>
      <c r="C7" s="6"/>
      <c r="D7" s="8">
        <f>SUM(D8:D9)</f>
        <v>159297257</v>
      </c>
    </row>
    <row r="8" spans="1:4" s="13" customFormat="1" ht="24.75" customHeight="1">
      <c r="A8" s="10"/>
      <c r="B8" s="11" t="s">
        <v>17</v>
      </c>
      <c r="C8" s="10"/>
      <c r="D8" s="12">
        <v>153281439</v>
      </c>
    </row>
    <row r="9" spans="1:4" s="13" customFormat="1" ht="24.75" customHeight="1">
      <c r="A9" s="10"/>
      <c r="B9" s="11" t="s">
        <v>18</v>
      </c>
      <c r="C9" s="10"/>
      <c r="D9" s="14">
        <v>6015818</v>
      </c>
    </row>
    <row r="10" spans="1:4" s="9" customFormat="1" ht="24.75" customHeight="1">
      <c r="A10" s="6" t="s">
        <v>9</v>
      </c>
      <c r="B10" s="7" t="s">
        <v>19</v>
      </c>
      <c r="C10" s="6"/>
      <c r="D10" s="15">
        <f>SUM(D11,D12)</f>
        <v>175659003</v>
      </c>
    </row>
    <row r="11" spans="1:4" s="13" customFormat="1" ht="24.75" customHeight="1">
      <c r="A11" s="10"/>
      <c r="B11" s="11" t="s">
        <v>32</v>
      </c>
      <c r="C11" s="10"/>
      <c r="D11" s="16">
        <v>153969571</v>
      </c>
    </row>
    <row r="12" spans="1:4" s="13" customFormat="1" ht="24.75" customHeight="1">
      <c r="A12" s="10"/>
      <c r="B12" s="11" t="s">
        <v>20</v>
      </c>
      <c r="C12" s="10"/>
      <c r="D12" s="17">
        <v>21689432</v>
      </c>
    </row>
    <row r="13" spans="1:4" s="9" customFormat="1" ht="24.75" customHeight="1">
      <c r="A13" s="6" t="s">
        <v>10</v>
      </c>
      <c r="B13" s="7" t="s">
        <v>21</v>
      </c>
      <c r="C13" s="18"/>
      <c r="D13" s="8">
        <f>D7-D10</f>
        <v>-16361746</v>
      </c>
    </row>
    <row r="14" spans="1:4" ht="24.75" customHeight="1">
      <c r="A14" s="463" t="s">
        <v>22</v>
      </c>
      <c r="B14" s="464"/>
      <c r="C14" s="19"/>
      <c r="D14" s="20">
        <f>SUM(D15:D21)</f>
        <v>20903746</v>
      </c>
    </row>
    <row r="15" spans="1:4" ht="81.75" customHeight="1">
      <c r="A15" s="72" t="s">
        <v>8</v>
      </c>
      <c r="B15" s="74" t="s">
        <v>63</v>
      </c>
      <c r="C15" s="21" t="s">
        <v>62</v>
      </c>
      <c r="D15" s="71">
        <v>3722308</v>
      </c>
    </row>
    <row r="16" spans="1:4" ht="72" customHeight="1">
      <c r="A16" s="72" t="s">
        <v>9</v>
      </c>
      <c r="B16" s="73" t="s">
        <v>64</v>
      </c>
      <c r="C16" s="21" t="s">
        <v>61</v>
      </c>
      <c r="D16" s="71">
        <v>1696393</v>
      </c>
    </row>
    <row r="17" spans="1:4" ht="31.5" customHeight="1">
      <c r="A17" s="72" t="s">
        <v>10</v>
      </c>
      <c r="B17" s="78" t="s">
        <v>68</v>
      </c>
      <c r="C17" s="79" t="s">
        <v>69</v>
      </c>
      <c r="D17" s="71">
        <v>15000000</v>
      </c>
    </row>
    <row r="18" spans="1:4" ht="31.5" customHeight="1">
      <c r="A18" s="72" t="s">
        <v>11</v>
      </c>
      <c r="B18" s="24" t="s">
        <v>29</v>
      </c>
      <c r="C18" s="21" t="s">
        <v>24</v>
      </c>
      <c r="D18" s="23">
        <v>485045</v>
      </c>
    </row>
    <row r="19" spans="1:4" ht="32.25" customHeight="1">
      <c r="A19" s="72" t="s">
        <v>12</v>
      </c>
      <c r="B19" s="36" t="s">
        <v>34</v>
      </c>
      <c r="C19" s="21" t="s">
        <v>35</v>
      </c>
      <c r="D19" s="23">
        <v>0</v>
      </c>
    </row>
    <row r="20" spans="1:4" ht="24.75" customHeight="1">
      <c r="A20" s="72" t="s">
        <v>60</v>
      </c>
      <c r="B20" s="22" t="s">
        <v>27</v>
      </c>
      <c r="C20" s="21" t="s">
        <v>23</v>
      </c>
      <c r="D20" s="23">
        <v>0</v>
      </c>
    </row>
    <row r="21" spans="1:4" ht="27" customHeight="1">
      <c r="A21" s="72" t="s">
        <v>59</v>
      </c>
      <c r="B21" s="24" t="s">
        <v>28</v>
      </c>
      <c r="C21" s="21" t="s">
        <v>23</v>
      </c>
      <c r="D21" s="25">
        <v>0</v>
      </c>
    </row>
    <row r="22" spans="1:4" ht="24.75" customHeight="1">
      <c r="A22" s="463" t="s">
        <v>25</v>
      </c>
      <c r="B22" s="464"/>
      <c r="C22" s="26"/>
      <c r="D22" s="20">
        <f>SUM(D23:D25)</f>
        <v>4542000</v>
      </c>
    </row>
    <row r="23" spans="1:4" s="37" customFormat="1" ht="24.75" customHeight="1">
      <c r="A23" s="21" t="s">
        <v>8</v>
      </c>
      <c r="B23" s="24" t="s">
        <v>37</v>
      </c>
      <c r="C23" s="21" t="s">
        <v>36</v>
      </c>
      <c r="D23" s="23">
        <v>0</v>
      </c>
    </row>
    <row r="24" spans="1:4" ht="24.75" customHeight="1">
      <c r="A24" s="21" t="s">
        <v>9</v>
      </c>
      <c r="B24" s="24" t="s">
        <v>30</v>
      </c>
      <c r="C24" s="21" t="s">
        <v>26</v>
      </c>
      <c r="D24" s="23">
        <v>4542000</v>
      </c>
    </row>
    <row r="25" spans="1:4" ht="24.75" customHeight="1">
      <c r="A25" s="21" t="s">
        <v>10</v>
      </c>
      <c r="B25" s="24" t="s">
        <v>31</v>
      </c>
      <c r="C25" s="21" t="s">
        <v>26</v>
      </c>
      <c r="D25" s="23">
        <v>0</v>
      </c>
    </row>
    <row r="26" spans="1:4" ht="21.75" customHeight="1">
      <c r="A26" s="27"/>
      <c r="B26" s="28"/>
      <c r="C26" s="27"/>
      <c r="D26" s="29"/>
    </row>
    <row r="27" spans="1:4" ht="24.75" customHeight="1"/>
    <row r="28" spans="1:4" ht="24.75" customHeight="1"/>
    <row r="29" spans="1:4" ht="24.75" customHeight="1"/>
  </sheetData>
  <sheetProtection algorithmName="SHA-512" hashValue="A0M9CMugBzCNJFA8QhdNdG6JZHWi5xcizYERlLAAsxK4NJwGP27TNubSVmG9fueFfAVl2UPgFAtJHfVqzdxGuA==" saltValue="25kd1gcF0aAY3TfFrO+3gA==" spinCount="100000" sheet="1" objects="1" scenarios="1"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 
do uchwały Nr ...............
Rady Powiatu  Otwockiego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8"/>
  <sheetViews>
    <sheetView tabSelected="1" zoomScaleNormal="100" workbookViewId="0">
      <pane ySplit="5" topLeftCell="A51" activePane="bottomLeft" state="frozen"/>
      <selection activeCell="C11" sqref="C11:I13"/>
      <selection pane="bottomLeft" activeCell="K53" sqref="K53"/>
    </sheetView>
  </sheetViews>
  <sheetFormatPr defaultRowHeight="12"/>
  <cols>
    <col min="1" max="1" width="4.1640625" style="94" customWidth="1"/>
    <col min="2" max="2" width="45.1640625" style="94" customWidth="1"/>
    <col min="3" max="3" width="15" style="95" customWidth="1"/>
    <col min="4" max="4" width="13.6640625" style="94" customWidth="1"/>
    <col min="5" max="5" width="13" style="94" customWidth="1"/>
    <col min="6" max="6" width="11.1640625" style="94" customWidth="1"/>
    <col min="7" max="7" width="12.5" style="94" customWidth="1"/>
    <col min="8" max="8" width="11.6640625" style="94" customWidth="1"/>
    <col min="9" max="9" width="13.6640625" style="94" customWidth="1"/>
    <col min="10" max="10" width="9.33203125" style="94"/>
    <col min="11" max="12" width="11.5" style="94" bestFit="1" customWidth="1"/>
    <col min="13" max="242" width="9.33203125" style="94"/>
    <col min="243" max="243" width="4.83203125" style="94" customWidth="1"/>
    <col min="244" max="244" width="27.33203125" style="94" customWidth="1"/>
    <col min="245" max="246" width="15.5" style="94" customWidth="1"/>
    <col min="247" max="247" width="13.6640625" style="94" customWidth="1"/>
    <col min="248" max="248" width="12.33203125" style="94" customWidth="1"/>
    <col min="249" max="249" width="13" style="94" bestFit="1" customWidth="1"/>
    <col min="250" max="250" width="11.33203125" style="94" customWidth="1"/>
    <col min="251" max="251" width="12.33203125" style="94" customWidth="1"/>
    <col min="252" max="252" width="10.33203125" style="94" customWidth="1"/>
    <col min="253" max="253" width="10.1640625" style="94" customWidth="1"/>
    <col min="254" max="254" width="13" style="94" customWidth="1"/>
    <col min="255" max="255" width="12.5" style="94" customWidth="1"/>
    <col min="256" max="256" width="11.6640625" style="94" customWidth="1"/>
    <col min="257" max="257" width="11.33203125" style="94" customWidth="1"/>
    <col min="258" max="258" width="10.33203125" style="94" customWidth="1"/>
    <col min="259" max="259" width="12" style="94" customWidth="1"/>
    <col min="260" max="498" width="9.33203125" style="94"/>
    <col min="499" max="499" width="4.83203125" style="94" customWidth="1"/>
    <col min="500" max="500" width="27.33203125" style="94" customWidth="1"/>
    <col min="501" max="502" width="15.5" style="94" customWidth="1"/>
    <col min="503" max="503" width="13.6640625" style="94" customWidth="1"/>
    <col min="504" max="504" width="12.33203125" style="94" customWidth="1"/>
    <col min="505" max="505" width="13" style="94" bestFit="1" customWidth="1"/>
    <col min="506" max="506" width="11.33203125" style="94" customWidth="1"/>
    <col min="507" max="507" width="12.33203125" style="94" customWidth="1"/>
    <col min="508" max="508" width="10.33203125" style="94" customWidth="1"/>
    <col min="509" max="509" width="10.1640625" style="94" customWidth="1"/>
    <col min="510" max="510" width="13" style="94" customWidth="1"/>
    <col min="511" max="511" width="12.5" style="94" customWidth="1"/>
    <col min="512" max="512" width="11.6640625" style="94" customWidth="1"/>
    <col min="513" max="513" width="11.33203125" style="94" customWidth="1"/>
    <col min="514" max="514" width="10.33203125" style="94" customWidth="1"/>
    <col min="515" max="515" width="12" style="94" customWidth="1"/>
    <col min="516" max="754" width="9.33203125" style="94"/>
    <col min="755" max="755" width="4.83203125" style="94" customWidth="1"/>
    <col min="756" max="756" width="27.33203125" style="94" customWidth="1"/>
    <col min="757" max="758" width="15.5" style="94" customWidth="1"/>
    <col min="759" max="759" width="13.6640625" style="94" customWidth="1"/>
    <col min="760" max="760" width="12.33203125" style="94" customWidth="1"/>
    <col min="761" max="761" width="13" style="94" bestFit="1" customWidth="1"/>
    <col min="762" max="762" width="11.33203125" style="94" customWidth="1"/>
    <col min="763" max="763" width="12.33203125" style="94" customWidth="1"/>
    <col min="764" max="764" width="10.33203125" style="94" customWidth="1"/>
    <col min="765" max="765" width="10.1640625" style="94" customWidth="1"/>
    <col min="766" max="766" width="13" style="94" customWidth="1"/>
    <col min="767" max="767" width="12.5" style="94" customWidth="1"/>
    <col min="768" max="768" width="11.6640625" style="94" customWidth="1"/>
    <col min="769" max="769" width="11.33203125" style="94" customWidth="1"/>
    <col min="770" max="770" width="10.33203125" style="94" customWidth="1"/>
    <col min="771" max="771" width="12" style="94" customWidth="1"/>
    <col min="772" max="1010" width="9.33203125" style="94"/>
    <col min="1011" max="1011" width="4.83203125" style="94" customWidth="1"/>
    <col min="1012" max="1012" width="27.33203125" style="94" customWidth="1"/>
    <col min="1013" max="1014" width="15.5" style="94" customWidth="1"/>
    <col min="1015" max="1015" width="13.6640625" style="94" customWidth="1"/>
    <col min="1016" max="1016" width="12.33203125" style="94" customWidth="1"/>
    <col min="1017" max="1017" width="13" style="94" bestFit="1" customWidth="1"/>
    <col min="1018" max="1018" width="11.33203125" style="94" customWidth="1"/>
    <col min="1019" max="1019" width="12.33203125" style="94" customWidth="1"/>
    <col min="1020" max="1020" width="10.33203125" style="94" customWidth="1"/>
    <col min="1021" max="1021" width="10.1640625" style="94" customWidth="1"/>
    <col min="1022" max="1022" width="13" style="94" customWidth="1"/>
    <col min="1023" max="1023" width="12.5" style="94" customWidth="1"/>
    <col min="1024" max="1024" width="11.6640625" style="94" customWidth="1"/>
    <col min="1025" max="1025" width="11.33203125" style="94" customWidth="1"/>
    <col min="1026" max="1026" width="10.33203125" style="94" customWidth="1"/>
    <col min="1027" max="1027" width="12" style="94" customWidth="1"/>
    <col min="1028" max="1266" width="9.33203125" style="94"/>
    <col min="1267" max="1267" width="4.83203125" style="94" customWidth="1"/>
    <col min="1268" max="1268" width="27.33203125" style="94" customWidth="1"/>
    <col min="1269" max="1270" width="15.5" style="94" customWidth="1"/>
    <col min="1271" max="1271" width="13.6640625" style="94" customWidth="1"/>
    <col min="1272" max="1272" width="12.33203125" style="94" customWidth="1"/>
    <col min="1273" max="1273" width="13" style="94" bestFit="1" customWidth="1"/>
    <col min="1274" max="1274" width="11.33203125" style="94" customWidth="1"/>
    <col min="1275" max="1275" width="12.33203125" style="94" customWidth="1"/>
    <col min="1276" max="1276" width="10.33203125" style="94" customWidth="1"/>
    <col min="1277" max="1277" width="10.1640625" style="94" customWidth="1"/>
    <col min="1278" max="1278" width="13" style="94" customWidth="1"/>
    <col min="1279" max="1279" width="12.5" style="94" customWidth="1"/>
    <col min="1280" max="1280" width="11.6640625" style="94" customWidth="1"/>
    <col min="1281" max="1281" width="11.33203125" style="94" customWidth="1"/>
    <col min="1282" max="1282" width="10.33203125" style="94" customWidth="1"/>
    <col min="1283" max="1283" width="12" style="94" customWidth="1"/>
    <col min="1284" max="1522" width="9.33203125" style="94"/>
    <col min="1523" max="1523" width="4.83203125" style="94" customWidth="1"/>
    <col min="1524" max="1524" width="27.33203125" style="94" customWidth="1"/>
    <col min="1525" max="1526" width="15.5" style="94" customWidth="1"/>
    <col min="1527" max="1527" width="13.6640625" style="94" customWidth="1"/>
    <col min="1528" max="1528" width="12.33203125" style="94" customWidth="1"/>
    <col min="1529" max="1529" width="13" style="94" bestFit="1" customWidth="1"/>
    <col min="1530" max="1530" width="11.33203125" style="94" customWidth="1"/>
    <col min="1531" max="1531" width="12.33203125" style="94" customWidth="1"/>
    <col min="1532" max="1532" width="10.33203125" style="94" customWidth="1"/>
    <col min="1533" max="1533" width="10.1640625" style="94" customWidth="1"/>
    <col min="1534" max="1534" width="13" style="94" customWidth="1"/>
    <col min="1535" max="1535" width="12.5" style="94" customWidth="1"/>
    <col min="1536" max="1536" width="11.6640625" style="94" customWidth="1"/>
    <col min="1537" max="1537" width="11.33203125" style="94" customWidth="1"/>
    <col min="1538" max="1538" width="10.33203125" style="94" customWidth="1"/>
    <col min="1539" max="1539" width="12" style="94" customWidth="1"/>
    <col min="1540" max="1778" width="9.33203125" style="94"/>
    <col min="1779" max="1779" width="4.83203125" style="94" customWidth="1"/>
    <col min="1780" max="1780" width="27.33203125" style="94" customWidth="1"/>
    <col min="1781" max="1782" width="15.5" style="94" customWidth="1"/>
    <col min="1783" max="1783" width="13.6640625" style="94" customWidth="1"/>
    <col min="1784" max="1784" width="12.33203125" style="94" customWidth="1"/>
    <col min="1785" max="1785" width="13" style="94" bestFit="1" customWidth="1"/>
    <col min="1786" max="1786" width="11.33203125" style="94" customWidth="1"/>
    <col min="1787" max="1787" width="12.33203125" style="94" customWidth="1"/>
    <col min="1788" max="1788" width="10.33203125" style="94" customWidth="1"/>
    <col min="1789" max="1789" width="10.1640625" style="94" customWidth="1"/>
    <col min="1790" max="1790" width="13" style="94" customWidth="1"/>
    <col min="1791" max="1791" width="12.5" style="94" customWidth="1"/>
    <col min="1792" max="1792" width="11.6640625" style="94" customWidth="1"/>
    <col min="1793" max="1793" width="11.33203125" style="94" customWidth="1"/>
    <col min="1794" max="1794" width="10.33203125" style="94" customWidth="1"/>
    <col min="1795" max="1795" width="12" style="94" customWidth="1"/>
    <col min="1796" max="2034" width="9.33203125" style="94"/>
    <col min="2035" max="2035" width="4.83203125" style="94" customWidth="1"/>
    <col min="2036" max="2036" width="27.33203125" style="94" customWidth="1"/>
    <col min="2037" max="2038" width="15.5" style="94" customWidth="1"/>
    <col min="2039" max="2039" width="13.6640625" style="94" customWidth="1"/>
    <col min="2040" max="2040" width="12.33203125" style="94" customWidth="1"/>
    <col min="2041" max="2041" width="13" style="94" bestFit="1" customWidth="1"/>
    <col min="2042" max="2042" width="11.33203125" style="94" customWidth="1"/>
    <col min="2043" max="2043" width="12.33203125" style="94" customWidth="1"/>
    <col min="2044" max="2044" width="10.33203125" style="94" customWidth="1"/>
    <col min="2045" max="2045" width="10.1640625" style="94" customWidth="1"/>
    <col min="2046" max="2046" width="13" style="94" customWidth="1"/>
    <col min="2047" max="2047" width="12.5" style="94" customWidth="1"/>
    <col min="2048" max="2048" width="11.6640625" style="94" customWidth="1"/>
    <col min="2049" max="2049" width="11.33203125" style="94" customWidth="1"/>
    <col min="2050" max="2050" width="10.33203125" style="94" customWidth="1"/>
    <col min="2051" max="2051" width="12" style="94" customWidth="1"/>
    <col min="2052" max="2290" width="9.33203125" style="94"/>
    <col min="2291" max="2291" width="4.83203125" style="94" customWidth="1"/>
    <col min="2292" max="2292" width="27.33203125" style="94" customWidth="1"/>
    <col min="2293" max="2294" width="15.5" style="94" customWidth="1"/>
    <col min="2295" max="2295" width="13.6640625" style="94" customWidth="1"/>
    <col min="2296" max="2296" width="12.33203125" style="94" customWidth="1"/>
    <col min="2297" max="2297" width="13" style="94" bestFit="1" customWidth="1"/>
    <col min="2298" max="2298" width="11.33203125" style="94" customWidth="1"/>
    <col min="2299" max="2299" width="12.33203125" style="94" customWidth="1"/>
    <col min="2300" max="2300" width="10.33203125" style="94" customWidth="1"/>
    <col min="2301" max="2301" width="10.1640625" style="94" customWidth="1"/>
    <col min="2302" max="2302" width="13" style="94" customWidth="1"/>
    <col min="2303" max="2303" width="12.5" style="94" customWidth="1"/>
    <col min="2304" max="2304" width="11.6640625" style="94" customWidth="1"/>
    <col min="2305" max="2305" width="11.33203125" style="94" customWidth="1"/>
    <col min="2306" max="2306" width="10.33203125" style="94" customWidth="1"/>
    <col min="2307" max="2307" width="12" style="94" customWidth="1"/>
    <col min="2308" max="2546" width="9.33203125" style="94"/>
    <col min="2547" max="2547" width="4.83203125" style="94" customWidth="1"/>
    <col min="2548" max="2548" width="27.33203125" style="94" customWidth="1"/>
    <col min="2549" max="2550" width="15.5" style="94" customWidth="1"/>
    <col min="2551" max="2551" width="13.6640625" style="94" customWidth="1"/>
    <col min="2552" max="2552" width="12.33203125" style="94" customWidth="1"/>
    <col min="2553" max="2553" width="13" style="94" bestFit="1" customWidth="1"/>
    <col min="2554" max="2554" width="11.33203125" style="94" customWidth="1"/>
    <col min="2555" max="2555" width="12.33203125" style="94" customWidth="1"/>
    <col min="2556" max="2556" width="10.33203125" style="94" customWidth="1"/>
    <col min="2557" max="2557" width="10.1640625" style="94" customWidth="1"/>
    <col min="2558" max="2558" width="13" style="94" customWidth="1"/>
    <col min="2559" max="2559" width="12.5" style="94" customWidth="1"/>
    <col min="2560" max="2560" width="11.6640625" style="94" customWidth="1"/>
    <col min="2561" max="2561" width="11.33203125" style="94" customWidth="1"/>
    <col min="2562" max="2562" width="10.33203125" style="94" customWidth="1"/>
    <col min="2563" max="2563" width="12" style="94" customWidth="1"/>
    <col min="2564" max="2802" width="9.33203125" style="94"/>
    <col min="2803" max="2803" width="4.83203125" style="94" customWidth="1"/>
    <col min="2804" max="2804" width="27.33203125" style="94" customWidth="1"/>
    <col min="2805" max="2806" width="15.5" style="94" customWidth="1"/>
    <col min="2807" max="2807" width="13.6640625" style="94" customWidth="1"/>
    <col min="2808" max="2808" width="12.33203125" style="94" customWidth="1"/>
    <col min="2809" max="2809" width="13" style="94" bestFit="1" customWidth="1"/>
    <col min="2810" max="2810" width="11.33203125" style="94" customWidth="1"/>
    <col min="2811" max="2811" width="12.33203125" style="94" customWidth="1"/>
    <col min="2812" max="2812" width="10.33203125" style="94" customWidth="1"/>
    <col min="2813" max="2813" width="10.1640625" style="94" customWidth="1"/>
    <col min="2814" max="2814" width="13" style="94" customWidth="1"/>
    <col min="2815" max="2815" width="12.5" style="94" customWidth="1"/>
    <col min="2816" max="2816" width="11.6640625" style="94" customWidth="1"/>
    <col min="2817" max="2817" width="11.33203125" style="94" customWidth="1"/>
    <col min="2818" max="2818" width="10.33203125" style="94" customWidth="1"/>
    <col min="2819" max="2819" width="12" style="94" customWidth="1"/>
    <col min="2820" max="3058" width="9.33203125" style="94"/>
    <col min="3059" max="3059" width="4.83203125" style="94" customWidth="1"/>
    <col min="3060" max="3060" width="27.33203125" style="94" customWidth="1"/>
    <col min="3061" max="3062" width="15.5" style="94" customWidth="1"/>
    <col min="3063" max="3063" width="13.6640625" style="94" customWidth="1"/>
    <col min="3064" max="3064" width="12.33203125" style="94" customWidth="1"/>
    <col min="3065" max="3065" width="13" style="94" bestFit="1" customWidth="1"/>
    <col min="3066" max="3066" width="11.33203125" style="94" customWidth="1"/>
    <col min="3067" max="3067" width="12.33203125" style="94" customWidth="1"/>
    <col min="3068" max="3068" width="10.33203125" style="94" customWidth="1"/>
    <col min="3069" max="3069" width="10.1640625" style="94" customWidth="1"/>
    <col min="3070" max="3070" width="13" style="94" customWidth="1"/>
    <col min="3071" max="3071" width="12.5" style="94" customWidth="1"/>
    <col min="3072" max="3072" width="11.6640625" style="94" customWidth="1"/>
    <col min="3073" max="3073" width="11.33203125" style="94" customWidth="1"/>
    <col min="3074" max="3074" width="10.33203125" style="94" customWidth="1"/>
    <col min="3075" max="3075" width="12" style="94" customWidth="1"/>
    <col min="3076" max="3314" width="9.33203125" style="94"/>
    <col min="3315" max="3315" width="4.83203125" style="94" customWidth="1"/>
    <col min="3316" max="3316" width="27.33203125" style="94" customWidth="1"/>
    <col min="3317" max="3318" width="15.5" style="94" customWidth="1"/>
    <col min="3319" max="3319" width="13.6640625" style="94" customWidth="1"/>
    <col min="3320" max="3320" width="12.33203125" style="94" customWidth="1"/>
    <col min="3321" max="3321" width="13" style="94" bestFit="1" customWidth="1"/>
    <col min="3322" max="3322" width="11.33203125" style="94" customWidth="1"/>
    <col min="3323" max="3323" width="12.33203125" style="94" customWidth="1"/>
    <col min="3324" max="3324" width="10.33203125" style="94" customWidth="1"/>
    <col min="3325" max="3325" width="10.1640625" style="94" customWidth="1"/>
    <col min="3326" max="3326" width="13" style="94" customWidth="1"/>
    <col min="3327" max="3327" width="12.5" style="94" customWidth="1"/>
    <col min="3328" max="3328" width="11.6640625" style="94" customWidth="1"/>
    <col min="3329" max="3329" width="11.33203125" style="94" customWidth="1"/>
    <col min="3330" max="3330" width="10.33203125" style="94" customWidth="1"/>
    <col min="3331" max="3331" width="12" style="94" customWidth="1"/>
    <col min="3332" max="3570" width="9.33203125" style="94"/>
    <col min="3571" max="3571" width="4.83203125" style="94" customWidth="1"/>
    <col min="3572" max="3572" width="27.33203125" style="94" customWidth="1"/>
    <col min="3573" max="3574" width="15.5" style="94" customWidth="1"/>
    <col min="3575" max="3575" width="13.6640625" style="94" customWidth="1"/>
    <col min="3576" max="3576" width="12.33203125" style="94" customWidth="1"/>
    <col min="3577" max="3577" width="13" style="94" bestFit="1" customWidth="1"/>
    <col min="3578" max="3578" width="11.33203125" style="94" customWidth="1"/>
    <col min="3579" max="3579" width="12.33203125" style="94" customWidth="1"/>
    <col min="3580" max="3580" width="10.33203125" style="94" customWidth="1"/>
    <col min="3581" max="3581" width="10.1640625" style="94" customWidth="1"/>
    <col min="3582" max="3582" width="13" style="94" customWidth="1"/>
    <col min="3583" max="3583" width="12.5" style="94" customWidth="1"/>
    <col min="3584" max="3584" width="11.6640625" style="94" customWidth="1"/>
    <col min="3585" max="3585" width="11.33203125" style="94" customWidth="1"/>
    <col min="3586" max="3586" width="10.33203125" style="94" customWidth="1"/>
    <col min="3587" max="3587" width="12" style="94" customWidth="1"/>
    <col min="3588" max="3826" width="9.33203125" style="94"/>
    <col min="3827" max="3827" width="4.83203125" style="94" customWidth="1"/>
    <col min="3828" max="3828" width="27.33203125" style="94" customWidth="1"/>
    <col min="3829" max="3830" width="15.5" style="94" customWidth="1"/>
    <col min="3831" max="3831" width="13.6640625" style="94" customWidth="1"/>
    <col min="3832" max="3832" width="12.33203125" style="94" customWidth="1"/>
    <col min="3833" max="3833" width="13" style="94" bestFit="1" customWidth="1"/>
    <col min="3834" max="3834" width="11.33203125" style="94" customWidth="1"/>
    <col min="3835" max="3835" width="12.33203125" style="94" customWidth="1"/>
    <col min="3836" max="3836" width="10.33203125" style="94" customWidth="1"/>
    <col min="3837" max="3837" width="10.1640625" style="94" customWidth="1"/>
    <col min="3838" max="3838" width="13" style="94" customWidth="1"/>
    <col min="3839" max="3839" width="12.5" style="94" customWidth="1"/>
    <col min="3840" max="3840" width="11.6640625" style="94" customWidth="1"/>
    <col min="3841" max="3841" width="11.33203125" style="94" customWidth="1"/>
    <col min="3842" max="3842" width="10.33203125" style="94" customWidth="1"/>
    <col min="3843" max="3843" width="12" style="94" customWidth="1"/>
    <col min="3844" max="4082" width="9.33203125" style="94"/>
    <col min="4083" max="4083" width="4.83203125" style="94" customWidth="1"/>
    <col min="4084" max="4084" width="27.33203125" style="94" customWidth="1"/>
    <col min="4085" max="4086" width="15.5" style="94" customWidth="1"/>
    <col min="4087" max="4087" width="13.6640625" style="94" customWidth="1"/>
    <col min="4088" max="4088" width="12.33203125" style="94" customWidth="1"/>
    <col min="4089" max="4089" width="13" style="94" bestFit="1" customWidth="1"/>
    <col min="4090" max="4090" width="11.33203125" style="94" customWidth="1"/>
    <col min="4091" max="4091" width="12.33203125" style="94" customWidth="1"/>
    <col min="4092" max="4092" width="10.33203125" style="94" customWidth="1"/>
    <col min="4093" max="4093" width="10.1640625" style="94" customWidth="1"/>
    <col min="4094" max="4094" width="13" style="94" customWidth="1"/>
    <col min="4095" max="4095" width="12.5" style="94" customWidth="1"/>
    <col min="4096" max="4096" width="11.6640625" style="94" customWidth="1"/>
    <col min="4097" max="4097" width="11.33203125" style="94" customWidth="1"/>
    <col min="4098" max="4098" width="10.33203125" style="94" customWidth="1"/>
    <col min="4099" max="4099" width="12" style="94" customWidth="1"/>
    <col min="4100" max="4338" width="9.33203125" style="94"/>
    <col min="4339" max="4339" width="4.83203125" style="94" customWidth="1"/>
    <col min="4340" max="4340" width="27.33203125" style="94" customWidth="1"/>
    <col min="4341" max="4342" width="15.5" style="94" customWidth="1"/>
    <col min="4343" max="4343" width="13.6640625" style="94" customWidth="1"/>
    <col min="4344" max="4344" width="12.33203125" style="94" customWidth="1"/>
    <col min="4345" max="4345" width="13" style="94" bestFit="1" customWidth="1"/>
    <col min="4346" max="4346" width="11.33203125" style="94" customWidth="1"/>
    <col min="4347" max="4347" width="12.33203125" style="94" customWidth="1"/>
    <col min="4348" max="4348" width="10.33203125" style="94" customWidth="1"/>
    <col min="4349" max="4349" width="10.1640625" style="94" customWidth="1"/>
    <col min="4350" max="4350" width="13" style="94" customWidth="1"/>
    <col min="4351" max="4351" width="12.5" style="94" customWidth="1"/>
    <col min="4352" max="4352" width="11.6640625" style="94" customWidth="1"/>
    <col min="4353" max="4353" width="11.33203125" style="94" customWidth="1"/>
    <col min="4354" max="4354" width="10.33203125" style="94" customWidth="1"/>
    <col min="4355" max="4355" width="12" style="94" customWidth="1"/>
    <col min="4356" max="4594" width="9.33203125" style="94"/>
    <col min="4595" max="4595" width="4.83203125" style="94" customWidth="1"/>
    <col min="4596" max="4596" width="27.33203125" style="94" customWidth="1"/>
    <col min="4597" max="4598" width="15.5" style="94" customWidth="1"/>
    <col min="4599" max="4599" width="13.6640625" style="94" customWidth="1"/>
    <col min="4600" max="4600" width="12.33203125" style="94" customWidth="1"/>
    <col min="4601" max="4601" width="13" style="94" bestFit="1" customWidth="1"/>
    <col min="4602" max="4602" width="11.33203125" style="94" customWidth="1"/>
    <col min="4603" max="4603" width="12.33203125" style="94" customWidth="1"/>
    <col min="4604" max="4604" width="10.33203125" style="94" customWidth="1"/>
    <col min="4605" max="4605" width="10.1640625" style="94" customWidth="1"/>
    <col min="4606" max="4606" width="13" style="94" customWidth="1"/>
    <col min="4607" max="4607" width="12.5" style="94" customWidth="1"/>
    <col min="4608" max="4608" width="11.6640625" style="94" customWidth="1"/>
    <col min="4609" max="4609" width="11.33203125" style="94" customWidth="1"/>
    <col min="4610" max="4610" width="10.33203125" style="94" customWidth="1"/>
    <col min="4611" max="4611" width="12" style="94" customWidth="1"/>
    <col min="4612" max="4850" width="9.33203125" style="94"/>
    <col min="4851" max="4851" width="4.83203125" style="94" customWidth="1"/>
    <col min="4852" max="4852" width="27.33203125" style="94" customWidth="1"/>
    <col min="4853" max="4854" width="15.5" style="94" customWidth="1"/>
    <col min="4855" max="4855" width="13.6640625" style="94" customWidth="1"/>
    <col min="4856" max="4856" width="12.33203125" style="94" customWidth="1"/>
    <col min="4857" max="4857" width="13" style="94" bestFit="1" customWidth="1"/>
    <col min="4858" max="4858" width="11.33203125" style="94" customWidth="1"/>
    <col min="4859" max="4859" width="12.33203125" style="94" customWidth="1"/>
    <col min="4860" max="4860" width="10.33203125" style="94" customWidth="1"/>
    <col min="4861" max="4861" width="10.1640625" style="94" customWidth="1"/>
    <col min="4862" max="4862" width="13" style="94" customWidth="1"/>
    <col min="4863" max="4863" width="12.5" style="94" customWidth="1"/>
    <col min="4864" max="4864" width="11.6640625" style="94" customWidth="1"/>
    <col min="4865" max="4865" width="11.33203125" style="94" customWidth="1"/>
    <col min="4866" max="4866" width="10.33203125" style="94" customWidth="1"/>
    <col min="4867" max="4867" width="12" style="94" customWidth="1"/>
    <col min="4868" max="5106" width="9.33203125" style="94"/>
    <col min="5107" max="5107" width="4.83203125" style="94" customWidth="1"/>
    <col min="5108" max="5108" width="27.33203125" style="94" customWidth="1"/>
    <col min="5109" max="5110" width="15.5" style="94" customWidth="1"/>
    <col min="5111" max="5111" width="13.6640625" style="94" customWidth="1"/>
    <col min="5112" max="5112" width="12.33203125" style="94" customWidth="1"/>
    <col min="5113" max="5113" width="13" style="94" bestFit="1" customWidth="1"/>
    <col min="5114" max="5114" width="11.33203125" style="94" customWidth="1"/>
    <col min="5115" max="5115" width="12.33203125" style="94" customWidth="1"/>
    <col min="5116" max="5116" width="10.33203125" style="94" customWidth="1"/>
    <col min="5117" max="5117" width="10.1640625" style="94" customWidth="1"/>
    <col min="5118" max="5118" width="13" style="94" customWidth="1"/>
    <col min="5119" max="5119" width="12.5" style="94" customWidth="1"/>
    <col min="5120" max="5120" width="11.6640625" style="94" customWidth="1"/>
    <col min="5121" max="5121" width="11.33203125" style="94" customWidth="1"/>
    <col min="5122" max="5122" width="10.33203125" style="94" customWidth="1"/>
    <col min="5123" max="5123" width="12" style="94" customWidth="1"/>
    <col min="5124" max="5362" width="9.33203125" style="94"/>
    <col min="5363" max="5363" width="4.83203125" style="94" customWidth="1"/>
    <col min="5364" max="5364" width="27.33203125" style="94" customWidth="1"/>
    <col min="5365" max="5366" width="15.5" style="94" customWidth="1"/>
    <col min="5367" max="5367" width="13.6640625" style="94" customWidth="1"/>
    <col min="5368" max="5368" width="12.33203125" style="94" customWidth="1"/>
    <col min="5369" max="5369" width="13" style="94" bestFit="1" customWidth="1"/>
    <col min="5370" max="5370" width="11.33203125" style="94" customWidth="1"/>
    <col min="5371" max="5371" width="12.33203125" style="94" customWidth="1"/>
    <col min="5372" max="5372" width="10.33203125" style="94" customWidth="1"/>
    <col min="5373" max="5373" width="10.1640625" style="94" customWidth="1"/>
    <col min="5374" max="5374" width="13" style="94" customWidth="1"/>
    <col min="5375" max="5375" width="12.5" style="94" customWidth="1"/>
    <col min="5376" max="5376" width="11.6640625" style="94" customWidth="1"/>
    <col min="5377" max="5377" width="11.33203125" style="94" customWidth="1"/>
    <col min="5378" max="5378" width="10.33203125" style="94" customWidth="1"/>
    <col min="5379" max="5379" width="12" style="94" customWidth="1"/>
    <col min="5380" max="5618" width="9.33203125" style="94"/>
    <col min="5619" max="5619" width="4.83203125" style="94" customWidth="1"/>
    <col min="5620" max="5620" width="27.33203125" style="94" customWidth="1"/>
    <col min="5621" max="5622" width="15.5" style="94" customWidth="1"/>
    <col min="5623" max="5623" width="13.6640625" style="94" customWidth="1"/>
    <col min="5624" max="5624" width="12.33203125" style="94" customWidth="1"/>
    <col min="5625" max="5625" width="13" style="94" bestFit="1" customWidth="1"/>
    <col min="5626" max="5626" width="11.33203125" style="94" customWidth="1"/>
    <col min="5627" max="5627" width="12.33203125" style="94" customWidth="1"/>
    <col min="5628" max="5628" width="10.33203125" style="94" customWidth="1"/>
    <col min="5629" max="5629" width="10.1640625" style="94" customWidth="1"/>
    <col min="5630" max="5630" width="13" style="94" customWidth="1"/>
    <col min="5631" max="5631" width="12.5" style="94" customWidth="1"/>
    <col min="5632" max="5632" width="11.6640625" style="94" customWidth="1"/>
    <col min="5633" max="5633" width="11.33203125" style="94" customWidth="1"/>
    <col min="5634" max="5634" width="10.33203125" style="94" customWidth="1"/>
    <col min="5635" max="5635" width="12" style="94" customWidth="1"/>
    <col min="5636" max="5874" width="9.33203125" style="94"/>
    <col min="5875" max="5875" width="4.83203125" style="94" customWidth="1"/>
    <col min="5876" max="5876" width="27.33203125" style="94" customWidth="1"/>
    <col min="5877" max="5878" width="15.5" style="94" customWidth="1"/>
    <col min="5879" max="5879" width="13.6640625" style="94" customWidth="1"/>
    <col min="5880" max="5880" width="12.33203125" style="94" customWidth="1"/>
    <col min="5881" max="5881" width="13" style="94" bestFit="1" customWidth="1"/>
    <col min="5882" max="5882" width="11.33203125" style="94" customWidth="1"/>
    <col min="5883" max="5883" width="12.33203125" style="94" customWidth="1"/>
    <col min="5884" max="5884" width="10.33203125" style="94" customWidth="1"/>
    <col min="5885" max="5885" width="10.1640625" style="94" customWidth="1"/>
    <col min="5886" max="5886" width="13" style="94" customWidth="1"/>
    <col min="5887" max="5887" width="12.5" style="94" customWidth="1"/>
    <col min="5888" max="5888" width="11.6640625" style="94" customWidth="1"/>
    <col min="5889" max="5889" width="11.33203125" style="94" customWidth="1"/>
    <col min="5890" max="5890" width="10.33203125" style="94" customWidth="1"/>
    <col min="5891" max="5891" width="12" style="94" customWidth="1"/>
    <col min="5892" max="6130" width="9.33203125" style="94"/>
    <col min="6131" max="6131" width="4.83203125" style="94" customWidth="1"/>
    <col min="6132" max="6132" width="27.33203125" style="94" customWidth="1"/>
    <col min="6133" max="6134" width="15.5" style="94" customWidth="1"/>
    <col min="6135" max="6135" width="13.6640625" style="94" customWidth="1"/>
    <col min="6136" max="6136" width="12.33203125" style="94" customWidth="1"/>
    <col min="6137" max="6137" width="13" style="94" bestFit="1" customWidth="1"/>
    <col min="6138" max="6138" width="11.33203125" style="94" customWidth="1"/>
    <col min="6139" max="6139" width="12.33203125" style="94" customWidth="1"/>
    <col min="6140" max="6140" width="10.33203125" style="94" customWidth="1"/>
    <col min="6141" max="6141" width="10.1640625" style="94" customWidth="1"/>
    <col min="6142" max="6142" width="13" style="94" customWidth="1"/>
    <col min="6143" max="6143" width="12.5" style="94" customWidth="1"/>
    <col min="6144" max="6144" width="11.6640625" style="94" customWidth="1"/>
    <col min="6145" max="6145" width="11.33203125" style="94" customWidth="1"/>
    <col min="6146" max="6146" width="10.33203125" style="94" customWidth="1"/>
    <col min="6147" max="6147" width="12" style="94" customWidth="1"/>
    <col min="6148" max="6386" width="9.33203125" style="94"/>
    <col min="6387" max="6387" width="4.83203125" style="94" customWidth="1"/>
    <col min="6388" max="6388" width="27.33203125" style="94" customWidth="1"/>
    <col min="6389" max="6390" width="15.5" style="94" customWidth="1"/>
    <col min="6391" max="6391" width="13.6640625" style="94" customWidth="1"/>
    <col min="6392" max="6392" width="12.33203125" style="94" customWidth="1"/>
    <col min="6393" max="6393" width="13" style="94" bestFit="1" customWidth="1"/>
    <col min="6394" max="6394" width="11.33203125" style="94" customWidth="1"/>
    <col min="6395" max="6395" width="12.33203125" style="94" customWidth="1"/>
    <col min="6396" max="6396" width="10.33203125" style="94" customWidth="1"/>
    <col min="6397" max="6397" width="10.1640625" style="94" customWidth="1"/>
    <col min="6398" max="6398" width="13" style="94" customWidth="1"/>
    <col min="6399" max="6399" width="12.5" style="94" customWidth="1"/>
    <col min="6400" max="6400" width="11.6640625" style="94" customWidth="1"/>
    <col min="6401" max="6401" width="11.33203125" style="94" customWidth="1"/>
    <col min="6402" max="6402" width="10.33203125" style="94" customWidth="1"/>
    <col min="6403" max="6403" width="12" style="94" customWidth="1"/>
    <col min="6404" max="6642" width="9.33203125" style="94"/>
    <col min="6643" max="6643" width="4.83203125" style="94" customWidth="1"/>
    <col min="6644" max="6644" width="27.33203125" style="94" customWidth="1"/>
    <col min="6645" max="6646" width="15.5" style="94" customWidth="1"/>
    <col min="6647" max="6647" width="13.6640625" style="94" customWidth="1"/>
    <col min="6648" max="6648" width="12.33203125" style="94" customWidth="1"/>
    <col min="6649" max="6649" width="13" style="94" bestFit="1" customWidth="1"/>
    <col min="6650" max="6650" width="11.33203125" style="94" customWidth="1"/>
    <col min="6651" max="6651" width="12.33203125" style="94" customWidth="1"/>
    <col min="6652" max="6652" width="10.33203125" style="94" customWidth="1"/>
    <col min="6653" max="6653" width="10.1640625" style="94" customWidth="1"/>
    <col min="6654" max="6654" width="13" style="94" customWidth="1"/>
    <col min="6655" max="6655" width="12.5" style="94" customWidth="1"/>
    <col min="6656" max="6656" width="11.6640625" style="94" customWidth="1"/>
    <col min="6657" max="6657" width="11.33203125" style="94" customWidth="1"/>
    <col min="6658" max="6658" width="10.33203125" style="94" customWidth="1"/>
    <col min="6659" max="6659" width="12" style="94" customWidth="1"/>
    <col min="6660" max="6898" width="9.33203125" style="94"/>
    <col min="6899" max="6899" width="4.83203125" style="94" customWidth="1"/>
    <col min="6900" max="6900" width="27.33203125" style="94" customWidth="1"/>
    <col min="6901" max="6902" width="15.5" style="94" customWidth="1"/>
    <col min="6903" max="6903" width="13.6640625" style="94" customWidth="1"/>
    <col min="6904" max="6904" width="12.33203125" style="94" customWidth="1"/>
    <col min="6905" max="6905" width="13" style="94" bestFit="1" customWidth="1"/>
    <col min="6906" max="6906" width="11.33203125" style="94" customWidth="1"/>
    <col min="6907" max="6907" width="12.33203125" style="94" customWidth="1"/>
    <col min="6908" max="6908" width="10.33203125" style="94" customWidth="1"/>
    <col min="6909" max="6909" width="10.1640625" style="94" customWidth="1"/>
    <col min="6910" max="6910" width="13" style="94" customWidth="1"/>
    <col min="6911" max="6911" width="12.5" style="94" customWidth="1"/>
    <col min="6912" max="6912" width="11.6640625" style="94" customWidth="1"/>
    <col min="6913" max="6913" width="11.33203125" style="94" customWidth="1"/>
    <col min="6914" max="6914" width="10.33203125" style="94" customWidth="1"/>
    <col min="6915" max="6915" width="12" style="94" customWidth="1"/>
    <col min="6916" max="7154" width="9.33203125" style="94"/>
    <col min="7155" max="7155" width="4.83203125" style="94" customWidth="1"/>
    <col min="7156" max="7156" width="27.33203125" style="94" customWidth="1"/>
    <col min="7157" max="7158" width="15.5" style="94" customWidth="1"/>
    <col min="7159" max="7159" width="13.6640625" style="94" customWidth="1"/>
    <col min="7160" max="7160" width="12.33203125" style="94" customWidth="1"/>
    <col min="7161" max="7161" width="13" style="94" bestFit="1" customWidth="1"/>
    <col min="7162" max="7162" width="11.33203125" style="94" customWidth="1"/>
    <col min="7163" max="7163" width="12.33203125" style="94" customWidth="1"/>
    <col min="7164" max="7164" width="10.33203125" style="94" customWidth="1"/>
    <col min="7165" max="7165" width="10.1640625" style="94" customWidth="1"/>
    <col min="7166" max="7166" width="13" style="94" customWidth="1"/>
    <col min="7167" max="7167" width="12.5" style="94" customWidth="1"/>
    <col min="7168" max="7168" width="11.6640625" style="94" customWidth="1"/>
    <col min="7169" max="7169" width="11.33203125" style="94" customWidth="1"/>
    <col min="7170" max="7170" width="10.33203125" style="94" customWidth="1"/>
    <col min="7171" max="7171" width="12" style="94" customWidth="1"/>
    <col min="7172" max="7410" width="9.33203125" style="94"/>
    <col min="7411" max="7411" width="4.83203125" style="94" customWidth="1"/>
    <col min="7412" max="7412" width="27.33203125" style="94" customWidth="1"/>
    <col min="7413" max="7414" width="15.5" style="94" customWidth="1"/>
    <col min="7415" max="7415" width="13.6640625" style="94" customWidth="1"/>
    <col min="7416" max="7416" width="12.33203125" style="94" customWidth="1"/>
    <col min="7417" max="7417" width="13" style="94" bestFit="1" customWidth="1"/>
    <col min="7418" max="7418" width="11.33203125" style="94" customWidth="1"/>
    <col min="7419" max="7419" width="12.33203125" style="94" customWidth="1"/>
    <col min="7420" max="7420" width="10.33203125" style="94" customWidth="1"/>
    <col min="7421" max="7421" width="10.1640625" style="94" customWidth="1"/>
    <col min="7422" max="7422" width="13" style="94" customWidth="1"/>
    <col min="7423" max="7423" width="12.5" style="94" customWidth="1"/>
    <col min="7424" max="7424" width="11.6640625" style="94" customWidth="1"/>
    <col min="7425" max="7425" width="11.33203125" style="94" customWidth="1"/>
    <col min="7426" max="7426" width="10.33203125" style="94" customWidth="1"/>
    <col min="7427" max="7427" width="12" style="94" customWidth="1"/>
    <col min="7428" max="7666" width="9.33203125" style="94"/>
    <col min="7667" max="7667" width="4.83203125" style="94" customWidth="1"/>
    <col min="7668" max="7668" width="27.33203125" style="94" customWidth="1"/>
    <col min="7669" max="7670" width="15.5" style="94" customWidth="1"/>
    <col min="7671" max="7671" width="13.6640625" style="94" customWidth="1"/>
    <col min="7672" max="7672" width="12.33203125" style="94" customWidth="1"/>
    <col min="7673" max="7673" width="13" style="94" bestFit="1" customWidth="1"/>
    <col min="7674" max="7674" width="11.33203125" style="94" customWidth="1"/>
    <col min="7675" max="7675" width="12.33203125" style="94" customWidth="1"/>
    <col min="7676" max="7676" width="10.33203125" style="94" customWidth="1"/>
    <col min="7677" max="7677" width="10.1640625" style="94" customWidth="1"/>
    <col min="7678" max="7678" width="13" style="94" customWidth="1"/>
    <col min="7679" max="7679" width="12.5" style="94" customWidth="1"/>
    <col min="7680" max="7680" width="11.6640625" style="94" customWidth="1"/>
    <col min="7681" max="7681" width="11.33203125" style="94" customWidth="1"/>
    <col min="7682" max="7682" width="10.33203125" style="94" customWidth="1"/>
    <col min="7683" max="7683" width="12" style="94" customWidth="1"/>
    <col min="7684" max="7922" width="9.33203125" style="94"/>
    <col min="7923" max="7923" width="4.83203125" style="94" customWidth="1"/>
    <col min="7924" max="7924" width="27.33203125" style="94" customWidth="1"/>
    <col min="7925" max="7926" width="15.5" style="94" customWidth="1"/>
    <col min="7927" max="7927" width="13.6640625" style="94" customWidth="1"/>
    <col min="7928" max="7928" width="12.33203125" style="94" customWidth="1"/>
    <col min="7929" max="7929" width="13" style="94" bestFit="1" customWidth="1"/>
    <col min="7930" max="7930" width="11.33203125" style="94" customWidth="1"/>
    <col min="7931" max="7931" width="12.33203125" style="94" customWidth="1"/>
    <col min="7932" max="7932" width="10.33203125" style="94" customWidth="1"/>
    <col min="7933" max="7933" width="10.1640625" style="94" customWidth="1"/>
    <col min="7934" max="7934" width="13" style="94" customWidth="1"/>
    <col min="7935" max="7935" width="12.5" style="94" customWidth="1"/>
    <col min="7936" max="7936" width="11.6640625" style="94" customWidth="1"/>
    <col min="7937" max="7937" width="11.33203125" style="94" customWidth="1"/>
    <col min="7938" max="7938" width="10.33203125" style="94" customWidth="1"/>
    <col min="7939" max="7939" width="12" style="94" customWidth="1"/>
    <col min="7940" max="8178" width="9.33203125" style="94"/>
    <col min="8179" max="8179" width="4.83203125" style="94" customWidth="1"/>
    <col min="8180" max="8180" width="27.33203125" style="94" customWidth="1"/>
    <col min="8181" max="8182" width="15.5" style="94" customWidth="1"/>
    <col min="8183" max="8183" width="13.6640625" style="94" customWidth="1"/>
    <col min="8184" max="8184" width="12.33203125" style="94" customWidth="1"/>
    <col min="8185" max="8185" width="13" style="94" bestFit="1" customWidth="1"/>
    <col min="8186" max="8186" width="11.33203125" style="94" customWidth="1"/>
    <col min="8187" max="8187" width="12.33203125" style="94" customWidth="1"/>
    <col min="8188" max="8188" width="10.33203125" style="94" customWidth="1"/>
    <col min="8189" max="8189" width="10.1640625" style="94" customWidth="1"/>
    <col min="8190" max="8190" width="13" style="94" customWidth="1"/>
    <col min="8191" max="8191" width="12.5" style="94" customWidth="1"/>
    <col min="8192" max="8192" width="11.6640625" style="94" customWidth="1"/>
    <col min="8193" max="8193" width="11.33203125" style="94" customWidth="1"/>
    <col min="8194" max="8194" width="10.33203125" style="94" customWidth="1"/>
    <col min="8195" max="8195" width="12" style="94" customWidth="1"/>
    <col min="8196" max="8434" width="9.33203125" style="94"/>
    <col min="8435" max="8435" width="4.83203125" style="94" customWidth="1"/>
    <col min="8436" max="8436" width="27.33203125" style="94" customWidth="1"/>
    <col min="8437" max="8438" width="15.5" style="94" customWidth="1"/>
    <col min="8439" max="8439" width="13.6640625" style="94" customWidth="1"/>
    <col min="8440" max="8440" width="12.33203125" style="94" customWidth="1"/>
    <col min="8441" max="8441" width="13" style="94" bestFit="1" customWidth="1"/>
    <col min="8442" max="8442" width="11.33203125" style="94" customWidth="1"/>
    <col min="8443" max="8443" width="12.33203125" style="94" customWidth="1"/>
    <col min="8444" max="8444" width="10.33203125" style="94" customWidth="1"/>
    <col min="8445" max="8445" width="10.1640625" style="94" customWidth="1"/>
    <col min="8446" max="8446" width="13" style="94" customWidth="1"/>
    <col min="8447" max="8447" width="12.5" style="94" customWidth="1"/>
    <col min="8448" max="8448" width="11.6640625" style="94" customWidth="1"/>
    <col min="8449" max="8449" width="11.33203125" style="94" customWidth="1"/>
    <col min="8450" max="8450" width="10.33203125" style="94" customWidth="1"/>
    <col min="8451" max="8451" width="12" style="94" customWidth="1"/>
    <col min="8452" max="8690" width="9.33203125" style="94"/>
    <col min="8691" max="8691" width="4.83203125" style="94" customWidth="1"/>
    <col min="8692" max="8692" width="27.33203125" style="94" customWidth="1"/>
    <col min="8693" max="8694" width="15.5" style="94" customWidth="1"/>
    <col min="8695" max="8695" width="13.6640625" style="94" customWidth="1"/>
    <col min="8696" max="8696" width="12.33203125" style="94" customWidth="1"/>
    <col min="8697" max="8697" width="13" style="94" bestFit="1" customWidth="1"/>
    <col min="8698" max="8698" width="11.33203125" style="94" customWidth="1"/>
    <col min="8699" max="8699" width="12.33203125" style="94" customWidth="1"/>
    <col min="8700" max="8700" width="10.33203125" style="94" customWidth="1"/>
    <col min="8701" max="8701" width="10.1640625" style="94" customWidth="1"/>
    <col min="8702" max="8702" width="13" style="94" customWidth="1"/>
    <col min="8703" max="8703" width="12.5" style="94" customWidth="1"/>
    <col min="8704" max="8704" width="11.6640625" style="94" customWidth="1"/>
    <col min="8705" max="8705" width="11.33203125" style="94" customWidth="1"/>
    <col min="8706" max="8706" width="10.33203125" style="94" customWidth="1"/>
    <col min="8707" max="8707" width="12" style="94" customWidth="1"/>
    <col min="8708" max="8946" width="9.33203125" style="94"/>
    <col min="8947" max="8947" width="4.83203125" style="94" customWidth="1"/>
    <col min="8948" max="8948" width="27.33203125" style="94" customWidth="1"/>
    <col min="8949" max="8950" width="15.5" style="94" customWidth="1"/>
    <col min="8951" max="8951" width="13.6640625" style="94" customWidth="1"/>
    <col min="8952" max="8952" width="12.33203125" style="94" customWidth="1"/>
    <col min="8953" max="8953" width="13" style="94" bestFit="1" customWidth="1"/>
    <col min="8954" max="8954" width="11.33203125" style="94" customWidth="1"/>
    <col min="8955" max="8955" width="12.33203125" style="94" customWidth="1"/>
    <col min="8956" max="8956" width="10.33203125" style="94" customWidth="1"/>
    <col min="8957" max="8957" width="10.1640625" style="94" customWidth="1"/>
    <col min="8958" max="8958" width="13" style="94" customWidth="1"/>
    <col min="8959" max="8959" width="12.5" style="94" customWidth="1"/>
    <col min="8960" max="8960" width="11.6640625" style="94" customWidth="1"/>
    <col min="8961" max="8961" width="11.33203125" style="94" customWidth="1"/>
    <col min="8962" max="8962" width="10.33203125" style="94" customWidth="1"/>
    <col min="8963" max="8963" width="12" style="94" customWidth="1"/>
    <col min="8964" max="9202" width="9.33203125" style="94"/>
    <col min="9203" max="9203" width="4.83203125" style="94" customWidth="1"/>
    <col min="9204" max="9204" width="27.33203125" style="94" customWidth="1"/>
    <col min="9205" max="9206" width="15.5" style="94" customWidth="1"/>
    <col min="9207" max="9207" width="13.6640625" style="94" customWidth="1"/>
    <col min="9208" max="9208" width="12.33203125" style="94" customWidth="1"/>
    <col min="9209" max="9209" width="13" style="94" bestFit="1" customWidth="1"/>
    <col min="9210" max="9210" width="11.33203125" style="94" customWidth="1"/>
    <col min="9211" max="9211" width="12.33203125" style="94" customWidth="1"/>
    <col min="9212" max="9212" width="10.33203125" style="94" customWidth="1"/>
    <col min="9213" max="9213" width="10.1640625" style="94" customWidth="1"/>
    <col min="9214" max="9214" width="13" style="94" customWidth="1"/>
    <col min="9215" max="9215" width="12.5" style="94" customWidth="1"/>
    <col min="9216" max="9216" width="11.6640625" style="94" customWidth="1"/>
    <col min="9217" max="9217" width="11.33203125" style="94" customWidth="1"/>
    <col min="9218" max="9218" width="10.33203125" style="94" customWidth="1"/>
    <col min="9219" max="9219" width="12" style="94" customWidth="1"/>
    <col min="9220" max="9458" width="9.33203125" style="94"/>
    <col min="9459" max="9459" width="4.83203125" style="94" customWidth="1"/>
    <col min="9460" max="9460" width="27.33203125" style="94" customWidth="1"/>
    <col min="9461" max="9462" width="15.5" style="94" customWidth="1"/>
    <col min="9463" max="9463" width="13.6640625" style="94" customWidth="1"/>
    <col min="9464" max="9464" width="12.33203125" style="94" customWidth="1"/>
    <col min="9465" max="9465" width="13" style="94" bestFit="1" customWidth="1"/>
    <col min="9466" max="9466" width="11.33203125" style="94" customWidth="1"/>
    <col min="9467" max="9467" width="12.33203125" style="94" customWidth="1"/>
    <col min="9468" max="9468" width="10.33203125" style="94" customWidth="1"/>
    <col min="9469" max="9469" width="10.1640625" style="94" customWidth="1"/>
    <col min="9470" max="9470" width="13" style="94" customWidth="1"/>
    <col min="9471" max="9471" width="12.5" style="94" customWidth="1"/>
    <col min="9472" max="9472" width="11.6640625" style="94" customWidth="1"/>
    <col min="9473" max="9473" width="11.33203125" style="94" customWidth="1"/>
    <col min="9474" max="9474" width="10.33203125" style="94" customWidth="1"/>
    <col min="9475" max="9475" width="12" style="94" customWidth="1"/>
    <col min="9476" max="9714" width="9.33203125" style="94"/>
    <col min="9715" max="9715" width="4.83203125" style="94" customWidth="1"/>
    <col min="9716" max="9716" width="27.33203125" style="94" customWidth="1"/>
    <col min="9717" max="9718" width="15.5" style="94" customWidth="1"/>
    <col min="9719" max="9719" width="13.6640625" style="94" customWidth="1"/>
    <col min="9720" max="9720" width="12.33203125" style="94" customWidth="1"/>
    <col min="9721" max="9721" width="13" style="94" bestFit="1" customWidth="1"/>
    <col min="9722" max="9722" width="11.33203125" style="94" customWidth="1"/>
    <col min="9723" max="9723" width="12.33203125" style="94" customWidth="1"/>
    <col min="9724" max="9724" width="10.33203125" style="94" customWidth="1"/>
    <col min="9725" max="9725" width="10.1640625" style="94" customWidth="1"/>
    <col min="9726" max="9726" width="13" style="94" customWidth="1"/>
    <col min="9727" max="9727" width="12.5" style="94" customWidth="1"/>
    <col min="9728" max="9728" width="11.6640625" style="94" customWidth="1"/>
    <col min="9729" max="9729" width="11.33203125" style="94" customWidth="1"/>
    <col min="9730" max="9730" width="10.33203125" style="94" customWidth="1"/>
    <col min="9731" max="9731" width="12" style="94" customWidth="1"/>
    <col min="9732" max="9970" width="9.33203125" style="94"/>
    <col min="9971" max="9971" width="4.83203125" style="94" customWidth="1"/>
    <col min="9972" max="9972" width="27.33203125" style="94" customWidth="1"/>
    <col min="9973" max="9974" width="15.5" style="94" customWidth="1"/>
    <col min="9975" max="9975" width="13.6640625" style="94" customWidth="1"/>
    <col min="9976" max="9976" width="12.33203125" style="94" customWidth="1"/>
    <col min="9977" max="9977" width="13" style="94" bestFit="1" customWidth="1"/>
    <col min="9978" max="9978" width="11.33203125" style="94" customWidth="1"/>
    <col min="9979" max="9979" width="12.33203125" style="94" customWidth="1"/>
    <col min="9980" max="9980" width="10.33203125" style="94" customWidth="1"/>
    <col min="9981" max="9981" width="10.1640625" style="94" customWidth="1"/>
    <col min="9982" max="9982" width="13" style="94" customWidth="1"/>
    <col min="9983" max="9983" width="12.5" style="94" customWidth="1"/>
    <col min="9984" max="9984" width="11.6640625" style="94" customWidth="1"/>
    <col min="9985" max="9985" width="11.33203125" style="94" customWidth="1"/>
    <col min="9986" max="9986" width="10.33203125" style="94" customWidth="1"/>
    <col min="9987" max="9987" width="12" style="94" customWidth="1"/>
    <col min="9988" max="10226" width="9.33203125" style="94"/>
    <col min="10227" max="10227" width="4.83203125" style="94" customWidth="1"/>
    <col min="10228" max="10228" width="27.33203125" style="94" customWidth="1"/>
    <col min="10229" max="10230" width="15.5" style="94" customWidth="1"/>
    <col min="10231" max="10231" width="13.6640625" style="94" customWidth="1"/>
    <col min="10232" max="10232" width="12.33203125" style="94" customWidth="1"/>
    <col min="10233" max="10233" width="13" style="94" bestFit="1" customWidth="1"/>
    <col min="10234" max="10234" width="11.33203125" style="94" customWidth="1"/>
    <col min="10235" max="10235" width="12.33203125" style="94" customWidth="1"/>
    <col min="10236" max="10236" width="10.33203125" style="94" customWidth="1"/>
    <col min="10237" max="10237" width="10.1640625" style="94" customWidth="1"/>
    <col min="10238" max="10238" width="13" style="94" customWidth="1"/>
    <col min="10239" max="10239" width="12.5" style="94" customWidth="1"/>
    <col min="10240" max="10240" width="11.6640625" style="94" customWidth="1"/>
    <col min="10241" max="10241" width="11.33203125" style="94" customWidth="1"/>
    <col min="10242" max="10242" width="10.33203125" style="94" customWidth="1"/>
    <col min="10243" max="10243" width="12" style="94" customWidth="1"/>
    <col min="10244" max="10482" width="9.33203125" style="94"/>
    <col min="10483" max="10483" width="4.83203125" style="94" customWidth="1"/>
    <col min="10484" max="10484" width="27.33203125" style="94" customWidth="1"/>
    <col min="10485" max="10486" width="15.5" style="94" customWidth="1"/>
    <col min="10487" max="10487" width="13.6640625" style="94" customWidth="1"/>
    <col min="10488" max="10488" width="12.33203125" style="94" customWidth="1"/>
    <col min="10489" max="10489" width="13" style="94" bestFit="1" customWidth="1"/>
    <col min="10490" max="10490" width="11.33203125" style="94" customWidth="1"/>
    <col min="10491" max="10491" width="12.33203125" style="94" customWidth="1"/>
    <col min="10492" max="10492" width="10.33203125" style="94" customWidth="1"/>
    <col min="10493" max="10493" width="10.1640625" style="94" customWidth="1"/>
    <col min="10494" max="10494" width="13" style="94" customWidth="1"/>
    <col min="10495" max="10495" width="12.5" style="94" customWidth="1"/>
    <col min="10496" max="10496" width="11.6640625" style="94" customWidth="1"/>
    <col min="10497" max="10497" width="11.33203125" style="94" customWidth="1"/>
    <col min="10498" max="10498" width="10.33203125" style="94" customWidth="1"/>
    <col min="10499" max="10499" width="12" style="94" customWidth="1"/>
    <col min="10500" max="10738" width="9.33203125" style="94"/>
    <col min="10739" max="10739" width="4.83203125" style="94" customWidth="1"/>
    <col min="10740" max="10740" width="27.33203125" style="94" customWidth="1"/>
    <col min="10741" max="10742" width="15.5" style="94" customWidth="1"/>
    <col min="10743" max="10743" width="13.6640625" style="94" customWidth="1"/>
    <col min="10744" max="10744" width="12.33203125" style="94" customWidth="1"/>
    <col min="10745" max="10745" width="13" style="94" bestFit="1" customWidth="1"/>
    <col min="10746" max="10746" width="11.33203125" style="94" customWidth="1"/>
    <col min="10747" max="10747" width="12.33203125" style="94" customWidth="1"/>
    <col min="10748" max="10748" width="10.33203125" style="94" customWidth="1"/>
    <col min="10749" max="10749" width="10.1640625" style="94" customWidth="1"/>
    <col min="10750" max="10750" width="13" style="94" customWidth="1"/>
    <col min="10751" max="10751" width="12.5" style="94" customWidth="1"/>
    <col min="10752" max="10752" width="11.6640625" style="94" customWidth="1"/>
    <col min="10753" max="10753" width="11.33203125" style="94" customWidth="1"/>
    <col min="10754" max="10754" width="10.33203125" style="94" customWidth="1"/>
    <col min="10755" max="10755" width="12" style="94" customWidth="1"/>
    <col min="10756" max="10994" width="9.33203125" style="94"/>
    <col min="10995" max="10995" width="4.83203125" style="94" customWidth="1"/>
    <col min="10996" max="10996" width="27.33203125" style="94" customWidth="1"/>
    <col min="10997" max="10998" width="15.5" style="94" customWidth="1"/>
    <col min="10999" max="10999" width="13.6640625" style="94" customWidth="1"/>
    <col min="11000" max="11000" width="12.33203125" style="94" customWidth="1"/>
    <col min="11001" max="11001" width="13" style="94" bestFit="1" customWidth="1"/>
    <col min="11002" max="11002" width="11.33203125" style="94" customWidth="1"/>
    <col min="11003" max="11003" width="12.33203125" style="94" customWidth="1"/>
    <col min="11004" max="11004" width="10.33203125" style="94" customWidth="1"/>
    <col min="11005" max="11005" width="10.1640625" style="94" customWidth="1"/>
    <col min="11006" max="11006" width="13" style="94" customWidth="1"/>
    <col min="11007" max="11007" width="12.5" style="94" customWidth="1"/>
    <col min="11008" max="11008" width="11.6640625" style="94" customWidth="1"/>
    <col min="11009" max="11009" width="11.33203125" style="94" customWidth="1"/>
    <col min="11010" max="11010" width="10.33203125" style="94" customWidth="1"/>
    <col min="11011" max="11011" width="12" style="94" customWidth="1"/>
    <col min="11012" max="11250" width="9.33203125" style="94"/>
    <col min="11251" max="11251" width="4.83203125" style="94" customWidth="1"/>
    <col min="11252" max="11252" width="27.33203125" style="94" customWidth="1"/>
    <col min="11253" max="11254" width="15.5" style="94" customWidth="1"/>
    <col min="11255" max="11255" width="13.6640625" style="94" customWidth="1"/>
    <col min="11256" max="11256" width="12.33203125" style="94" customWidth="1"/>
    <col min="11257" max="11257" width="13" style="94" bestFit="1" customWidth="1"/>
    <col min="11258" max="11258" width="11.33203125" style="94" customWidth="1"/>
    <col min="11259" max="11259" width="12.33203125" style="94" customWidth="1"/>
    <col min="11260" max="11260" width="10.33203125" style="94" customWidth="1"/>
    <col min="11261" max="11261" width="10.1640625" style="94" customWidth="1"/>
    <col min="11262" max="11262" width="13" style="94" customWidth="1"/>
    <col min="11263" max="11263" width="12.5" style="94" customWidth="1"/>
    <col min="11264" max="11264" width="11.6640625" style="94" customWidth="1"/>
    <col min="11265" max="11265" width="11.33203125" style="94" customWidth="1"/>
    <col min="11266" max="11266" width="10.33203125" style="94" customWidth="1"/>
    <col min="11267" max="11267" width="12" style="94" customWidth="1"/>
    <col min="11268" max="11506" width="9.33203125" style="94"/>
    <col min="11507" max="11507" width="4.83203125" style="94" customWidth="1"/>
    <col min="11508" max="11508" width="27.33203125" style="94" customWidth="1"/>
    <col min="11509" max="11510" width="15.5" style="94" customWidth="1"/>
    <col min="11511" max="11511" width="13.6640625" style="94" customWidth="1"/>
    <col min="11512" max="11512" width="12.33203125" style="94" customWidth="1"/>
    <col min="11513" max="11513" width="13" style="94" bestFit="1" customWidth="1"/>
    <col min="11514" max="11514" width="11.33203125" style="94" customWidth="1"/>
    <col min="11515" max="11515" width="12.33203125" style="94" customWidth="1"/>
    <col min="11516" max="11516" width="10.33203125" style="94" customWidth="1"/>
    <col min="11517" max="11517" width="10.1640625" style="94" customWidth="1"/>
    <col min="11518" max="11518" width="13" style="94" customWidth="1"/>
    <col min="11519" max="11519" width="12.5" style="94" customWidth="1"/>
    <col min="11520" max="11520" width="11.6640625" style="94" customWidth="1"/>
    <col min="11521" max="11521" width="11.33203125" style="94" customWidth="1"/>
    <col min="11522" max="11522" width="10.33203125" style="94" customWidth="1"/>
    <col min="11523" max="11523" width="12" style="94" customWidth="1"/>
    <col min="11524" max="11762" width="9.33203125" style="94"/>
    <col min="11763" max="11763" width="4.83203125" style="94" customWidth="1"/>
    <col min="11764" max="11764" width="27.33203125" style="94" customWidth="1"/>
    <col min="11765" max="11766" width="15.5" style="94" customWidth="1"/>
    <col min="11767" max="11767" width="13.6640625" style="94" customWidth="1"/>
    <col min="11768" max="11768" width="12.33203125" style="94" customWidth="1"/>
    <col min="11769" max="11769" width="13" style="94" bestFit="1" customWidth="1"/>
    <col min="11770" max="11770" width="11.33203125" style="94" customWidth="1"/>
    <col min="11771" max="11771" width="12.33203125" style="94" customWidth="1"/>
    <col min="11772" max="11772" width="10.33203125" style="94" customWidth="1"/>
    <col min="11773" max="11773" width="10.1640625" style="94" customWidth="1"/>
    <col min="11774" max="11774" width="13" style="94" customWidth="1"/>
    <col min="11775" max="11775" width="12.5" style="94" customWidth="1"/>
    <col min="11776" max="11776" width="11.6640625" style="94" customWidth="1"/>
    <col min="11777" max="11777" width="11.33203125" style="94" customWidth="1"/>
    <col min="11778" max="11778" width="10.33203125" style="94" customWidth="1"/>
    <col min="11779" max="11779" width="12" style="94" customWidth="1"/>
    <col min="11780" max="12018" width="9.33203125" style="94"/>
    <col min="12019" max="12019" width="4.83203125" style="94" customWidth="1"/>
    <col min="12020" max="12020" width="27.33203125" style="94" customWidth="1"/>
    <col min="12021" max="12022" width="15.5" style="94" customWidth="1"/>
    <col min="12023" max="12023" width="13.6640625" style="94" customWidth="1"/>
    <col min="12024" max="12024" width="12.33203125" style="94" customWidth="1"/>
    <col min="12025" max="12025" width="13" style="94" bestFit="1" customWidth="1"/>
    <col min="12026" max="12026" width="11.33203125" style="94" customWidth="1"/>
    <col min="12027" max="12027" width="12.33203125" style="94" customWidth="1"/>
    <col min="12028" max="12028" width="10.33203125" style="94" customWidth="1"/>
    <col min="12029" max="12029" width="10.1640625" style="94" customWidth="1"/>
    <col min="12030" max="12030" width="13" style="94" customWidth="1"/>
    <col min="12031" max="12031" width="12.5" style="94" customWidth="1"/>
    <col min="12032" max="12032" width="11.6640625" style="94" customWidth="1"/>
    <col min="12033" max="12033" width="11.33203125" style="94" customWidth="1"/>
    <col min="12034" max="12034" width="10.33203125" style="94" customWidth="1"/>
    <col min="12035" max="12035" width="12" style="94" customWidth="1"/>
    <col min="12036" max="12274" width="9.33203125" style="94"/>
    <col min="12275" max="12275" width="4.83203125" style="94" customWidth="1"/>
    <col min="12276" max="12276" width="27.33203125" style="94" customWidth="1"/>
    <col min="12277" max="12278" width="15.5" style="94" customWidth="1"/>
    <col min="12279" max="12279" width="13.6640625" style="94" customWidth="1"/>
    <col min="12280" max="12280" width="12.33203125" style="94" customWidth="1"/>
    <col min="12281" max="12281" width="13" style="94" bestFit="1" customWidth="1"/>
    <col min="12282" max="12282" width="11.33203125" style="94" customWidth="1"/>
    <col min="12283" max="12283" width="12.33203125" style="94" customWidth="1"/>
    <col min="12284" max="12284" width="10.33203125" style="94" customWidth="1"/>
    <col min="12285" max="12285" width="10.1640625" style="94" customWidth="1"/>
    <col min="12286" max="12286" width="13" style="94" customWidth="1"/>
    <col min="12287" max="12287" width="12.5" style="94" customWidth="1"/>
    <col min="12288" max="12288" width="11.6640625" style="94" customWidth="1"/>
    <col min="12289" max="12289" width="11.33203125" style="94" customWidth="1"/>
    <col min="12290" max="12290" width="10.33203125" style="94" customWidth="1"/>
    <col min="12291" max="12291" width="12" style="94" customWidth="1"/>
    <col min="12292" max="12530" width="9.33203125" style="94"/>
    <col min="12531" max="12531" width="4.83203125" style="94" customWidth="1"/>
    <col min="12532" max="12532" width="27.33203125" style="94" customWidth="1"/>
    <col min="12533" max="12534" width="15.5" style="94" customWidth="1"/>
    <col min="12535" max="12535" width="13.6640625" style="94" customWidth="1"/>
    <col min="12536" max="12536" width="12.33203125" style="94" customWidth="1"/>
    <col min="12537" max="12537" width="13" style="94" bestFit="1" customWidth="1"/>
    <col min="12538" max="12538" width="11.33203125" style="94" customWidth="1"/>
    <col min="12539" max="12539" width="12.33203125" style="94" customWidth="1"/>
    <col min="12540" max="12540" width="10.33203125" style="94" customWidth="1"/>
    <col min="12541" max="12541" width="10.1640625" style="94" customWidth="1"/>
    <col min="12542" max="12542" width="13" style="94" customWidth="1"/>
    <col min="12543" max="12543" width="12.5" style="94" customWidth="1"/>
    <col min="12544" max="12544" width="11.6640625" style="94" customWidth="1"/>
    <col min="12545" max="12545" width="11.33203125" style="94" customWidth="1"/>
    <col min="12546" max="12546" width="10.33203125" style="94" customWidth="1"/>
    <col min="12547" max="12547" width="12" style="94" customWidth="1"/>
    <col min="12548" max="12786" width="9.33203125" style="94"/>
    <col min="12787" max="12787" width="4.83203125" style="94" customWidth="1"/>
    <col min="12788" max="12788" width="27.33203125" style="94" customWidth="1"/>
    <col min="12789" max="12790" width="15.5" style="94" customWidth="1"/>
    <col min="12791" max="12791" width="13.6640625" style="94" customWidth="1"/>
    <col min="12792" max="12792" width="12.33203125" style="94" customWidth="1"/>
    <col min="12793" max="12793" width="13" style="94" bestFit="1" customWidth="1"/>
    <col min="12794" max="12794" width="11.33203125" style="94" customWidth="1"/>
    <col min="12795" max="12795" width="12.33203125" style="94" customWidth="1"/>
    <col min="12796" max="12796" width="10.33203125" style="94" customWidth="1"/>
    <col min="12797" max="12797" width="10.1640625" style="94" customWidth="1"/>
    <col min="12798" max="12798" width="13" style="94" customWidth="1"/>
    <col min="12799" max="12799" width="12.5" style="94" customWidth="1"/>
    <col min="12800" max="12800" width="11.6640625" style="94" customWidth="1"/>
    <col min="12801" max="12801" width="11.33203125" style="94" customWidth="1"/>
    <col min="12802" max="12802" width="10.33203125" style="94" customWidth="1"/>
    <col min="12803" max="12803" width="12" style="94" customWidth="1"/>
    <col min="12804" max="13042" width="9.33203125" style="94"/>
    <col min="13043" max="13043" width="4.83203125" style="94" customWidth="1"/>
    <col min="13044" max="13044" width="27.33203125" style="94" customWidth="1"/>
    <col min="13045" max="13046" width="15.5" style="94" customWidth="1"/>
    <col min="13047" max="13047" width="13.6640625" style="94" customWidth="1"/>
    <col min="13048" max="13048" width="12.33203125" style="94" customWidth="1"/>
    <col min="13049" max="13049" width="13" style="94" bestFit="1" customWidth="1"/>
    <col min="13050" max="13050" width="11.33203125" style="94" customWidth="1"/>
    <col min="13051" max="13051" width="12.33203125" style="94" customWidth="1"/>
    <col min="13052" max="13052" width="10.33203125" style="94" customWidth="1"/>
    <col min="13053" max="13053" width="10.1640625" style="94" customWidth="1"/>
    <col min="13054" max="13054" width="13" style="94" customWidth="1"/>
    <col min="13055" max="13055" width="12.5" style="94" customWidth="1"/>
    <col min="13056" max="13056" width="11.6640625" style="94" customWidth="1"/>
    <col min="13057" max="13057" width="11.33203125" style="94" customWidth="1"/>
    <col min="13058" max="13058" width="10.33203125" style="94" customWidth="1"/>
    <col min="13059" max="13059" width="12" style="94" customWidth="1"/>
    <col min="13060" max="13298" width="9.33203125" style="94"/>
    <col min="13299" max="13299" width="4.83203125" style="94" customWidth="1"/>
    <col min="13300" max="13300" width="27.33203125" style="94" customWidth="1"/>
    <col min="13301" max="13302" width="15.5" style="94" customWidth="1"/>
    <col min="13303" max="13303" width="13.6640625" style="94" customWidth="1"/>
    <col min="13304" max="13304" width="12.33203125" style="94" customWidth="1"/>
    <col min="13305" max="13305" width="13" style="94" bestFit="1" customWidth="1"/>
    <col min="13306" max="13306" width="11.33203125" style="94" customWidth="1"/>
    <col min="13307" max="13307" width="12.33203125" style="94" customWidth="1"/>
    <col min="13308" max="13308" width="10.33203125" style="94" customWidth="1"/>
    <col min="13309" max="13309" width="10.1640625" style="94" customWidth="1"/>
    <col min="13310" max="13310" width="13" style="94" customWidth="1"/>
    <col min="13311" max="13311" width="12.5" style="94" customWidth="1"/>
    <col min="13312" max="13312" width="11.6640625" style="94" customWidth="1"/>
    <col min="13313" max="13313" width="11.33203125" style="94" customWidth="1"/>
    <col min="13314" max="13314" width="10.33203125" style="94" customWidth="1"/>
    <col min="13315" max="13315" width="12" style="94" customWidth="1"/>
    <col min="13316" max="13554" width="9.33203125" style="94"/>
    <col min="13555" max="13555" width="4.83203125" style="94" customWidth="1"/>
    <col min="13556" max="13556" width="27.33203125" style="94" customWidth="1"/>
    <col min="13557" max="13558" width="15.5" style="94" customWidth="1"/>
    <col min="13559" max="13559" width="13.6640625" style="94" customWidth="1"/>
    <col min="13560" max="13560" width="12.33203125" style="94" customWidth="1"/>
    <col min="13561" max="13561" width="13" style="94" bestFit="1" customWidth="1"/>
    <col min="13562" max="13562" width="11.33203125" style="94" customWidth="1"/>
    <col min="13563" max="13563" width="12.33203125" style="94" customWidth="1"/>
    <col min="13564" max="13564" width="10.33203125" style="94" customWidth="1"/>
    <col min="13565" max="13565" width="10.1640625" style="94" customWidth="1"/>
    <col min="13566" max="13566" width="13" style="94" customWidth="1"/>
    <col min="13567" max="13567" width="12.5" style="94" customWidth="1"/>
    <col min="13568" max="13568" width="11.6640625" style="94" customWidth="1"/>
    <col min="13569" max="13569" width="11.33203125" style="94" customWidth="1"/>
    <col min="13570" max="13570" width="10.33203125" style="94" customWidth="1"/>
    <col min="13571" max="13571" width="12" style="94" customWidth="1"/>
    <col min="13572" max="13810" width="9.33203125" style="94"/>
    <col min="13811" max="13811" width="4.83203125" style="94" customWidth="1"/>
    <col min="13812" max="13812" width="27.33203125" style="94" customWidth="1"/>
    <col min="13813" max="13814" width="15.5" style="94" customWidth="1"/>
    <col min="13815" max="13815" width="13.6640625" style="94" customWidth="1"/>
    <col min="13816" max="13816" width="12.33203125" style="94" customWidth="1"/>
    <col min="13817" max="13817" width="13" style="94" bestFit="1" customWidth="1"/>
    <col min="13818" max="13818" width="11.33203125" style="94" customWidth="1"/>
    <col min="13819" max="13819" width="12.33203125" style="94" customWidth="1"/>
    <col min="13820" max="13820" width="10.33203125" style="94" customWidth="1"/>
    <col min="13821" max="13821" width="10.1640625" style="94" customWidth="1"/>
    <col min="13822" max="13822" width="13" style="94" customWidth="1"/>
    <col min="13823" max="13823" width="12.5" style="94" customWidth="1"/>
    <col min="13824" max="13824" width="11.6640625" style="94" customWidth="1"/>
    <col min="13825" max="13825" width="11.33203125" style="94" customWidth="1"/>
    <col min="13826" max="13826" width="10.33203125" style="94" customWidth="1"/>
    <col min="13827" max="13827" width="12" style="94" customWidth="1"/>
    <col min="13828" max="14066" width="9.33203125" style="94"/>
    <col min="14067" max="14067" width="4.83203125" style="94" customWidth="1"/>
    <col min="14068" max="14068" width="27.33203125" style="94" customWidth="1"/>
    <col min="14069" max="14070" width="15.5" style="94" customWidth="1"/>
    <col min="14071" max="14071" width="13.6640625" style="94" customWidth="1"/>
    <col min="14072" max="14072" width="12.33203125" style="94" customWidth="1"/>
    <col min="14073" max="14073" width="13" style="94" bestFit="1" customWidth="1"/>
    <col min="14074" max="14074" width="11.33203125" style="94" customWidth="1"/>
    <col min="14075" max="14075" width="12.33203125" style="94" customWidth="1"/>
    <col min="14076" max="14076" width="10.33203125" style="94" customWidth="1"/>
    <col min="14077" max="14077" width="10.1640625" style="94" customWidth="1"/>
    <col min="14078" max="14078" width="13" style="94" customWidth="1"/>
    <col min="14079" max="14079" width="12.5" style="94" customWidth="1"/>
    <col min="14080" max="14080" width="11.6640625" style="94" customWidth="1"/>
    <col min="14081" max="14081" width="11.33203125" style="94" customWidth="1"/>
    <col min="14082" max="14082" width="10.33203125" style="94" customWidth="1"/>
    <col min="14083" max="14083" width="12" style="94" customWidth="1"/>
    <col min="14084" max="14322" width="9.33203125" style="94"/>
    <col min="14323" max="14323" width="4.83203125" style="94" customWidth="1"/>
    <col min="14324" max="14324" width="27.33203125" style="94" customWidth="1"/>
    <col min="14325" max="14326" width="15.5" style="94" customWidth="1"/>
    <col min="14327" max="14327" width="13.6640625" style="94" customWidth="1"/>
    <col min="14328" max="14328" width="12.33203125" style="94" customWidth="1"/>
    <col min="14329" max="14329" width="13" style="94" bestFit="1" customWidth="1"/>
    <col min="14330" max="14330" width="11.33203125" style="94" customWidth="1"/>
    <col min="14331" max="14331" width="12.33203125" style="94" customWidth="1"/>
    <col min="14332" max="14332" width="10.33203125" style="94" customWidth="1"/>
    <col min="14333" max="14333" width="10.1640625" style="94" customWidth="1"/>
    <col min="14334" max="14334" width="13" style="94" customWidth="1"/>
    <col min="14335" max="14335" width="12.5" style="94" customWidth="1"/>
    <col min="14336" max="14336" width="11.6640625" style="94" customWidth="1"/>
    <col min="14337" max="14337" width="11.33203125" style="94" customWidth="1"/>
    <col min="14338" max="14338" width="10.33203125" style="94" customWidth="1"/>
    <col min="14339" max="14339" width="12" style="94" customWidth="1"/>
    <col min="14340" max="14578" width="9.33203125" style="94"/>
    <col min="14579" max="14579" width="4.83203125" style="94" customWidth="1"/>
    <col min="14580" max="14580" width="27.33203125" style="94" customWidth="1"/>
    <col min="14581" max="14582" width="15.5" style="94" customWidth="1"/>
    <col min="14583" max="14583" width="13.6640625" style="94" customWidth="1"/>
    <col min="14584" max="14584" width="12.33203125" style="94" customWidth="1"/>
    <col min="14585" max="14585" width="13" style="94" bestFit="1" customWidth="1"/>
    <col min="14586" max="14586" width="11.33203125" style="94" customWidth="1"/>
    <col min="14587" max="14587" width="12.33203125" style="94" customWidth="1"/>
    <col min="14588" max="14588" width="10.33203125" style="94" customWidth="1"/>
    <col min="14589" max="14589" width="10.1640625" style="94" customWidth="1"/>
    <col min="14590" max="14590" width="13" style="94" customWidth="1"/>
    <col min="14591" max="14591" width="12.5" style="94" customWidth="1"/>
    <col min="14592" max="14592" width="11.6640625" style="94" customWidth="1"/>
    <col min="14593" max="14593" width="11.33203125" style="94" customWidth="1"/>
    <col min="14594" max="14594" width="10.33203125" style="94" customWidth="1"/>
    <col min="14595" max="14595" width="12" style="94" customWidth="1"/>
    <col min="14596" max="14834" width="9.33203125" style="94"/>
    <col min="14835" max="14835" width="4.83203125" style="94" customWidth="1"/>
    <col min="14836" max="14836" width="27.33203125" style="94" customWidth="1"/>
    <col min="14837" max="14838" width="15.5" style="94" customWidth="1"/>
    <col min="14839" max="14839" width="13.6640625" style="94" customWidth="1"/>
    <col min="14840" max="14840" width="12.33203125" style="94" customWidth="1"/>
    <col min="14841" max="14841" width="13" style="94" bestFit="1" customWidth="1"/>
    <col min="14842" max="14842" width="11.33203125" style="94" customWidth="1"/>
    <col min="14843" max="14843" width="12.33203125" style="94" customWidth="1"/>
    <col min="14844" max="14844" width="10.33203125" style="94" customWidth="1"/>
    <col min="14845" max="14845" width="10.1640625" style="94" customWidth="1"/>
    <col min="14846" max="14846" width="13" style="94" customWidth="1"/>
    <col min="14847" max="14847" width="12.5" style="94" customWidth="1"/>
    <col min="14848" max="14848" width="11.6640625" style="94" customWidth="1"/>
    <col min="14849" max="14849" width="11.33203125" style="94" customWidth="1"/>
    <col min="14850" max="14850" width="10.33203125" style="94" customWidth="1"/>
    <col min="14851" max="14851" width="12" style="94" customWidth="1"/>
    <col min="14852" max="15090" width="9.33203125" style="94"/>
    <col min="15091" max="15091" width="4.83203125" style="94" customWidth="1"/>
    <col min="15092" max="15092" width="27.33203125" style="94" customWidth="1"/>
    <col min="15093" max="15094" width="15.5" style="94" customWidth="1"/>
    <col min="15095" max="15095" width="13.6640625" style="94" customWidth="1"/>
    <col min="15096" max="15096" width="12.33203125" style="94" customWidth="1"/>
    <col min="15097" max="15097" width="13" style="94" bestFit="1" customWidth="1"/>
    <col min="15098" max="15098" width="11.33203125" style="94" customWidth="1"/>
    <col min="15099" max="15099" width="12.33203125" style="94" customWidth="1"/>
    <col min="15100" max="15100" width="10.33203125" style="94" customWidth="1"/>
    <col min="15101" max="15101" width="10.1640625" style="94" customWidth="1"/>
    <col min="15102" max="15102" width="13" style="94" customWidth="1"/>
    <col min="15103" max="15103" width="12.5" style="94" customWidth="1"/>
    <col min="15104" max="15104" width="11.6640625" style="94" customWidth="1"/>
    <col min="15105" max="15105" width="11.33203125" style="94" customWidth="1"/>
    <col min="15106" max="15106" width="10.33203125" style="94" customWidth="1"/>
    <col min="15107" max="15107" width="12" style="94" customWidth="1"/>
    <col min="15108" max="15346" width="9.33203125" style="94"/>
    <col min="15347" max="15347" width="4.83203125" style="94" customWidth="1"/>
    <col min="15348" max="15348" width="27.33203125" style="94" customWidth="1"/>
    <col min="15349" max="15350" width="15.5" style="94" customWidth="1"/>
    <col min="15351" max="15351" width="13.6640625" style="94" customWidth="1"/>
    <col min="15352" max="15352" width="12.33203125" style="94" customWidth="1"/>
    <col min="15353" max="15353" width="13" style="94" bestFit="1" customWidth="1"/>
    <col min="15354" max="15354" width="11.33203125" style="94" customWidth="1"/>
    <col min="15355" max="15355" width="12.33203125" style="94" customWidth="1"/>
    <col min="15356" max="15356" width="10.33203125" style="94" customWidth="1"/>
    <col min="15357" max="15357" width="10.1640625" style="94" customWidth="1"/>
    <col min="15358" max="15358" width="13" style="94" customWidth="1"/>
    <col min="15359" max="15359" width="12.5" style="94" customWidth="1"/>
    <col min="15360" max="15360" width="11.6640625" style="94" customWidth="1"/>
    <col min="15361" max="15361" width="11.33203125" style="94" customWidth="1"/>
    <col min="15362" max="15362" width="10.33203125" style="94" customWidth="1"/>
    <col min="15363" max="15363" width="12" style="94" customWidth="1"/>
    <col min="15364" max="15602" width="9.33203125" style="94"/>
    <col min="15603" max="15603" width="4.83203125" style="94" customWidth="1"/>
    <col min="15604" max="15604" width="27.33203125" style="94" customWidth="1"/>
    <col min="15605" max="15606" width="15.5" style="94" customWidth="1"/>
    <col min="15607" max="15607" width="13.6640625" style="94" customWidth="1"/>
    <col min="15608" max="15608" width="12.33203125" style="94" customWidth="1"/>
    <col min="15609" max="15609" width="13" style="94" bestFit="1" customWidth="1"/>
    <col min="15610" max="15610" width="11.33203125" style="94" customWidth="1"/>
    <col min="15611" max="15611" width="12.33203125" style="94" customWidth="1"/>
    <col min="15612" max="15612" width="10.33203125" style="94" customWidth="1"/>
    <col min="15613" max="15613" width="10.1640625" style="94" customWidth="1"/>
    <col min="15614" max="15614" width="13" style="94" customWidth="1"/>
    <col min="15615" max="15615" width="12.5" style="94" customWidth="1"/>
    <col min="15616" max="15616" width="11.6640625" style="94" customWidth="1"/>
    <col min="15617" max="15617" width="11.33203125" style="94" customWidth="1"/>
    <col min="15618" max="15618" width="10.33203125" style="94" customWidth="1"/>
    <col min="15619" max="15619" width="12" style="94" customWidth="1"/>
    <col min="15620" max="15858" width="9.33203125" style="94"/>
    <col min="15859" max="15859" width="4.83203125" style="94" customWidth="1"/>
    <col min="15860" max="15860" width="27.33203125" style="94" customWidth="1"/>
    <col min="15861" max="15862" width="15.5" style="94" customWidth="1"/>
    <col min="15863" max="15863" width="13.6640625" style="94" customWidth="1"/>
    <col min="15864" max="15864" width="12.33203125" style="94" customWidth="1"/>
    <col min="15865" max="15865" width="13" style="94" bestFit="1" customWidth="1"/>
    <col min="15866" max="15866" width="11.33203125" style="94" customWidth="1"/>
    <col min="15867" max="15867" width="12.33203125" style="94" customWidth="1"/>
    <col min="15868" max="15868" width="10.33203125" style="94" customWidth="1"/>
    <col min="15869" max="15869" width="10.1640625" style="94" customWidth="1"/>
    <col min="15870" max="15870" width="13" style="94" customWidth="1"/>
    <col min="15871" max="15871" width="12.5" style="94" customWidth="1"/>
    <col min="15872" max="15872" width="11.6640625" style="94" customWidth="1"/>
    <col min="15873" max="15873" width="11.33203125" style="94" customWidth="1"/>
    <col min="15874" max="15874" width="10.33203125" style="94" customWidth="1"/>
    <col min="15875" max="15875" width="12" style="94" customWidth="1"/>
    <col min="15876" max="16114" width="9.33203125" style="94"/>
    <col min="16115" max="16115" width="4.83203125" style="94" customWidth="1"/>
    <col min="16116" max="16116" width="27.33203125" style="94" customWidth="1"/>
    <col min="16117" max="16118" width="15.5" style="94" customWidth="1"/>
    <col min="16119" max="16119" width="13.6640625" style="94" customWidth="1"/>
    <col min="16120" max="16120" width="12.33203125" style="94" customWidth="1"/>
    <col min="16121" max="16121" width="13" style="94" bestFit="1" customWidth="1"/>
    <col min="16122" max="16122" width="11.33203125" style="94" customWidth="1"/>
    <col min="16123" max="16123" width="12.33203125" style="94" customWidth="1"/>
    <col min="16124" max="16124" width="10.33203125" style="94" customWidth="1"/>
    <col min="16125" max="16125" width="10.1640625" style="94" customWidth="1"/>
    <col min="16126" max="16126" width="13" style="94" customWidth="1"/>
    <col min="16127" max="16127" width="12.5" style="94" customWidth="1"/>
    <col min="16128" max="16128" width="11.6640625" style="94" customWidth="1"/>
    <col min="16129" max="16129" width="11.33203125" style="94" customWidth="1"/>
    <col min="16130" max="16130" width="10.33203125" style="94" customWidth="1"/>
    <col min="16131" max="16131" width="12" style="94" customWidth="1"/>
    <col min="16132" max="16383" width="9.33203125" style="94"/>
    <col min="16384" max="16384" width="9.1640625" style="94" customWidth="1"/>
  </cols>
  <sheetData>
    <row r="1" spans="1:10" ht="11.25" customHeight="1"/>
    <row r="2" spans="1:10" ht="35.25" customHeight="1">
      <c r="A2" s="471" t="s">
        <v>142</v>
      </c>
      <c r="B2" s="471"/>
      <c r="C2" s="471"/>
      <c r="D2" s="471"/>
      <c r="E2" s="471"/>
      <c r="F2" s="471"/>
      <c r="G2" s="471"/>
      <c r="H2" s="471"/>
      <c r="I2" s="471"/>
      <c r="J2" s="96"/>
    </row>
    <row r="3" spans="1:10" ht="9.75" customHeight="1">
      <c r="A3" s="95"/>
      <c r="B3" s="97"/>
      <c r="C3" s="97"/>
      <c r="D3" s="97"/>
      <c r="E3" s="97"/>
      <c r="F3" s="97"/>
      <c r="G3" s="97"/>
      <c r="H3" s="97"/>
    </row>
    <row r="4" spans="1:10" s="98" customFormat="1" ht="19.5" customHeight="1">
      <c r="A4" s="472" t="s">
        <v>7</v>
      </c>
      <c r="B4" s="474" t="s">
        <v>143</v>
      </c>
      <c r="C4" s="474" t="s">
        <v>14</v>
      </c>
      <c r="D4" s="474" t="s">
        <v>144</v>
      </c>
      <c r="E4" s="475" t="s">
        <v>145</v>
      </c>
      <c r="F4" s="475"/>
      <c r="G4" s="475"/>
      <c r="H4" s="474" t="s">
        <v>146</v>
      </c>
      <c r="I4" s="474" t="s">
        <v>147</v>
      </c>
    </row>
    <row r="5" spans="1:10" ht="51" customHeight="1">
      <c r="A5" s="473"/>
      <c r="B5" s="474"/>
      <c r="C5" s="474"/>
      <c r="D5" s="474"/>
      <c r="E5" s="99" t="s">
        <v>148</v>
      </c>
      <c r="F5" s="99" t="s">
        <v>149</v>
      </c>
      <c r="G5" s="99" t="s">
        <v>150</v>
      </c>
      <c r="H5" s="474"/>
      <c r="I5" s="474"/>
    </row>
    <row r="6" spans="1:10" s="30" customFormat="1" ht="14.2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</row>
    <row r="7" spans="1:10" s="402" customFormat="1" ht="36" customHeight="1">
      <c r="A7" s="476" t="s">
        <v>8</v>
      </c>
      <c r="B7" s="116" t="s">
        <v>151</v>
      </c>
      <c r="C7" s="468" t="s">
        <v>152</v>
      </c>
      <c r="D7" s="468"/>
      <c r="E7" s="468"/>
      <c r="F7" s="468"/>
      <c r="G7" s="468"/>
      <c r="H7" s="468"/>
      <c r="I7" s="468"/>
    </row>
    <row r="8" spans="1:10" s="402" customFormat="1" ht="54" customHeight="1">
      <c r="A8" s="477"/>
      <c r="B8" s="414" t="s">
        <v>153</v>
      </c>
      <c r="C8" s="468"/>
      <c r="D8" s="468"/>
      <c r="E8" s="468"/>
      <c r="F8" s="468"/>
      <c r="G8" s="468"/>
      <c r="H8" s="468"/>
      <c r="I8" s="468"/>
    </row>
    <row r="9" spans="1:10" s="402" customFormat="1" ht="18.95" customHeight="1">
      <c r="A9" s="477"/>
      <c r="B9" s="120" t="s">
        <v>154</v>
      </c>
      <c r="C9" s="469">
        <v>71095</v>
      </c>
      <c r="D9" s="124">
        <f>SUM(E9:I9)</f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</row>
    <row r="10" spans="1:10" s="118" customFormat="1" ht="18.95" customHeight="1">
      <c r="A10" s="477"/>
      <c r="B10" s="120" t="s">
        <v>155</v>
      </c>
      <c r="C10" s="470"/>
      <c r="D10" s="124">
        <f>SUM(E10:I10)</f>
        <v>89666</v>
      </c>
      <c r="E10" s="123">
        <f>97666-8000</f>
        <v>89666</v>
      </c>
      <c r="F10" s="123">
        <v>0</v>
      </c>
      <c r="G10" s="123">
        <v>0</v>
      </c>
      <c r="H10" s="123">
        <v>0</v>
      </c>
      <c r="I10" s="123">
        <v>0</v>
      </c>
    </row>
    <row r="11" spans="1:10" s="402" customFormat="1" ht="31.5" customHeight="1">
      <c r="A11" s="476" t="s">
        <v>9</v>
      </c>
      <c r="B11" s="116" t="s">
        <v>151</v>
      </c>
      <c r="C11" s="468" t="s">
        <v>152</v>
      </c>
      <c r="D11" s="468"/>
      <c r="E11" s="468"/>
      <c r="F11" s="468"/>
      <c r="G11" s="468"/>
      <c r="H11" s="468"/>
      <c r="I11" s="468"/>
    </row>
    <row r="12" spans="1:10" s="402" customFormat="1" ht="56.25" customHeight="1">
      <c r="A12" s="477"/>
      <c r="B12" s="403" t="s">
        <v>428</v>
      </c>
      <c r="C12" s="468"/>
      <c r="D12" s="468"/>
      <c r="E12" s="468"/>
      <c r="F12" s="468"/>
      <c r="G12" s="468"/>
      <c r="H12" s="468"/>
      <c r="I12" s="468"/>
    </row>
    <row r="13" spans="1:10" s="402" customFormat="1" ht="21" customHeight="1">
      <c r="A13" s="482"/>
      <c r="B13" s="120" t="s">
        <v>155</v>
      </c>
      <c r="C13" s="401">
        <v>75095</v>
      </c>
      <c r="D13" s="409">
        <f>SUM(E13:I13)</f>
        <v>8000</v>
      </c>
      <c r="E13" s="409">
        <v>8000</v>
      </c>
      <c r="F13" s="409">
        <v>0</v>
      </c>
      <c r="G13" s="409">
        <v>0</v>
      </c>
      <c r="H13" s="409">
        <v>0</v>
      </c>
      <c r="I13" s="409">
        <v>0</v>
      </c>
    </row>
    <row r="14" spans="1:10" s="118" customFormat="1" ht="22.5" customHeight="1">
      <c r="A14" s="465" t="s">
        <v>10</v>
      </c>
      <c r="B14" s="116" t="s">
        <v>156</v>
      </c>
      <c r="C14" s="468" t="s">
        <v>157</v>
      </c>
      <c r="D14" s="468"/>
      <c r="E14" s="468"/>
      <c r="F14" s="468"/>
      <c r="G14" s="468"/>
      <c r="H14" s="468"/>
      <c r="I14" s="468"/>
    </row>
    <row r="15" spans="1:10" s="118" customFormat="1" ht="18" customHeight="1">
      <c r="A15" s="466"/>
      <c r="B15" s="116" t="s">
        <v>158</v>
      </c>
      <c r="C15" s="468"/>
      <c r="D15" s="468"/>
      <c r="E15" s="468"/>
      <c r="F15" s="468"/>
      <c r="G15" s="468"/>
      <c r="H15" s="468"/>
      <c r="I15" s="468"/>
    </row>
    <row r="16" spans="1:10" s="118" customFormat="1" ht="25.5" customHeight="1">
      <c r="A16" s="466"/>
      <c r="B16" s="330" t="s">
        <v>159</v>
      </c>
      <c r="C16" s="468"/>
      <c r="D16" s="468"/>
      <c r="E16" s="468"/>
      <c r="F16" s="468"/>
      <c r="G16" s="468"/>
      <c r="H16" s="468"/>
      <c r="I16" s="468"/>
    </row>
    <row r="17" spans="1:10" s="118" customFormat="1" ht="25.5" customHeight="1">
      <c r="A17" s="466"/>
      <c r="B17" s="120" t="s">
        <v>154</v>
      </c>
      <c r="C17" s="117"/>
      <c r="D17" s="124">
        <f>SUM(E17:I17)</f>
        <v>0</v>
      </c>
      <c r="E17" s="331">
        <v>0</v>
      </c>
      <c r="F17" s="332">
        <v>0</v>
      </c>
      <c r="G17" s="332">
        <v>0</v>
      </c>
      <c r="H17" s="332">
        <v>0</v>
      </c>
      <c r="I17" s="332">
        <v>0</v>
      </c>
    </row>
    <row r="18" spans="1:10" s="118" customFormat="1" ht="18.95" customHeight="1">
      <c r="A18" s="467"/>
      <c r="B18" s="120" t="s">
        <v>155</v>
      </c>
      <c r="C18" s="333">
        <v>80115</v>
      </c>
      <c r="D18" s="124">
        <f>SUM(E18:I18)</f>
        <v>507890</v>
      </c>
      <c r="E18" s="123">
        <v>0</v>
      </c>
      <c r="F18" s="123">
        <v>0</v>
      </c>
      <c r="G18" s="123">
        <v>0</v>
      </c>
      <c r="H18" s="123">
        <v>0</v>
      </c>
      <c r="I18" s="123">
        <f>133226+374664</f>
        <v>507890</v>
      </c>
      <c r="J18" s="338"/>
    </row>
    <row r="19" spans="1:10" s="118" customFormat="1" ht="18.95" customHeight="1">
      <c r="A19" s="465" t="s">
        <v>11</v>
      </c>
      <c r="B19" s="116" t="s">
        <v>156</v>
      </c>
      <c r="C19" s="468" t="s">
        <v>157</v>
      </c>
      <c r="D19" s="468"/>
      <c r="E19" s="468"/>
      <c r="F19" s="468"/>
      <c r="G19" s="468"/>
      <c r="H19" s="468"/>
      <c r="I19" s="468"/>
    </row>
    <row r="20" spans="1:10" s="118" customFormat="1" ht="39.75" customHeight="1">
      <c r="A20" s="466"/>
      <c r="B20" s="337" t="s">
        <v>160</v>
      </c>
      <c r="C20" s="468"/>
      <c r="D20" s="468"/>
      <c r="E20" s="468"/>
      <c r="F20" s="468"/>
      <c r="G20" s="468"/>
      <c r="H20" s="468"/>
      <c r="I20" s="468"/>
    </row>
    <row r="21" spans="1:10" s="118" customFormat="1" ht="43.15" customHeight="1">
      <c r="A21" s="466"/>
      <c r="B21" s="119" t="s">
        <v>161</v>
      </c>
      <c r="C21" s="468"/>
      <c r="D21" s="468"/>
      <c r="E21" s="468"/>
      <c r="F21" s="468"/>
      <c r="G21" s="468"/>
      <c r="H21" s="468"/>
      <c r="I21" s="468"/>
    </row>
    <row r="22" spans="1:10" s="118" customFormat="1" ht="18.75" customHeight="1">
      <c r="A22" s="466"/>
      <c r="B22" s="120" t="s">
        <v>154</v>
      </c>
      <c r="C22" s="469">
        <v>80195</v>
      </c>
      <c r="D22" s="121">
        <f>SUM(E22:I22)</f>
        <v>130613.75</v>
      </c>
      <c r="E22" s="122">
        <v>0</v>
      </c>
      <c r="F22" s="122">
        <v>0</v>
      </c>
      <c r="G22" s="122">
        <v>0</v>
      </c>
      <c r="H22" s="122">
        <v>15150</v>
      </c>
      <c r="I22" s="122">
        <v>115463.75</v>
      </c>
      <c r="J22" s="338"/>
    </row>
    <row r="23" spans="1:10" s="118" customFormat="1" ht="18.75" customHeight="1">
      <c r="A23" s="467"/>
      <c r="B23" s="120" t="s">
        <v>155</v>
      </c>
      <c r="C23" s="470"/>
      <c r="D23" s="121">
        <f>SUM(E23:I23)</f>
        <v>242544</v>
      </c>
      <c r="E23" s="122">
        <v>0</v>
      </c>
      <c r="F23" s="122">
        <v>0</v>
      </c>
      <c r="G23" s="122">
        <v>0</v>
      </c>
      <c r="H23" s="122">
        <f>19835+5195</f>
        <v>25030</v>
      </c>
      <c r="I23" s="122">
        <f>161789+55725</f>
        <v>217514</v>
      </c>
      <c r="J23" s="338"/>
    </row>
    <row r="24" spans="1:10" s="118" customFormat="1" ht="18.75" customHeight="1">
      <c r="A24" s="465" t="s">
        <v>12</v>
      </c>
      <c r="B24" s="116" t="s">
        <v>156</v>
      </c>
      <c r="C24" s="468" t="s">
        <v>162</v>
      </c>
      <c r="D24" s="468"/>
      <c r="E24" s="468"/>
      <c r="F24" s="468"/>
      <c r="G24" s="468"/>
      <c r="H24" s="468"/>
      <c r="I24" s="468"/>
      <c r="J24" s="338"/>
    </row>
    <row r="25" spans="1:10" s="118" customFormat="1" ht="38.25" customHeight="1">
      <c r="A25" s="466"/>
      <c r="B25" s="116" t="s">
        <v>160</v>
      </c>
      <c r="C25" s="468"/>
      <c r="D25" s="468"/>
      <c r="E25" s="468"/>
      <c r="F25" s="468"/>
      <c r="G25" s="468"/>
      <c r="H25" s="468"/>
      <c r="I25" s="468"/>
    </row>
    <row r="26" spans="1:10" s="118" customFormat="1" ht="36.75" customHeight="1">
      <c r="A26" s="466"/>
      <c r="B26" s="119" t="s">
        <v>163</v>
      </c>
      <c r="C26" s="468"/>
      <c r="D26" s="468"/>
      <c r="E26" s="468"/>
      <c r="F26" s="468"/>
      <c r="G26" s="468"/>
      <c r="H26" s="468"/>
      <c r="I26" s="468"/>
    </row>
    <row r="27" spans="1:10" s="118" customFormat="1" ht="18.75" customHeight="1">
      <c r="A27" s="466"/>
      <c r="B27" s="120" t="s">
        <v>154</v>
      </c>
      <c r="C27" s="469">
        <v>80195</v>
      </c>
      <c r="D27" s="121">
        <f>SUM(E27:I27)</f>
        <v>131318.22999999998</v>
      </c>
      <c r="E27" s="122">
        <v>0</v>
      </c>
      <c r="F27" s="122">
        <v>0</v>
      </c>
      <c r="G27" s="122">
        <v>0</v>
      </c>
      <c r="H27" s="122">
        <v>7235</v>
      </c>
      <c r="I27" s="122">
        <v>124083.23</v>
      </c>
    </row>
    <row r="28" spans="1:10" s="118" customFormat="1" ht="18.75" customHeight="1">
      <c r="A28" s="467"/>
      <c r="B28" s="120" t="s">
        <v>155</v>
      </c>
      <c r="C28" s="470"/>
      <c r="D28" s="121">
        <f>SUM(E28:I28)</f>
        <v>196389</v>
      </c>
      <c r="E28" s="122">
        <v>0</v>
      </c>
      <c r="F28" s="122">
        <v>0</v>
      </c>
      <c r="G28" s="122">
        <v>0</v>
      </c>
      <c r="H28" s="122">
        <f>11651+4336</f>
        <v>15987</v>
      </c>
      <c r="I28" s="122">
        <f>97885+82517</f>
        <v>180402</v>
      </c>
    </row>
    <row r="29" spans="1:10" s="118" customFormat="1" ht="18.75" customHeight="1">
      <c r="A29" s="465" t="s">
        <v>60</v>
      </c>
      <c r="B29" s="116" t="s">
        <v>156</v>
      </c>
      <c r="C29" s="468" t="s">
        <v>157</v>
      </c>
      <c r="D29" s="468"/>
      <c r="E29" s="468"/>
      <c r="F29" s="468"/>
      <c r="G29" s="468"/>
      <c r="H29" s="468"/>
      <c r="I29" s="468"/>
    </row>
    <row r="30" spans="1:10" s="118" customFormat="1" ht="37.5" customHeight="1">
      <c r="A30" s="466"/>
      <c r="B30" s="116" t="s">
        <v>164</v>
      </c>
      <c r="C30" s="468"/>
      <c r="D30" s="468"/>
      <c r="E30" s="468"/>
      <c r="F30" s="468"/>
      <c r="G30" s="468"/>
      <c r="H30" s="468"/>
      <c r="I30" s="468"/>
    </row>
    <row r="31" spans="1:10" s="118" customFormat="1" ht="18.75" customHeight="1">
      <c r="A31" s="466"/>
      <c r="B31" s="119" t="s">
        <v>165</v>
      </c>
      <c r="C31" s="468"/>
      <c r="D31" s="468"/>
      <c r="E31" s="468"/>
      <c r="F31" s="468"/>
      <c r="G31" s="468"/>
      <c r="H31" s="468"/>
      <c r="I31" s="468"/>
    </row>
    <row r="32" spans="1:10" s="118" customFormat="1" ht="18.75" customHeight="1">
      <c r="A32" s="466"/>
      <c r="B32" s="120" t="s">
        <v>154</v>
      </c>
      <c r="C32" s="480">
        <v>80115</v>
      </c>
      <c r="D32" s="121">
        <f>SUM(E32:I32)</f>
        <v>0</v>
      </c>
      <c r="E32" s="334">
        <v>0</v>
      </c>
      <c r="F32" s="334">
        <v>0</v>
      </c>
      <c r="G32" s="334">
        <v>0</v>
      </c>
      <c r="H32" s="334">
        <v>0</v>
      </c>
      <c r="I32" s="334">
        <v>0</v>
      </c>
    </row>
    <row r="33" spans="1:10" s="118" customFormat="1" ht="18.75" customHeight="1">
      <c r="A33" s="467"/>
      <c r="B33" s="120" t="s">
        <v>155</v>
      </c>
      <c r="C33" s="481"/>
      <c r="D33" s="121">
        <f>SUM(E33:I33)</f>
        <v>204922</v>
      </c>
      <c r="E33" s="122">
        <v>0</v>
      </c>
      <c r="F33" s="122">
        <v>0</v>
      </c>
      <c r="G33" s="122">
        <v>0</v>
      </c>
      <c r="H33" s="122">
        <f>2926+8775</f>
        <v>11701</v>
      </c>
      <c r="I33" s="122">
        <f>48305+144916</f>
        <v>193221</v>
      </c>
      <c r="J33" s="338"/>
    </row>
    <row r="34" spans="1:10" s="118" customFormat="1" ht="18.75" customHeight="1">
      <c r="A34" s="465" t="s">
        <v>59</v>
      </c>
      <c r="B34" s="335" t="s">
        <v>166</v>
      </c>
      <c r="C34" s="486" t="s">
        <v>167</v>
      </c>
      <c r="D34" s="487"/>
      <c r="E34" s="487"/>
      <c r="F34" s="487"/>
      <c r="G34" s="487"/>
      <c r="H34" s="487"/>
      <c r="I34" s="488"/>
    </row>
    <row r="35" spans="1:10" s="118" customFormat="1" ht="18.75" customHeight="1">
      <c r="A35" s="466"/>
      <c r="B35" s="336" t="s">
        <v>158</v>
      </c>
      <c r="C35" s="489"/>
      <c r="D35" s="490"/>
      <c r="E35" s="490"/>
      <c r="F35" s="490"/>
      <c r="G35" s="490"/>
      <c r="H35" s="490"/>
      <c r="I35" s="491"/>
    </row>
    <row r="36" spans="1:10" s="118" customFormat="1" ht="33.75" customHeight="1">
      <c r="A36" s="466"/>
      <c r="B36" s="119" t="s">
        <v>168</v>
      </c>
      <c r="C36" s="492"/>
      <c r="D36" s="493"/>
      <c r="E36" s="493"/>
      <c r="F36" s="493"/>
      <c r="G36" s="493"/>
      <c r="H36" s="493"/>
      <c r="I36" s="494"/>
    </row>
    <row r="37" spans="1:10" s="118" customFormat="1" ht="20.25" customHeight="1">
      <c r="A37" s="466"/>
      <c r="B37" s="120" t="s">
        <v>154</v>
      </c>
      <c r="C37" s="480">
        <v>80134</v>
      </c>
      <c r="D37" s="121">
        <f>SUM(E37:I37)</f>
        <v>472</v>
      </c>
      <c r="E37" s="332">
        <v>0</v>
      </c>
      <c r="F37" s="332">
        <v>0</v>
      </c>
      <c r="G37" s="332">
        <v>0</v>
      </c>
      <c r="H37" s="332">
        <v>0</v>
      </c>
      <c r="I37" s="332">
        <v>472</v>
      </c>
    </row>
    <row r="38" spans="1:10" s="118" customFormat="1" ht="18.75" customHeight="1">
      <c r="A38" s="467"/>
      <c r="B38" s="120" t="s">
        <v>155</v>
      </c>
      <c r="C38" s="481"/>
      <c r="D38" s="121">
        <f>SUM(E38:I38)</f>
        <v>104453</v>
      </c>
      <c r="E38" s="122">
        <v>0</v>
      </c>
      <c r="F38" s="122">
        <v>0</v>
      </c>
      <c r="G38" s="122">
        <v>0</v>
      </c>
      <c r="H38" s="122">
        <v>0</v>
      </c>
      <c r="I38" s="122">
        <f>27864+76589</f>
        <v>104453</v>
      </c>
      <c r="J38" s="338"/>
    </row>
    <row r="39" spans="1:10" s="118" customFormat="1" ht="29.25" customHeight="1">
      <c r="A39" s="465" t="s">
        <v>172</v>
      </c>
      <c r="B39" s="116" t="s">
        <v>156</v>
      </c>
      <c r="C39" s="486" t="s">
        <v>340</v>
      </c>
      <c r="D39" s="487"/>
      <c r="E39" s="487"/>
      <c r="F39" s="487"/>
      <c r="G39" s="487"/>
      <c r="H39" s="487"/>
      <c r="I39" s="488"/>
    </row>
    <row r="40" spans="1:10" s="118" customFormat="1" ht="36" customHeight="1">
      <c r="A40" s="466"/>
      <c r="B40" s="116" t="s">
        <v>164</v>
      </c>
      <c r="C40" s="489"/>
      <c r="D40" s="490"/>
      <c r="E40" s="490"/>
      <c r="F40" s="490"/>
      <c r="G40" s="490"/>
      <c r="H40" s="490"/>
      <c r="I40" s="491"/>
    </row>
    <row r="41" spans="1:10" s="118" customFormat="1" ht="27" customHeight="1">
      <c r="A41" s="466"/>
      <c r="B41" s="119" t="s">
        <v>341</v>
      </c>
      <c r="C41" s="492"/>
      <c r="D41" s="493"/>
      <c r="E41" s="493"/>
      <c r="F41" s="493"/>
      <c r="G41" s="493"/>
      <c r="H41" s="493"/>
      <c r="I41" s="494"/>
    </row>
    <row r="42" spans="1:10" s="109" customFormat="1" ht="18.75" customHeight="1">
      <c r="A42" s="466"/>
      <c r="B42" s="120" t="s">
        <v>154</v>
      </c>
      <c r="C42" s="478">
        <v>80102</v>
      </c>
      <c r="D42" s="114">
        <f>SUM(E42:I42)</f>
        <v>0</v>
      </c>
      <c r="E42" s="115"/>
      <c r="F42" s="115"/>
      <c r="G42" s="115"/>
      <c r="H42" s="115">
        <v>0</v>
      </c>
      <c r="I42" s="115">
        <v>0</v>
      </c>
    </row>
    <row r="43" spans="1:10" s="118" customFormat="1" ht="18.75" customHeight="1">
      <c r="A43" s="467"/>
      <c r="B43" s="120" t="s">
        <v>155</v>
      </c>
      <c r="C43" s="479"/>
      <c r="D43" s="114">
        <f>SUM(E43:I43)</f>
        <v>96733</v>
      </c>
      <c r="E43" s="122"/>
      <c r="F43" s="122"/>
      <c r="G43" s="122"/>
      <c r="H43" s="122">
        <v>5524</v>
      </c>
      <c r="I43" s="122">
        <v>91209</v>
      </c>
      <c r="J43" s="338"/>
    </row>
    <row r="44" spans="1:10" s="110" customFormat="1" ht="18.75" customHeight="1">
      <c r="A44" s="465" t="s">
        <v>174</v>
      </c>
      <c r="B44" s="101" t="s">
        <v>156</v>
      </c>
      <c r="C44" s="483" t="s">
        <v>169</v>
      </c>
      <c r="D44" s="483"/>
      <c r="E44" s="483"/>
      <c r="F44" s="483"/>
      <c r="G44" s="483"/>
      <c r="H44" s="483"/>
      <c r="I44" s="483"/>
    </row>
    <row r="45" spans="1:10" s="110" customFormat="1" ht="42.75" customHeight="1">
      <c r="A45" s="466"/>
      <c r="B45" s="101" t="s">
        <v>160</v>
      </c>
      <c r="C45" s="483"/>
      <c r="D45" s="483"/>
      <c r="E45" s="483"/>
      <c r="F45" s="483"/>
      <c r="G45" s="483"/>
      <c r="H45" s="483"/>
      <c r="I45" s="483"/>
    </row>
    <row r="46" spans="1:10" s="110" customFormat="1" ht="23.25" customHeight="1">
      <c r="A46" s="466"/>
      <c r="B46" s="111" t="s">
        <v>170</v>
      </c>
      <c r="C46" s="483"/>
      <c r="D46" s="483"/>
      <c r="E46" s="483"/>
      <c r="F46" s="483"/>
      <c r="G46" s="483"/>
      <c r="H46" s="483"/>
      <c r="I46" s="483"/>
    </row>
    <row r="47" spans="1:10" s="110" customFormat="1" ht="18.75" customHeight="1">
      <c r="A47" s="466"/>
      <c r="B47" s="103" t="s">
        <v>154</v>
      </c>
      <c r="C47" s="495" t="s">
        <v>171</v>
      </c>
      <c r="D47" s="112">
        <f>SUM(E47:I47)</f>
        <v>249846.49</v>
      </c>
      <c r="E47" s="113">
        <v>81460.11</v>
      </c>
      <c r="F47" s="113">
        <v>0</v>
      </c>
      <c r="G47" s="113">
        <v>0</v>
      </c>
      <c r="H47" s="113">
        <v>0</v>
      </c>
      <c r="I47" s="113">
        <v>168386.38</v>
      </c>
    </row>
    <row r="48" spans="1:10" s="109" customFormat="1" ht="18.75" customHeight="1">
      <c r="A48" s="467"/>
      <c r="B48" s="106" t="s">
        <v>155</v>
      </c>
      <c r="C48" s="496"/>
      <c r="D48" s="114">
        <f>SUM(E48:I48)</f>
        <v>499999</v>
      </c>
      <c r="E48" s="108">
        <v>64660</v>
      </c>
      <c r="F48" s="108">
        <v>0</v>
      </c>
      <c r="G48" s="108">
        <v>0</v>
      </c>
      <c r="H48" s="108">
        <v>0</v>
      </c>
      <c r="I48" s="108">
        <f>396100+39239</f>
        <v>435339</v>
      </c>
    </row>
    <row r="49" spans="1:12" s="98" customFormat="1" ht="18.95" customHeight="1">
      <c r="A49" s="465" t="s">
        <v>199</v>
      </c>
      <c r="B49" s="101" t="s">
        <v>156</v>
      </c>
      <c r="C49" s="483" t="s">
        <v>169</v>
      </c>
      <c r="D49" s="483"/>
      <c r="E49" s="483"/>
      <c r="F49" s="483"/>
      <c r="G49" s="483"/>
      <c r="H49" s="483"/>
      <c r="I49" s="483"/>
    </row>
    <row r="50" spans="1:12" s="98" customFormat="1" ht="40.5" customHeight="1">
      <c r="A50" s="466"/>
      <c r="B50" s="101" t="s">
        <v>160</v>
      </c>
      <c r="C50" s="483"/>
      <c r="D50" s="483"/>
      <c r="E50" s="483"/>
      <c r="F50" s="483"/>
      <c r="G50" s="483"/>
      <c r="H50" s="483"/>
      <c r="I50" s="483"/>
    </row>
    <row r="51" spans="1:12" s="98" customFormat="1" ht="66.75" customHeight="1">
      <c r="A51" s="466"/>
      <c r="B51" s="102" t="s">
        <v>173</v>
      </c>
      <c r="C51" s="483"/>
      <c r="D51" s="483"/>
      <c r="E51" s="483"/>
      <c r="F51" s="483"/>
      <c r="G51" s="483"/>
      <c r="H51" s="483"/>
      <c r="I51" s="483"/>
    </row>
    <row r="52" spans="1:12" s="110" customFormat="1" ht="18.95" customHeight="1">
      <c r="A52" s="466"/>
      <c r="B52" s="103" t="s">
        <v>154</v>
      </c>
      <c r="C52" s="484">
        <v>85295</v>
      </c>
      <c r="D52" s="104">
        <f>SUM(E52:I52)</f>
        <v>984496.03</v>
      </c>
      <c r="E52" s="105">
        <v>27575.17</v>
      </c>
      <c r="F52" s="105">
        <v>0</v>
      </c>
      <c r="G52" s="105">
        <v>0</v>
      </c>
      <c r="H52" s="105">
        <v>127390.05</v>
      </c>
      <c r="I52" s="105">
        <v>829530.81</v>
      </c>
    </row>
    <row r="53" spans="1:12" s="109" customFormat="1" ht="18.95" customHeight="1">
      <c r="A53" s="467"/>
      <c r="B53" s="106" t="s">
        <v>155</v>
      </c>
      <c r="C53" s="485"/>
      <c r="D53" s="107">
        <f>SUM(E53:I53)</f>
        <v>554925</v>
      </c>
      <c r="E53" s="108">
        <v>42750</v>
      </c>
      <c r="F53" s="108">
        <v>0</v>
      </c>
      <c r="G53" s="108">
        <v>0</v>
      </c>
      <c r="H53" s="108">
        <f>43581+26365</f>
        <v>69946</v>
      </c>
      <c r="I53" s="108">
        <f>275573+166656</f>
        <v>442229</v>
      </c>
      <c r="K53" s="427"/>
    </row>
    <row r="54" spans="1:12" s="118" customFormat="1" ht="18.95" customHeight="1">
      <c r="A54" s="465" t="s">
        <v>200</v>
      </c>
      <c r="B54" s="116" t="s">
        <v>156</v>
      </c>
      <c r="C54" s="468" t="s">
        <v>169</v>
      </c>
      <c r="D54" s="468"/>
      <c r="E54" s="468"/>
      <c r="F54" s="468"/>
      <c r="G54" s="468"/>
      <c r="H54" s="468"/>
      <c r="I54" s="468"/>
    </row>
    <row r="55" spans="1:12" s="118" customFormat="1" ht="38.25" customHeight="1">
      <c r="A55" s="466"/>
      <c r="B55" s="116" t="s">
        <v>160</v>
      </c>
      <c r="C55" s="468"/>
      <c r="D55" s="468"/>
      <c r="E55" s="468"/>
      <c r="F55" s="468"/>
      <c r="G55" s="468"/>
      <c r="H55" s="468"/>
      <c r="I55" s="468"/>
    </row>
    <row r="56" spans="1:12" s="118" customFormat="1" ht="18.95" customHeight="1">
      <c r="A56" s="466"/>
      <c r="B56" s="119" t="s">
        <v>175</v>
      </c>
      <c r="C56" s="468"/>
      <c r="D56" s="468"/>
      <c r="E56" s="468"/>
      <c r="F56" s="468"/>
      <c r="G56" s="468"/>
      <c r="H56" s="468"/>
      <c r="I56" s="468"/>
    </row>
    <row r="57" spans="1:12" s="118" customFormat="1" ht="18.95" customHeight="1">
      <c r="A57" s="466"/>
      <c r="B57" s="120" t="s">
        <v>154</v>
      </c>
      <c r="C57" s="476">
        <v>85295</v>
      </c>
      <c r="D57" s="124">
        <f>SUM(E57:I57)</f>
        <v>0</v>
      </c>
      <c r="E57" s="124">
        <f t="shared" ref="E57:I57" si="0">SUM(F57:J57)</f>
        <v>0</v>
      </c>
      <c r="F57" s="124">
        <f t="shared" si="0"/>
        <v>0</v>
      </c>
      <c r="G57" s="124">
        <f t="shared" si="0"/>
        <v>0</v>
      </c>
      <c r="H57" s="124">
        <f t="shared" si="0"/>
        <v>0</v>
      </c>
      <c r="I57" s="124">
        <f t="shared" si="0"/>
        <v>0</v>
      </c>
    </row>
    <row r="58" spans="1:12" s="118" customFormat="1" ht="18.95" customHeight="1">
      <c r="A58" s="467"/>
      <c r="B58" s="120" t="s">
        <v>155</v>
      </c>
      <c r="C58" s="482"/>
      <c r="D58" s="124">
        <f>SUM(E58:I58)</f>
        <v>388430</v>
      </c>
      <c r="E58" s="123">
        <v>29991</v>
      </c>
      <c r="F58" s="123">
        <v>0</v>
      </c>
      <c r="G58" s="123">
        <v>0</v>
      </c>
      <c r="H58" s="123">
        <v>0</v>
      </c>
      <c r="I58" s="123">
        <f>352247+6192</f>
        <v>358439</v>
      </c>
      <c r="J58" s="338"/>
    </row>
    <row r="59" spans="1:12" s="126" customFormat="1" ht="23.25" customHeight="1">
      <c r="A59" s="475" t="s">
        <v>176</v>
      </c>
      <c r="B59" s="475"/>
      <c r="C59" s="475"/>
      <c r="D59" s="125">
        <f>SUM(D10,D13,D18,D23,D28,N50,D33,D38,D43,D48,D53,D58)</f>
        <v>2893951</v>
      </c>
      <c r="E59" s="125">
        <f t="shared" ref="E59:I59" si="1">SUM(E10,E13,E18,E23,E28,O50,E33,E38,E43,E48,E53,E58)</f>
        <v>235067</v>
      </c>
      <c r="F59" s="125">
        <f t="shared" si="1"/>
        <v>0</v>
      </c>
      <c r="G59" s="125">
        <f t="shared" si="1"/>
        <v>0</v>
      </c>
      <c r="H59" s="125">
        <f t="shared" si="1"/>
        <v>128188</v>
      </c>
      <c r="I59" s="125">
        <f t="shared" si="1"/>
        <v>2530696</v>
      </c>
      <c r="L59" s="127"/>
    </row>
    <row r="60" spans="1:12" ht="15.75" customHeight="1"/>
    <row r="61" spans="1:12" ht="15.75" customHeight="1"/>
    <row r="62" spans="1:12" ht="15.75" customHeight="1">
      <c r="E62" s="128"/>
      <c r="G62" s="128"/>
    </row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</sheetData>
  <sheetProtection password="CCFE" sheet="1" objects="1" scenarios="1" formatColumns="0" formatRows="0"/>
  <mergeCells count="40">
    <mergeCell ref="A11:A13"/>
    <mergeCell ref="C11:I12"/>
    <mergeCell ref="A59:C59"/>
    <mergeCell ref="A49:A53"/>
    <mergeCell ref="C49:I51"/>
    <mergeCell ref="C52:C53"/>
    <mergeCell ref="A54:A58"/>
    <mergeCell ref="C54:I56"/>
    <mergeCell ref="C57:C58"/>
    <mergeCell ref="A34:A38"/>
    <mergeCell ref="C34:I36"/>
    <mergeCell ref="C37:C38"/>
    <mergeCell ref="A44:A48"/>
    <mergeCell ref="C44:I46"/>
    <mergeCell ref="C47:C48"/>
    <mergeCell ref="C39:I41"/>
    <mergeCell ref="C42:C43"/>
    <mergeCell ref="A39:A43"/>
    <mergeCell ref="A24:A28"/>
    <mergeCell ref="C24:I26"/>
    <mergeCell ref="C27:C28"/>
    <mergeCell ref="A29:A33"/>
    <mergeCell ref="C29:I31"/>
    <mergeCell ref="C32:C33"/>
    <mergeCell ref="A19:A23"/>
    <mergeCell ref="C19:I21"/>
    <mergeCell ref="C22:C23"/>
    <mergeCell ref="A2:I2"/>
    <mergeCell ref="A4:A5"/>
    <mergeCell ref="B4:B5"/>
    <mergeCell ref="C4:C5"/>
    <mergeCell ref="D4:D5"/>
    <mergeCell ref="E4:G4"/>
    <mergeCell ref="H4:H5"/>
    <mergeCell ref="I4:I5"/>
    <mergeCell ref="A7:A10"/>
    <mergeCell ref="C7:I8"/>
    <mergeCell ref="C9:C10"/>
    <mergeCell ref="A14:A18"/>
    <mergeCell ref="C14:I16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 Otwockiego
z dnia ............................</firstHeader>
    <firstFooter>&amp;C&amp;P</firstFooter>
  </headerFooter>
  <rowBreaks count="1" manualBreakCount="1">
    <brk id="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6"/>
  <sheetViews>
    <sheetView zoomScaleNormal="100" workbookViewId="0">
      <pane ySplit="4" topLeftCell="A5" activePane="bottomLeft" state="frozen"/>
      <selection activeCell="M10" sqref="M10"/>
      <selection pane="bottomLeft" activeCell="A2" sqref="A2:F2"/>
    </sheetView>
  </sheetViews>
  <sheetFormatPr defaultColWidth="9.33203125" defaultRowHeight="12"/>
  <cols>
    <col min="1" max="1" width="6.33203125" style="82" customWidth="1"/>
    <col min="2" max="2" width="9.5" style="82" customWidth="1"/>
    <col min="3" max="3" width="10.1640625" style="83" customWidth="1"/>
    <col min="4" max="4" width="63.6640625" style="84" customWidth="1"/>
    <col min="5" max="6" width="17.83203125" style="85" customWidth="1"/>
    <col min="7" max="7" width="9.33203125" style="86"/>
    <col min="8" max="8" width="11.83203125" style="86" bestFit="1" customWidth="1"/>
    <col min="9" max="16384" width="9.33203125" style="86"/>
  </cols>
  <sheetData>
    <row r="1" spans="1:6" ht="12.75" customHeight="1"/>
    <row r="2" spans="1:6" ht="30.75" customHeight="1">
      <c r="A2" s="497" t="s">
        <v>431</v>
      </c>
      <c r="B2" s="497"/>
      <c r="C2" s="497"/>
      <c r="D2" s="497"/>
      <c r="E2" s="497"/>
      <c r="F2" s="497"/>
    </row>
    <row r="3" spans="1:6" ht="9.75" customHeight="1"/>
    <row r="4" spans="1:6" s="83" customFormat="1" ht="19.5" customHeight="1">
      <c r="A4" s="87" t="s">
        <v>0</v>
      </c>
      <c r="B4" s="87" t="s">
        <v>1</v>
      </c>
      <c r="C4" s="88" t="s">
        <v>70</v>
      </c>
      <c r="D4" s="89" t="s">
        <v>71</v>
      </c>
      <c r="E4" s="90" t="s">
        <v>72</v>
      </c>
      <c r="F4" s="90" t="s">
        <v>73</v>
      </c>
    </row>
    <row r="5" spans="1:6" s="377" customFormat="1" ht="17.100000000000001" customHeight="1">
      <c r="A5" s="384" t="s">
        <v>2</v>
      </c>
      <c r="B5" s="384" t="s">
        <v>354</v>
      </c>
      <c r="C5" s="384" t="s">
        <v>354</v>
      </c>
      <c r="D5" s="385" t="s">
        <v>74</v>
      </c>
      <c r="E5" s="386">
        <v>12000</v>
      </c>
      <c r="F5" s="386">
        <v>12000</v>
      </c>
    </row>
    <row r="6" spans="1:6" s="377" customFormat="1" ht="17.100000000000001" customHeight="1">
      <c r="A6" s="381" t="s">
        <v>354</v>
      </c>
      <c r="B6" s="381" t="s">
        <v>75</v>
      </c>
      <c r="C6" s="381" t="s">
        <v>354</v>
      </c>
      <c r="D6" s="382" t="s">
        <v>76</v>
      </c>
      <c r="E6" s="383">
        <v>12000</v>
      </c>
      <c r="F6" s="383">
        <v>12000</v>
      </c>
    </row>
    <row r="7" spans="1:6" s="377" customFormat="1" ht="44.1" customHeight="1">
      <c r="A7" s="378" t="s">
        <v>354</v>
      </c>
      <c r="B7" s="378" t="s">
        <v>354</v>
      </c>
      <c r="C7" s="378" t="s">
        <v>355</v>
      </c>
      <c r="D7" s="379" t="s">
        <v>77</v>
      </c>
      <c r="E7" s="380">
        <v>12000</v>
      </c>
      <c r="F7" s="380">
        <v>0</v>
      </c>
    </row>
    <row r="8" spans="1:6" s="377" customFormat="1" ht="15.95" customHeight="1">
      <c r="A8" s="378" t="s">
        <v>354</v>
      </c>
      <c r="B8" s="378" t="s">
        <v>354</v>
      </c>
      <c r="C8" s="378" t="s">
        <v>356</v>
      </c>
      <c r="D8" s="379" t="s">
        <v>78</v>
      </c>
      <c r="E8" s="380">
        <v>0</v>
      </c>
      <c r="F8" s="380">
        <v>12000</v>
      </c>
    </row>
    <row r="9" spans="1:6" s="377" customFormat="1" ht="17.100000000000001" customHeight="1">
      <c r="A9" s="384" t="s">
        <v>357</v>
      </c>
      <c r="B9" s="384" t="s">
        <v>354</v>
      </c>
      <c r="C9" s="384" t="s">
        <v>354</v>
      </c>
      <c r="D9" s="385" t="s">
        <v>79</v>
      </c>
      <c r="E9" s="386">
        <v>319000</v>
      </c>
      <c r="F9" s="386">
        <v>319000</v>
      </c>
    </row>
    <row r="10" spans="1:6" s="377" customFormat="1" ht="17.100000000000001" customHeight="1">
      <c r="A10" s="381" t="s">
        <v>354</v>
      </c>
      <c r="B10" s="381" t="s">
        <v>358</v>
      </c>
      <c r="C10" s="381" t="s">
        <v>354</v>
      </c>
      <c r="D10" s="382" t="s">
        <v>80</v>
      </c>
      <c r="E10" s="383">
        <v>319000</v>
      </c>
      <c r="F10" s="383">
        <v>319000</v>
      </c>
    </row>
    <row r="11" spans="1:6" s="377" customFormat="1" ht="44.1" customHeight="1">
      <c r="A11" s="378" t="s">
        <v>354</v>
      </c>
      <c r="B11" s="378" t="s">
        <v>354</v>
      </c>
      <c r="C11" s="378" t="s">
        <v>355</v>
      </c>
      <c r="D11" s="379" t="s">
        <v>77</v>
      </c>
      <c r="E11" s="380">
        <v>319000</v>
      </c>
      <c r="F11" s="380">
        <v>0</v>
      </c>
    </row>
    <row r="12" spans="1:6" s="377" customFormat="1" ht="15.95" customHeight="1">
      <c r="A12" s="378" t="s">
        <v>354</v>
      </c>
      <c r="B12" s="378" t="s">
        <v>354</v>
      </c>
      <c r="C12" s="378" t="s">
        <v>359</v>
      </c>
      <c r="D12" s="379" t="s">
        <v>81</v>
      </c>
      <c r="E12" s="380">
        <v>0</v>
      </c>
      <c r="F12" s="380">
        <v>52248</v>
      </c>
    </row>
    <row r="13" spans="1:6" s="377" customFormat="1" ht="15.95" customHeight="1">
      <c r="A13" s="378" t="s">
        <v>354</v>
      </c>
      <c r="B13" s="378" t="s">
        <v>354</v>
      </c>
      <c r="C13" s="378" t="s">
        <v>360</v>
      </c>
      <c r="D13" s="379" t="s">
        <v>82</v>
      </c>
      <c r="E13" s="380">
        <v>0</v>
      </c>
      <c r="F13" s="380">
        <v>8982</v>
      </c>
    </row>
    <row r="14" spans="1:6" s="377" customFormat="1" ht="15.95" customHeight="1">
      <c r="A14" s="378" t="s">
        <v>354</v>
      </c>
      <c r="B14" s="378" t="s">
        <v>354</v>
      </c>
      <c r="C14" s="378" t="s">
        <v>361</v>
      </c>
      <c r="D14" s="379" t="s">
        <v>83</v>
      </c>
      <c r="E14" s="380">
        <v>0</v>
      </c>
      <c r="F14" s="380">
        <v>1280</v>
      </c>
    </row>
    <row r="15" spans="1:6" s="377" customFormat="1" ht="15.95" customHeight="1">
      <c r="A15" s="378" t="s">
        <v>354</v>
      </c>
      <c r="B15" s="378" t="s">
        <v>354</v>
      </c>
      <c r="C15" s="378" t="s">
        <v>362</v>
      </c>
      <c r="D15" s="379" t="s">
        <v>84</v>
      </c>
      <c r="E15" s="380">
        <v>0</v>
      </c>
      <c r="F15" s="380">
        <v>2000</v>
      </c>
    </row>
    <row r="16" spans="1:6" s="377" customFormat="1" ht="15.95" customHeight="1">
      <c r="A16" s="378" t="s">
        <v>354</v>
      </c>
      <c r="B16" s="378" t="s">
        <v>354</v>
      </c>
      <c r="C16" s="378" t="s">
        <v>363</v>
      </c>
      <c r="D16" s="379" t="s">
        <v>85</v>
      </c>
      <c r="E16" s="380">
        <v>0</v>
      </c>
      <c r="F16" s="380">
        <v>435</v>
      </c>
    </row>
    <row r="17" spans="1:6" s="377" customFormat="1" ht="15.95" customHeight="1">
      <c r="A17" s="378" t="s">
        <v>354</v>
      </c>
      <c r="B17" s="378" t="s">
        <v>354</v>
      </c>
      <c r="C17" s="378" t="s">
        <v>364</v>
      </c>
      <c r="D17" s="379" t="s">
        <v>86</v>
      </c>
      <c r="E17" s="380">
        <v>0</v>
      </c>
      <c r="F17" s="380">
        <v>10000</v>
      </c>
    </row>
    <row r="18" spans="1:6" s="377" customFormat="1" ht="15.95" customHeight="1">
      <c r="A18" s="378" t="s">
        <v>354</v>
      </c>
      <c r="B18" s="378" t="s">
        <v>354</v>
      </c>
      <c r="C18" s="378" t="s">
        <v>365</v>
      </c>
      <c r="D18" s="379" t="s">
        <v>87</v>
      </c>
      <c r="E18" s="380">
        <v>0</v>
      </c>
      <c r="F18" s="380">
        <v>54000</v>
      </c>
    </row>
    <row r="19" spans="1:6" s="377" customFormat="1" ht="15.95" customHeight="1">
      <c r="A19" s="378" t="s">
        <v>354</v>
      </c>
      <c r="B19" s="378" t="s">
        <v>354</v>
      </c>
      <c r="C19" s="378" t="s">
        <v>356</v>
      </c>
      <c r="D19" s="379" t="s">
        <v>78</v>
      </c>
      <c r="E19" s="380">
        <v>0</v>
      </c>
      <c r="F19" s="380">
        <v>60000</v>
      </c>
    </row>
    <row r="20" spans="1:6" s="377" customFormat="1" ht="15.95" customHeight="1">
      <c r="A20" s="378" t="s">
        <v>354</v>
      </c>
      <c r="B20" s="378" t="s">
        <v>354</v>
      </c>
      <c r="C20" s="378" t="s">
        <v>366</v>
      </c>
      <c r="D20" s="379" t="s">
        <v>88</v>
      </c>
      <c r="E20" s="380">
        <v>0</v>
      </c>
      <c r="F20" s="380">
        <v>40000</v>
      </c>
    </row>
    <row r="21" spans="1:6" s="377" customFormat="1" ht="15.95" customHeight="1">
      <c r="A21" s="378" t="s">
        <v>354</v>
      </c>
      <c r="B21" s="378" t="s">
        <v>354</v>
      </c>
      <c r="C21" s="378" t="s">
        <v>367</v>
      </c>
      <c r="D21" s="379" t="s">
        <v>89</v>
      </c>
      <c r="E21" s="380">
        <v>0</v>
      </c>
      <c r="F21" s="380">
        <v>4100</v>
      </c>
    </row>
    <row r="22" spans="1:6" s="377" customFormat="1" ht="15.95" customHeight="1">
      <c r="A22" s="378" t="s">
        <v>354</v>
      </c>
      <c r="B22" s="378" t="s">
        <v>354</v>
      </c>
      <c r="C22" s="378" t="s">
        <v>368</v>
      </c>
      <c r="D22" s="379" t="s">
        <v>90</v>
      </c>
      <c r="E22" s="380">
        <v>0</v>
      </c>
      <c r="F22" s="380">
        <v>49000</v>
      </c>
    </row>
    <row r="23" spans="1:6" s="377" customFormat="1" ht="15.95" customHeight="1">
      <c r="A23" s="378" t="s">
        <v>354</v>
      </c>
      <c r="B23" s="378" t="s">
        <v>354</v>
      </c>
      <c r="C23" s="378" t="s">
        <v>369</v>
      </c>
      <c r="D23" s="379" t="s">
        <v>91</v>
      </c>
      <c r="E23" s="380">
        <v>0</v>
      </c>
      <c r="F23" s="380">
        <v>10000</v>
      </c>
    </row>
    <row r="24" spans="1:6" s="377" customFormat="1" ht="15.95" customHeight="1">
      <c r="A24" s="378" t="s">
        <v>354</v>
      </c>
      <c r="B24" s="378" t="s">
        <v>354</v>
      </c>
      <c r="C24" s="378" t="s">
        <v>370</v>
      </c>
      <c r="D24" s="379" t="s">
        <v>92</v>
      </c>
      <c r="E24" s="380">
        <v>0</v>
      </c>
      <c r="F24" s="380">
        <v>3955</v>
      </c>
    </row>
    <row r="25" spans="1:6" s="377" customFormat="1" ht="15.95" customHeight="1">
      <c r="A25" s="378" t="s">
        <v>354</v>
      </c>
      <c r="B25" s="378" t="s">
        <v>354</v>
      </c>
      <c r="C25" s="378" t="s">
        <v>371</v>
      </c>
      <c r="D25" s="379" t="s">
        <v>93</v>
      </c>
      <c r="E25" s="380">
        <v>0</v>
      </c>
      <c r="F25" s="380">
        <v>6000</v>
      </c>
    </row>
    <row r="26" spans="1:6" s="377" customFormat="1" ht="15.95" customHeight="1">
      <c r="A26" s="378" t="s">
        <v>354</v>
      </c>
      <c r="B26" s="378" t="s">
        <v>354</v>
      </c>
      <c r="C26" s="378" t="s">
        <v>372</v>
      </c>
      <c r="D26" s="379" t="s">
        <v>94</v>
      </c>
      <c r="E26" s="380">
        <v>0</v>
      </c>
      <c r="F26" s="380">
        <v>17000</v>
      </c>
    </row>
    <row r="27" spans="1:6" s="377" customFormat="1" ht="17.100000000000001" customHeight="1">
      <c r="A27" s="384" t="s">
        <v>373</v>
      </c>
      <c r="B27" s="384" t="s">
        <v>354</v>
      </c>
      <c r="C27" s="384" t="s">
        <v>354</v>
      </c>
      <c r="D27" s="385" t="s">
        <v>95</v>
      </c>
      <c r="E27" s="386">
        <v>1286000</v>
      </c>
      <c r="F27" s="386">
        <v>1286000</v>
      </c>
    </row>
    <row r="28" spans="1:6" s="377" customFormat="1" ht="17.100000000000001" customHeight="1">
      <c r="A28" s="381" t="s">
        <v>354</v>
      </c>
      <c r="B28" s="381" t="s">
        <v>96</v>
      </c>
      <c r="C28" s="381" t="s">
        <v>354</v>
      </c>
      <c r="D28" s="382" t="s">
        <v>97</v>
      </c>
      <c r="E28" s="383">
        <v>365000</v>
      </c>
      <c r="F28" s="383">
        <v>365000</v>
      </c>
    </row>
    <row r="29" spans="1:6" s="377" customFormat="1" ht="44.1" customHeight="1">
      <c r="A29" s="378" t="s">
        <v>354</v>
      </c>
      <c r="B29" s="378" t="s">
        <v>354</v>
      </c>
      <c r="C29" s="378" t="s">
        <v>355</v>
      </c>
      <c r="D29" s="379" t="s">
        <v>77</v>
      </c>
      <c r="E29" s="380">
        <v>365000</v>
      </c>
      <c r="F29" s="380">
        <v>0</v>
      </c>
    </row>
    <row r="30" spans="1:6" s="377" customFormat="1" ht="15.95" customHeight="1">
      <c r="A30" s="378" t="s">
        <v>354</v>
      </c>
      <c r="B30" s="378" t="s">
        <v>354</v>
      </c>
      <c r="C30" s="378" t="s">
        <v>359</v>
      </c>
      <c r="D30" s="379" t="s">
        <v>81</v>
      </c>
      <c r="E30" s="380">
        <v>0</v>
      </c>
      <c r="F30" s="380">
        <v>226066</v>
      </c>
    </row>
    <row r="31" spans="1:6" s="377" customFormat="1" ht="15.95" customHeight="1">
      <c r="A31" s="378" t="s">
        <v>354</v>
      </c>
      <c r="B31" s="378" t="s">
        <v>354</v>
      </c>
      <c r="C31" s="378" t="s">
        <v>360</v>
      </c>
      <c r="D31" s="379" t="s">
        <v>82</v>
      </c>
      <c r="E31" s="380">
        <v>0</v>
      </c>
      <c r="F31" s="380">
        <v>38861</v>
      </c>
    </row>
    <row r="32" spans="1:6" s="377" customFormat="1" ht="15.95" customHeight="1">
      <c r="A32" s="378" t="s">
        <v>354</v>
      </c>
      <c r="B32" s="378" t="s">
        <v>354</v>
      </c>
      <c r="C32" s="378" t="s">
        <v>361</v>
      </c>
      <c r="D32" s="379" t="s">
        <v>83</v>
      </c>
      <c r="E32" s="380">
        <v>0</v>
      </c>
      <c r="F32" s="380">
        <v>5538</v>
      </c>
    </row>
    <row r="33" spans="1:8" s="377" customFormat="1" ht="15.95" customHeight="1">
      <c r="A33" s="378" t="s">
        <v>354</v>
      </c>
      <c r="B33" s="378" t="s">
        <v>354</v>
      </c>
      <c r="C33" s="378" t="s">
        <v>356</v>
      </c>
      <c r="D33" s="379" t="s">
        <v>78</v>
      </c>
      <c r="E33" s="380">
        <v>0</v>
      </c>
      <c r="F33" s="380">
        <v>94535</v>
      </c>
    </row>
    <row r="34" spans="1:8" s="377" customFormat="1" ht="17.100000000000001" customHeight="1">
      <c r="A34" s="381" t="s">
        <v>354</v>
      </c>
      <c r="B34" s="381" t="s">
        <v>374</v>
      </c>
      <c r="C34" s="381" t="s">
        <v>354</v>
      </c>
      <c r="D34" s="382" t="s">
        <v>98</v>
      </c>
      <c r="E34" s="383">
        <v>921000</v>
      </c>
      <c r="F34" s="383">
        <v>921000</v>
      </c>
    </row>
    <row r="35" spans="1:8" s="377" customFormat="1" ht="44.1" customHeight="1">
      <c r="A35" s="378" t="s">
        <v>354</v>
      </c>
      <c r="B35" s="378" t="s">
        <v>354</v>
      </c>
      <c r="C35" s="378" t="s">
        <v>355</v>
      </c>
      <c r="D35" s="379" t="s">
        <v>77</v>
      </c>
      <c r="E35" s="380">
        <v>921000</v>
      </c>
      <c r="F35" s="380">
        <v>0</v>
      </c>
    </row>
    <row r="36" spans="1:8" s="377" customFormat="1" ht="15.95" customHeight="1">
      <c r="A36" s="378" t="s">
        <v>354</v>
      </c>
      <c r="B36" s="378" t="s">
        <v>354</v>
      </c>
      <c r="C36" s="378" t="s">
        <v>375</v>
      </c>
      <c r="D36" s="379" t="s">
        <v>99</v>
      </c>
      <c r="E36" s="380">
        <v>0</v>
      </c>
      <c r="F36" s="380">
        <v>220</v>
      </c>
    </row>
    <row r="37" spans="1:8" s="377" customFormat="1" ht="15.95" customHeight="1">
      <c r="A37" s="378" t="s">
        <v>354</v>
      </c>
      <c r="B37" s="378" t="s">
        <v>354</v>
      </c>
      <c r="C37" s="378" t="s">
        <v>359</v>
      </c>
      <c r="D37" s="379" t="s">
        <v>81</v>
      </c>
      <c r="E37" s="380">
        <v>0</v>
      </c>
      <c r="F37" s="380">
        <v>164946</v>
      </c>
    </row>
    <row r="38" spans="1:8" s="377" customFormat="1" ht="15.95" customHeight="1">
      <c r="A38" s="378" t="s">
        <v>354</v>
      </c>
      <c r="B38" s="378" t="s">
        <v>354</v>
      </c>
      <c r="C38" s="378" t="s">
        <v>376</v>
      </c>
      <c r="D38" s="379" t="s">
        <v>100</v>
      </c>
      <c r="E38" s="380">
        <v>0</v>
      </c>
      <c r="F38" s="380">
        <v>439157</v>
      </c>
    </row>
    <row r="39" spans="1:8" s="377" customFormat="1" ht="15.95" customHeight="1">
      <c r="A39" s="378" t="s">
        <v>354</v>
      </c>
      <c r="B39" s="378" t="s">
        <v>354</v>
      </c>
      <c r="C39" s="378" t="s">
        <v>377</v>
      </c>
      <c r="D39" s="379" t="s">
        <v>101</v>
      </c>
      <c r="E39" s="380">
        <v>0</v>
      </c>
      <c r="F39" s="380">
        <v>47734</v>
      </c>
    </row>
    <row r="40" spans="1:8" s="377" customFormat="1" ht="15.95" customHeight="1">
      <c r="A40" s="378" t="s">
        <v>354</v>
      </c>
      <c r="B40" s="378" t="s">
        <v>354</v>
      </c>
      <c r="C40" s="378" t="s">
        <v>360</v>
      </c>
      <c r="D40" s="379" t="s">
        <v>82</v>
      </c>
      <c r="E40" s="380">
        <v>0</v>
      </c>
      <c r="F40" s="380">
        <v>111464</v>
      </c>
    </row>
    <row r="41" spans="1:8" s="377" customFormat="1" ht="15.95" customHeight="1">
      <c r="A41" s="378" t="s">
        <v>354</v>
      </c>
      <c r="B41" s="378" t="s">
        <v>354</v>
      </c>
      <c r="C41" s="378" t="s">
        <v>361</v>
      </c>
      <c r="D41" s="379" t="s">
        <v>83</v>
      </c>
      <c r="E41" s="380">
        <v>0</v>
      </c>
      <c r="F41" s="380">
        <v>9097</v>
      </c>
    </row>
    <row r="42" spans="1:8" s="377" customFormat="1" ht="15.95" customHeight="1">
      <c r="A42" s="378" t="s">
        <v>354</v>
      </c>
      <c r="B42" s="378" t="s">
        <v>354</v>
      </c>
      <c r="C42" s="378" t="s">
        <v>362</v>
      </c>
      <c r="D42" s="379" t="s">
        <v>84</v>
      </c>
      <c r="E42" s="380">
        <v>0</v>
      </c>
      <c r="F42" s="380">
        <v>1173</v>
      </c>
      <c r="H42" s="397"/>
    </row>
    <row r="43" spans="1:8" s="377" customFormat="1" ht="15.95" customHeight="1">
      <c r="A43" s="378" t="s">
        <v>354</v>
      </c>
      <c r="B43" s="378" t="s">
        <v>354</v>
      </c>
      <c r="C43" s="378" t="s">
        <v>363</v>
      </c>
      <c r="D43" s="379" t="s">
        <v>85</v>
      </c>
      <c r="E43" s="380">
        <v>0</v>
      </c>
      <c r="F43" s="380">
        <v>12989</v>
      </c>
    </row>
    <row r="44" spans="1:8" s="377" customFormat="1" ht="15.95" customHeight="1">
      <c r="A44" s="378" t="s">
        <v>354</v>
      </c>
      <c r="B44" s="378" t="s">
        <v>354</v>
      </c>
      <c r="C44" s="378" t="s">
        <v>364</v>
      </c>
      <c r="D44" s="379" t="s">
        <v>86</v>
      </c>
      <c r="E44" s="380">
        <v>0</v>
      </c>
      <c r="F44" s="380">
        <v>15106</v>
      </c>
    </row>
    <row r="45" spans="1:8" s="377" customFormat="1" ht="15.95" customHeight="1">
      <c r="A45" s="378" t="s">
        <v>354</v>
      </c>
      <c r="B45" s="378" t="s">
        <v>354</v>
      </c>
      <c r="C45" s="378" t="s">
        <v>365</v>
      </c>
      <c r="D45" s="379" t="s">
        <v>87</v>
      </c>
      <c r="E45" s="380">
        <v>0</v>
      </c>
      <c r="F45" s="380">
        <v>4927</v>
      </c>
    </row>
    <row r="46" spans="1:8" s="377" customFormat="1" ht="15.95" customHeight="1">
      <c r="A46" s="378" t="s">
        <v>354</v>
      </c>
      <c r="B46" s="378" t="s">
        <v>354</v>
      </c>
      <c r="C46" s="378" t="s">
        <v>378</v>
      </c>
      <c r="D46" s="379" t="s">
        <v>102</v>
      </c>
      <c r="E46" s="380">
        <v>0</v>
      </c>
      <c r="F46" s="380">
        <v>941</v>
      </c>
    </row>
    <row r="47" spans="1:8" s="377" customFormat="1" ht="15.95" customHeight="1">
      <c r="A47" s="378" t="s">
        <v>354</v>
      </c>
      <c r="B47" s="378" t="s">
        <v>354</v>
      </c>
      <c r="C47" s="378" t="s">
        <v>356</v>
      </c>
      <c r="D47" s="379" t="s">
        <v>78</v>
      </c>
      <c r="E47" s="380">
        <v>0</v>
      </c>
      <c r="F47" s="380">
        <v>78710</v>
      </c>
    </row>
    <row r="48" spans="1:8" s="377" customFormat="1" ht="15.95" customHeight="1">
      <c r="A48" s="378" t="s">
        <v>354</v>
      </c>
      <c r="B48" s="378" t="s">
        <v>354</v>
      </c>
      <c r="C48" s="378" t="s">
        <v>379</v>
      </c>
      <c r="D48" s="379" t="s">
        <v>380</v>
      </c>
      <c r="E48" s="380">
        <v>0</v>
      </c>
      <c r="F48" s="380">
        <v>3347</v>
      </c>
    </row>
    <row r="49" spans="1:6" s="377" customFormat="1" ht="15.95" customHeight="1">
      <c r="A49" s="378" t="s">
        <v>354</v>
      </c>
      <c r="B49" s="378" t="s">
        <v>354</v>
      </c>
      <c r="C49" s="378" t="s">
        <v>381</v>
      </c>
      <c r="D49" s="379" t="s">
        <v>103</v>
      </c>
      <c r="E49" s="380">
        <v>0</v>
      </c>
      <c r="F49" s="380">
        <v>3000</v>
      </c>
    </row>
    <row r="50" spans="1:6" s="377" customFormat="1" ht="15.95" customHeight="1">
      <c r="A50" s="378" t="s">
        <v>354</v>
      </c>
      <c r="B50" s="378" t="s">
        <v>354</v>
      </c>
      <c r="C50" s="378" t="s">
        <v>367</v>
      </c>
      <c r="D50" s="379" t="s">
        <v>89</v>
      </c>
      <c r="E50" s="380">
        <v>0</v>
      </c>
      <c r="F50" s="380">
        <v>4679</v>
      </c>
    </row>
    <row r="51" spans="1:6" s="377" customFormat="1" ht="15.95" customHeight="1">
      <c r="A51" s="378" t="s">
        <v>354</v>
      </c>
      <c r="B51" s="378" t="s">
        <v>354</v>
      </c>
      <c r="C51" s="378" t="s">
        <v>382</v>
      </c>
      <c r="D51" s="379" t="s">
        <v>104</v>
      </c>
      <c r="E51" s="380">
        <v>0</v>
      </c>
      <c r="F51" s="380">
        <v>17441</v>
      </c>
    </row>
    <row r="52" spans="1:6" s="377" customFormat="1" ht="15.95" customHeight="1">
      <c r="A52" s="378" t="s">
        <v>354</v>
      </c>
      <c r="B52" s="378" t="s">
        <v>354</v>
      </c>
      <c r="C52" s="378" t="s">
        <v>368</v>
      </c>
      <c r="D52" s="379" t="s">
        <v>90</v>
      </c>
      <c r="E52" s="380">
        <v>0</v>
      </c>
      <c r="F52" s="380">
        <v>1268</v>
      </c>
    </row>
    <row r="53" spans="1:6" s="377" customFormat="1" ht="15.95" customHeight="1">
      <c r="A53" s="378" t="s">
        <v>354</v>
      </c>
      <c r="B53" s="378" t="s">
        <v>354</v>
      </c>
      <c r="C53" s="378" t="s">
        <v>383</v>
      </c>
      <c r="D53" s="379" t="s">
        <v>105</v>
      </c>
      <c r="E53" s="380">
        <v>0</v>
      </c>
      <c r="F53" s="380">
        <v>1142</v>
      </c>
    </row>
    <row r="54" spans="1:6" s="377" customFormat="1" ht="15.95" customHeight="1">
      <c r="A54" s="378" t="s">
        <v>354</v>
      </c>
      <c r="B54" s="378" t="s">
        <v>354</v>
      </c>
      <c r="C54" s="378" t="s">
        <v>372</v>
      </c>
      <c r="D54" s="379" t="s">
        <v>94</v>
      </c>
      <c r="E54" s="380">
        <v>0</v>
      </c>
      <c r="F54" s="380">
        <v>1059</v>
      </c>
    </row>
    <row r="55" spans="1:6" s="377" customFormat="1" ht="30" customHeight="1">
      <c r="A55" s="378" t="s">
        <v>354</v>
      </c>
      <c r="B55" s="378" t="s">
        <v>354</v>
      </c>
      <c r="C55" s="378" t="s">
        <v>384</v>
      </c>
      <c r="D55" s="379" t="s">
        <v>106</v>
      </c>
      <c r="E55" s="380">
        <v>0</v>
      </c>
      <c r="F55" s="380">
        <v>1142</v>
      </c>
    </row>
    <row r="56" spans="1:6" s="377" customFormat="1" ht="19.5" customHeight="1">
      <c r="A56" s="378"/>
      <c r="B56" s="378"/>
      <c r="C56" s="378">
        <v>4710</v>
      </c>
      <c r="D56" s="379" t="s">
        <v>129</v>
      </c>
      <c r="E56" s="380">
        <v>0</v>
      </c>
      <c r="F56" s="380">
        <v>1458</v>
      </c>
    </row>
    <row r="57" spans="1:6" s="377" customFormat="1" ht="17.100000000000001" customHeight="1">
      <c r="A57" s="384" t="s">
        <v>385</v>
      </c>
      <c r="B57" s="384" t="s">
        <v>354</v>
      </c>
      <c r="C57" s="384" t="s">
        <v>354</v>
      </c>
      <c r="D57" s="385" t="s">
        <v>107</v>
      </c>
      <c r="E57" s="386">
        <v>47405</v>
      </c>
      <c r="F57" s="386">
        <v>47405</v>
      </c>
    </row>
    <row r="58" spans="1:6" s="377" customFormat="1" ht="17.100000000000001" customHeight="1">
      <c r="A58" s="381" t="s">
        <v>354</v>
      </c>
      <c r="B58" s="381" t="s">
        <v>386</v>
      </c>
      <c r="C58" s="381" t="s">
        <v>354</v>
      </c>
      <c r="D58" s="382" t="s">
        <v>108</v>
      </c>
      <c r="E58" s="383">
        <v>34791</v>
      </c>
      <c r="F58" s="383">
        <v>34791</v>
      </c>
    </row>
    <row r="59" spans="1:6" s="377" customFormat="1" ht="44.1" customHeight="1">
      <c r="A59" s="378" t="s">
        <v>354</v>
      </c>
      <c r="B59" s="378" t="s">
        <v>354</v>
      </c>
      <c r="C59" s="378" t="s">
        <v>355</v>
      </c>
      <c r="D59" s="379" t="s">
        <v>77</v>
      </c>
      <c r="E59" s="380">
        <v>34791</v>
      </c>
      <c r="F59" s="380">
        <v>0</v>
      </c>
    </row>
    <row r="60" spans="1:6" s="377" customFormat="1" ht="15.95" customHeight="1">
      <c r="A60" s="378" t="s">
        <v>354</v>
      </c>
      <c r="B60" s="378" t="s">
        <v>354</v>
      </c>
      <c r="C60" s="378" t="s">
        <v>359</v>
      </c>
      <c r="D60" s="379" t="s">
        <v>81</v>
      </c>
      <c r="E60" s="380">
        <v>0</v>
      </c>
      <c r="F60" s="380">
        <v>29080</v>
      </c>
    </row>
    <row r="61" spans="1:6" s="377" customFormat="1" ht="15.95" customHeight="1">
      <c r="A61" s="378" t="s">
        <v>354</v>
      </c>
      <c r="B61" s="378" t="s">
        <v>354</v>
      </c>
      <c r="C61" s="378" t="s">
        <v>360</v>
      </c>
      <c r="D61" s="379" t="s">
        <v>82</v>
      </c>
      <c r="E61" s="380">
        <v>0</v>
      </c>
      <c r="F61" s="380">
        <v>4999</v>
      </c>
    </row>
    <row r="62" spans="1:6" s="377" customFormat="1" ht="15.95" customHeight="1">
      <c r="A62" s="378" t="s">
        <v>354</v>
      </c>
      <c r="B62" s="378" t="s">
        <v>354</v>
      </c>
      <c r="C62" s="378" t="s">
        <v>361</v>
      </c>
      <c r="D62" s="379" t="s">
        <v>83</v>
      </c>
      <c r="E62" s="380">
        <v>0</v>
      </c>
      <c r="F62" s="380">
        <v>712</v>
      </c>
    </row>
    <row r="63" spans="1:6" s="377" customFormat="1" ht="17.100000000000001" customHeight="1">
      <c r="A63" s="381" t="s">
        <v>354</v>
      </c>
      <c r="B63" s="381" t="s">
        <v>387</v>
      </c>
      <c r="C63" s="381" t="s">
        <v>354</v>
      </c>
      <c r="D63" s="382" t="s">
        <v>109</v>
      </c>
      <c r="E63" s="383">
        <v>12614</v>
      </c>
      <c r="F63" s="383">
        <v>12614</v>
      </c>
    </row>
    <row r="64" spans="1:6" s="377" customFormat="1" ht="44.1" customHeight="1">
      <c r="A64" s="378" t="s">
        <v>354</v>
      </c>
      <c r="B64" s="378" t="s">
        <v>354</v>
      </c>
      <c r="C64" s="378" t="s">
        <v>355</v>
      </c>
      <c r="D64" s="379" t="s">
        <v>77</v>
      </c>
      <c r="E64" s="380">
        <v>12614</v>
      </c>
      <c r="F64" s="380">
        <v>0</v>
      </c>
    </row>
    <row r="65" spans="1:6" s="377" customFormat="1" ht="15.95" customHeight="1">
      <c r="A65" s="378" t="s">
        <v>354</v>
      </c>
      <c r="B65" s="378" t="s">
        <v>354</v>
      </c>
      <c r="C65" s="378" t="s">
        <v>360</v>
      </c>
      <c r="D65" s="379" t="s">
        <v>82</v>
      </c>
      <c r="E65" s="380">
        <v>0</v>
      </c>
      <c r="F65" s="380">
        <v>1600</v>
      </c>
    </row>
    <row r="66" spans="1:6" s="377" customFormat="1" ht="15.95" customHeight="1">
      <c r="A66" s="378" t="s">
        <v>354</v>
      </c>
      <c r="B66" s="378" t="s">
        <v>354</v>
      </c>
      <c r="C66" s="378" t="s">
        <v>361</v>
      </c>
      <c r="D66" s="379" t="s">
        <v>83</v>
      </c>
      <c r="E66" s="380">
        <v>0</v>
      </c>
      <c r="F66" s="380">
        <v>200</v>
      </c>
    </row>
    <row r="67" spans="1:6" s="377" customFormat="1" ht="15.95" customHeight="1">
      <c r="A67" s="378" t="s">
        <v>354</v>
      </c>
      <c r="B67" s="378" t="s">
        <v>354</v>
      </c>
      <c r="C67" s="378" t="s">
        <v>362</v>
      </c>
      <c r="D67" s="379" t="s">
        <v>84</v>
      </c>
      <c r="E67" s="380">
        <v>0</v>
      </c>
      <c r="F67" s="380">
        <v>10600</v>
      </c>
    </row>
    <row r="68" spans="1:6" s="377" customFormat="1" ht="15.95" customHeight="1">
      <c r="A68" s="378" t="s">
        <v>354</v>
      </c>
      <c r="B68" s="378" t="s">
        <v>354</v>
      </c>
      <c r="C68" s="378" t="s">
        <v>363</v>
      </c>
      <c r="D68" s="379" t="s">
        <v>85</v>
      </c>
      <c r="E68" s="380">
        <v>0</v>
      </c>
      <c r="F68" s="380">
        <v>214</v>
      </c>
    </row>
    <row r="69" spans="1:6" s="377" customFormat="1" ht="17.100000000000001" customHeight="1">
      <c r="A69" s="384" t="s">
        <v>388</v>
      </c>
      <c r="B69" s="384" t="s">
        <v>354</v>
      </c>
      <c r="C69" s="384" t="s">
        <v>354</v>
      </c>
      <c r="D69" s="385" t="s">
        <v>110</v>
      </c>
      <c r="E69" s="386">
        <v>8540368</v>
      </c>
      <c r="F69" s="386">
        <v>8540368</v>
      </c>
    </row>
    <row r="70" spans="1:6" s="377" customFormat="1" ht="17.100000000000001" customHeight="1">
      <c r="A70" s="381" t="s">
        <v>354</v>
      </c>
      <c r="B70" s="381" t="s">
        <v>389</v>
      </c>
      <c r="C70" s="381" t="s">
        <v>354</v>
      </c>
      <c r="D70" s="382" t="s">
        <v>111</v>
      </c>
      <c r="E70" s="383">
        <v>8540368</v>
      </c>
      <c r="F70" s="383">
        <v>8540368</v>
      </c>
    </row>
    <row r="71" spans="1:6" s="377" customFormat="1" ht="44.1" customHeight="1">
      <c r="A71" s="378" t="s">
        <v>354</v>
      </c>
      <c r="B71" s="378" t="s">
        <v>354</v>
      </c>
      <c r="C71" s="378" t="s">
        <v>355</v>
      </c>
      <c r="D71" s="379" t="s">
        <v>77</v>
      </c>
      <c r="E71" s="380">
        <v>8540368</v>
      </c>
      <c r="F71" s="380">
        <v>0</v>
      </c>
    </row>
    <row r="72" spans="1:6" s="377" customFormat="1" ht="25.5" customHeight="1">
      <c r="A72" s="378" t="s">
        <v>354</v>
      </c>
      <c r="B72" s="378" t="s">
        <v>354</v>
      </c>
      <c r="C72" s="378" t="s">
        <v>390</v>
      </c>
      <c r="D72" s="379" t="s">
        <v>112</v>
      </c>
      <c r="E72" s="380">
        <v>0</v>
      </c>
      <c r="F72" s="380">
        <v>321502</v>
      </c>
    </row>
    <row r="73" spans="1:6" s="377" customFormat="1" ht="15.95" customHeight="1">
      <c r="A73" s="378" t="s">
        <v>354</v>
      </c>
      <c r="B73" s="378" t="s">
        <v>354</v>
      </c>
      <c r="C73" s="378" t="s">
        <v>359</v>
      </c>
      <c r="D73" s="379" t="s">
        <v>81</v>
      </c>
      <c r="E73" s="380">
        <v>0</v>
      </c>
      <c r="F73" s="380">
        <v>35297</v>
      </c>
    </row>
    <row r="74" spans="1:6" s="377" customFormat="1" ht="15.95" customHeight="1">
      <c r="A74" s="378" t="s">
        <v>354</v>
      </c>
      <c r="B74" s="378" t="s">
        <v>354</v>
      </c>
      <c r="C74" s="378" t="s">
        <v>376</v>
      </c>
      <c r="D74" s="379" t="s">
        <v>100</v>
      </c>
      <c r="E74" s="380">
        <v>0</v>
      </c>
      <c r="F74" s="380">
        <v>124648</v>
      </c>
    </row>
    <row r="75" spans="1:6" s="377" customFormat="1" ht="15.95" customHeight="1">
      <c r="A75" s="378" t="s">
        <v>354</v>
      </c>
      <c r="B75" s="378" t="s">
        <v>354</v>
      </c>
      <c r="C75" s="378" t="s">
        <v>377</v>
      </c>
      <c r="D75" s="379" t="s">
        <v>101</v>
      </c>
      <c r="E75" s="380">
        <v>0</v>
      </c>
      <c r="F75" s="380">
        <v>14017</v>
      </c>
    </row>
    <row r="76" spans="1:6" s="377" customFormat="1" ht="15.95" customHeight="1">
      <c r="A76" s="378" t="s">
        <v>354</v>
      </c>
      <c r="B76" s="378" t="s">
        <v>354</v>
      </c>
      <c r="C76" s="378" t="s">
        <v>391</v>
      </c>
      <c r="D76" s="379" t="s">
        <v>113</v>
      </c>
      <c r="E76" s="380">
        <v>0</v>
      </c>
      <c r="F76" s="380">
        <v>5912705</v>
      </c>
    </row>
    <row r="77" spans="1:6" s="377" customFormat="1" ht="31.5" customHeight="1">
      <c r="A77" s="378" t="s">
        <v>354</v>
      </c>
      <c r="B77" s="378" t="s">
        <v>354</v>
      </c>
      <c r="C77" s="378" t="s">
        <v>392</v>
      </c>
      <c r="D77" s="379" t="s">
        <v>114</v>
      </c>
      <c r="E77" s="380">
        <v>0</v>
      </c>
      <c r="F77" s="380">
        <v>24437</v>
      </c>
    </row>
    <row r="78" spans="1:6" s="377" customFormat="1" ht="33" customHeight="1">
      <c r="A78" s="378" t="s">
        <v>354</v>
      </c>
      <c r="B78" s="378" t="s">
        <v>354</v>
      </c>
      <c r="C78" s="378" t="s">
        <v>393</v>
      </c>
      <c r="D78" s="379" t="s">
        <v>115</v>
      </c>
      <c r="E78" s="380">
        <v>0</v>
      </c>
      <c r="F78" s="380">
        <v>493331</v>
      </c>
    </row>
    <row r="79" spans="1:6" s="377" customFormat="1" ht="30" customHeight="1">
      <c r="A79" s="378" t="s">
        <v>354</v>
      </c>
      <c r="B79" s="378" t="s">
        <v>354</v>
      </c>
      <c r="C79" s="378" t="s">
        <v>394</v>
      </c>
      <c r="D79" s="379" t="s">
        <v>116</v>
      </c>
      <c r="E79" s="380">
        <v>0</v>
      </c>
      <c r="F79" s="380">
        <v>159154</v>
      </c>
    </row>
    <row r="80" spans="1:6" s="377" customFormat="1" ht="15.95" customHeight="1">
      <c r="A80" s="378" t="s">
        <v>354</v>
      </c>
      <c r="B80" s="378" t="s">
        <v>354</v>
      </c>
      <c r="C80" s="378" t="s">
        <v>360</v>
      </c>
      <c r="D80" s="379" t="s">
        <v>82</v>
      </c>
      <c r="E80" s="380">
        <v>0</v>
      </c>
      <c r="F80" s="380">
        <v>31591</v>
      </c>
    </row>
    <row r="81" spans="1:6" s="377" customFormat="1" ht="15.95" customHeight="1">
      <c r="A81" s="378" t="s">
        <v>354</v>
      </c>
      <c r="B81" s="378" t="s">
        <v>354</v>
      </c>
      <c r="C81" s="378" t="s">
        <v>361</v>
      </c>
      <c r="D81" s="379" t="s">
        <v>83</v>
      </c>
      <c r="E81" s="380">
        <v>0</v>
      </c>
      <c r="F81" s="380">
        <v>4262</v>
      </c>
    </row>
    <row r="82" spans="1:6" s="377" customFormat="1" ht="15.95" customHeight="1">
      <c r="A82" s="378" t="s">
        <v>354</v>
      </c>
      <c r="B82" s="378" t="s">
        <v>354</v>
      </c>
      <c r="C82" s="378" t="s">
        <v>362</v>
      </c>
      <c r="D82" s="379" t="s">
        <v>84</v>
      </c>
      <c r="E82" s="380">
        <v>0</v>
      </c>
      <c r="F82" s="380">
        <v>14806</v>
      </c>
    </row>
    <row r="83" spans="1:6" s="377" customFormat="1" ht="24">
      <c r="A83" s="378" t="s">
        <v>354</v>
      </c>
      <c r="B83" s="378" t="s">
        <v>354</v>
      </c>
      <c r="C83" s="378" t="s">
        <v>395</v>
      </c>
      <c r="D83" s="379" t="s">
        <v>396</v>
      </c>
      <c r="E83" s="380">
        <v>0</v>
      </c>
      <c r="F83" s="380">
        <v>886688</v>
      </c>
    </row>
    <row r="84" spans="1:6" s="377" customFormat="1" ht="15.95" customHeight="1">
      <c r="A84" s="378" t="s">
        <v>354</v>
      </c>
      <c r="B84" s="378" t="s">
        <v>354</v>
      </c>
      <c r="C84" s="378" t="s">
        <v>363</v>
      </c>
      <c r="D84" s="379" t="s">
        <v>85</v>
      </c>
      <c r="E84" s="380">
        <v>0</v>
      </c>
      <c r="F84" s="380">
        <v>158053</v>
      </c>
    </row>
    <row r="85" spans="1:6" s="377" customFormat="1" ht="15.95" customHeight="1">
      <c r="A85" s="378" t="s">
        <v>354</v>
      </c>
      <c r="B85" s="378" t="s">
        <v>354</v>
      </c>
      <c r="C85" s="378" t="s">
        <v>397</v>
      </c>
      <c r="D85" s="379" t="s">
        <v>117</v>
      </c>
      <c r="E85" s="380">
        <v>0</v>
      </c>
      <c r="F85" s="380">
        <v>15000</v>
      </c>
    </row>
    <row r="86" spans="1:6" s="377" customFormat="1" ht="15.95" customHeight="1">
      <c r="A86" s="378" t="s">
        <v>354</v>
      </c>
      <c r="B86" s="378" t="s">
        <v>354</v>
      </c>
      <c r="C86" s="378" t="s">
        <v>398</v>
      </c>
      <c r="D86" s="379" t="s">
        <v>118</v>
      </c>
      <c r="E86" s="380">
        <v>0</v>
      </c>
      <c r="F86" s="380">
        <v>8000</v>
      </c>
    </row>
    <row r="87" spans="1:6" s="377" customFormat="1" ht="15.95" customHeight="1">
      <c r="A87" s="378" t="s">
        <v>354</v>
      </c>
      <c r="B87" s="378" t="s">
        <v>354</v>
      </c>
      <c r="C87" s="378" t="s">
        <v>399</v>
      </c>
      <c r="D87" s="379" t="s">
        <v>119</v>
      </c>
      <c r="E87" s="380">
        <v>0</v>
      </c>
      <c r="F87" s="380">
        <v>8643</v>
      </c>
    </row>
    <row r="88" spans="1:6" s="377" customFormat="1" ht="15.95" customHeight="1">
      <c r="A88" s="378" t="s">
        <v>354</v>
      </c>
      <c r="B88" s="378" t="s">
        <v>354</v>
      </c>
      <c r="C88" s="378" t="s">
        <v>364</v>
      </c>
      <c r="D88" s="379" t="s">
        <v>86</v>
      </c>
      <c r="E88" s="380">
        <v>0</v>
      </c>
      <c r="F88" s="380">
        <v>91743</v>
      </c>
    </row>
    <row r="89" spans="1:6" s="377" customFormat="1" ht="15.95" customHeight="1">
      <c r="A89" s="378" t="s">
        <v>354</v>
      </c>
      <c r="B89" s="378" t="s">
        <v>354</v>
      </c>
      <c r="C89" s="378" t="s">
        <v>365</v>
      </c>
      <c r="D89" s="379" t="s">
        <v>87</v>
      </c>
      <c r="E89" s="380">
        <v>0</v>
      </c>
      <c r="F89" s="380">
        <v>120000</v>
      </c>
    </row>
    <row r="90" spans="1:6" s="377" customFormat="1" ht="15.95" customHeight="1">
      <c r="A90" s="378" t="s">
        <v>354</v>
      </c>
      <c r="B90" s="378" t="s">
        <v>354</v>
      </c>
      <c r="C90" s="378" t="s">
        <v>378</v>
      </c>
      <c r="D90" s="379" t="s">
        <v>102</v>
      </c>
      <c r="E90" s="380">
        <v>0</v>
      </c>
      <c r="F90" s="380">
        <v>25000</v>
      </c>
    </row>
    <row r="91" spans="1:6" s="377" customFormat="1" ht="15.95" customHeight="1">
      <c r="A91" s="378" t="s">
        <v>354</v>
      </c>
      <c r="B91" s="378" t="s">
        <v>354</v>
      </c>
      <c r="C91" s="378" t="s">
        <v>356</v>
      </c>
      <c r="D91" s="379" t="s">
        <v>78</v>
      </c>
      <c r="E91" s="380">
        <v>0</v>
      </c>
      <c r="F91" s="380">
        <v>52000</v>
      </c>
    </row>
    <row r="92" spans="1:6" s="377" customFormat="1" ht="15.95" customHeight="1">
      <c r="A92" s="378" t="s">
        <v>354</v>
      </c>
      <c r="B92" s="378" t="s">
        <v>354</v>
      </c>
      <c r="C92" s="378" t="s">
        <v>379</v>
      </c>
      <c r="D92" s="379" t="s">
        <v>380</v>
      </c>
      <c r="E92" s="380">
        <v>0</v>
      </c>
      <c r="F92" s="380">
        <v>5580</v>
      </c>
    </row>
    <row r="93" spans="1:6" s="377" customFormat="1" ht="15.95" customHeight="1">
      <c r="A93" s="378" t="s">
        <v>354</v>
      </c>
      <c r="B93" s="378" t="s">
        <v>354</v>
      </c>
      <c r="C93" s="378" t="s">
        <v>381</v>
      </c>
      <c r="D93" s="379" t="s">
        <v>103</v>
      </c>
      <c r="E93" s="380">
        <v>0</v>
      </c>
      <c r="F93" s="380">
        <v>5000</v>
      </c>
    </row>
    <row r="94" spans="1:6" s="377" customFormat="1" ht="15.95" customHeight="1">
      <c r="A94" s="378" t="s">
        <v>354</v>
      </c>
      <c r="B94" s="378" t="s">
        <v>354</v>
      </c>
      <c r="C94" s="378" t="s">
        <v>367</v>
      </c>
      <c r="D94" s="379" t="s">
        <v>89</v>
      </c>
      <c r="E94" s="380">
        <v>0</v>
      </c>
      <c r="F94" s="380">
        <v>5700</v>
      </c>
    </row>
    <row r="95" spans="1:6" s="377" customFormat="1" ht="15.95" customHeight="1">
      <c r="A95" s="378" t="s">
        <v>354</v>
      </c>
      <c r="B95" s="378" t="s">
        <v>354</v>
      </c>
      <c r="C95" s="378" t="s">
        <v>382</v>
      </c>
      <c r="D95" s="379" t="s">
        <v>104</v>
      </c>
      <c r="E95" s="380">
        <v>0</v>
      </c>
      <c r="F95" s="380">
        <v>6201</v>
      </c>
    </row>
    <row r="96" spans="1:6" s="377" customFormat="1" ht="15.95" customHeight="1">
      <c r="A96" s="378" t="s">
        <v>354</v>
      </c>
      <c r="B96" s="378" t="s">
        <v>354</v>
      </c>
      <c r="C96" s="378" t="s">
        <v>368</v>
      </c>
      <c r="D96" s="379" t="s">
        <v>90</v>
      </c>
      <c r="E96" s="380">
        <v>0</v>
      </c>
      <c r="F96" s="380">
        <v>9510</v>
      </c>
    </row>
    <row r="97" spans="1:6" s="377" customFormat="1" ht="15.95" customHeight="1">
      <c r="A97" s="378" t="s">
        <v>354</v>
      </c>
      <c r="B97" s="378" t="s">
        <v>354</v>
      </c>
      <c r="C97" s="378" t="s">
        <v>383</v>
      </c>
      <c r="D97" s="379" t="s">
        <v>105</v>
      </c>
      <c r="E97" s="380">
        <v>0</v>
      </c>
      <c r="F97" s="380">
        <v>2000</v>
      </c>
    </row>
    <row r="98" spans="1:6" s="377" customFormat="1" ht="31.5" customHeight="1">
      <c r="A98" s="378" t="s">
        <v>354</v>
      </c>
      <c r="B98" s="378" t="s">
        <v>354</v>
      </c>
      <c r="C98" s="378" t="s">
        <v>384</v>
      </c>
      <c r="D98" s="379" t="s">
        <v>106</v>
      </c>
      <c r="E98" s="380">
        <v>0</v>
      </c>
      <c r="F98" s="380">
        <v>5500</v>
      </c>
    </row>
    <row r="99" spans="1:6" s="377" customFormat="1" ht="17.100000000000001" customHeight="1">
      <c r="A99" s="384" t="s">
        <v>120</v>
      </c>
      <c r="B99" s="384" t="s">
        <v>354</v>
      </c>
      <c r="C99" s="384" t="s">
        <v>354</v>
      </c>
      <c r="D99" s="385" t="s">
        <v>121</v>
      </c>
      <c r="E99" s="386">
        <v>330000</v>
      </c>
      <c r="F99" s="386">
        <v>330000</v>
      </c>
    </row>
    <row r="100" spans="1:6" s="377" customFormat="1" ht="17.100000000000001" customHeight="1">
      <c r="A100" s="381" t="s">
        <v>354</v>
      </c>
      <c r="B100" s="381" t="s">
        <v>122</v>
      </c>
      <c r="C100" s="381" t="s">
        <v>354</v>
      </c>
      <c r="D100" s="382" t="s">
        <v>123</v>
      </c>
      <c r="E100" s="383">
        <v>330000</v>
      </c>
      <c r="F100" s="383">
        <v>330000</v>
      </c>
    </row>
    <row r="101" spans="1:6" s="377" customFormat="1" ht="44.1" customHeight="1">
      <c r="A101" s="378" t="s">
        <v>354</v>
      </c>
      <c r="B101" s="378" t="s">
        <v>354</v>
      </c>
      <c r="C101" s="378" t="s">
        <v>355</v>
      </c>
      <c r="D101" s="379" t="s">
        <v>77</v>
      </c>
      <c r="E101" s="380">
        <v>330000</v>
      </c>
      <c r="F101" s="380">
        <v>0</v>
      </c>
    </row>
    <row r="102" spans="1:6" s="377" customFormat="1" ht="48">
      <c r="A102" s="378" t="s">
        <v>354</v>
      </c>
      <c r="B102" s="378" t="s">
        <v>354</v>
      </c>
      <c r="C102" s="378" t="s">
        <v>400</v>
      </c>
      <c r="D102" s="379" t="s">
        <v>33</v>
      </c>
      <c r="E102" s="380">
        <v>0</v>
      </c>
      <c r="F102" s="380">
        <v>190080</v>
      </c>
    </row>
    <row r="103" spans="1:6" s="377" customFormat="1" ht="15.95" customHeight="1">
      <c r="A103" s="378" t="s">
        <v>354</v>
      </c>
      <c r="B103" s="378" t="s">
        <v>354</v>
      </c>
      <c r="C103" s="378" t="s">
        <v>359</v>
      </c>
      <c r="D103" s="379" t="s">
        <v>81</v>
      </c>
      <c r="E103" s="380">
        <v>0</v>
      </c>
      <c r="F103" s="380">
        <v>5400</v>
      </c>
    </row>
    <row r="104" spans="1:6" s="377" customFormat="1" ht="15.95" customHeight="1">
      <c r="A104" s="378" t="s">
        <v>354</v>
      </c>
      <c r="B104" s="378" t="s">
        <v>354</v>
      </c>
      <c r="C104" s="378" t="s">
        <v>360</v>
      </c>
      <c r="D104" s="379" t="s">
        <v>82</v>
      </c>
      <c r="E104" s="380">
        <v>0</v>
      </c>
      <c r="F104" s="380">
        <v>924</v>
      </c>
    </row>
    <row r="105" spans="1:6" s="377" customFormat="1" ht="15.95" customHeight="1">
      <c r="A105" s="378" t="s">
        <v>354</v>
      </c>
      <c r="B105" s="378" t="s">
        <v>354</v>
      </c>
      <c r="C105" s="378" t="s">
        <v>361</v>
      </c>
      <c r="D105" s="379" t="s">
        <v>83</v>
      </c>
      <c r="E105" s="380">
        <v>0</v>
      </c>
      <c r="F105" s="380">
        <v>132</v>
      </c>
    </row>
    <row r="106" spans="1:6" s="377" customFormat="1" ht="15.95" customHeight="1">
      <c r="A106" s="378" t="s">
        <v>354</v>
      </c>
      <c r="B106" s="378" t="s">
        <v>354</v>
      </c>
      <c r="C106" s="378" t="s">
        <v>363</v>
      </c>
      <c r="D106" s="379" t="s">
        <v>85</v>
      </c>
      <c r="E106" s="380">
        <v>0</v>
      </c>
      <c r="F106" s="380">
        <v>13344</v>
      </c>
    </row>
    <row r="107" spans="1:6" s="377" customFormat="1" ht="15.95" customHeight="1">
      <c r="A107" s="378" t="s">
        <v>354</v>
      </c>
      <c r="B107" s="378" t="s">
        <v>354</v>
      </c>
      <c r="C107" s="378" t="s">
        <v>356</v>
      </c>
      <c r="D107" s="379" t="s">
        <v>78</v>
      </c>
      <c r="E107" s="380">
        <v>0</v>
      </c>
      <c r="F107" s="380">
        <v>120120</v>
      </c>
    </row>
    <row r="108" spans="1:6" s="377" customFormat="1" ht="17.100000000000001" customHeight="1">
      <c r="A108" s="384" t="s">
        <v>401</v>
      </c>
      <c r="B108" s="384" t="s">
        <v>354</v>
      </c>
      <c r="C108" s="384" t="s">
        <v>354</v>
      </c>
      <c r="D108" s="385" t="s">
        <v>124</v>
      </c>
      <c r="E108" s="386">
        <v>1484300</v>
      </c>
      <c r="F108" s="386">
        <v>1484300</v>
      </c>
    </row>
    <row r="109" spans="1:6" s="377" customFormat="1" ht="31.5" customHeight="1">
      <c r="A109" s="381" t="s">
        <v>354</v>
      </c>
      <c r="B109" s="381" t="s">
        <v>402</v>
      </c>
      <c r="C109" s="381" t="s">
        <v>354</v>
      </c>
      <c r="D109" s="382" t="s">
        <v>403</v>
      </c>
      <c r="E109" s="383">
        <v>1484300</v>
      </c>
      <c r="F109" s="383">
        <v>1484300</v>
      </c>
    </row>
    <row r="110" spans="1:6" s="377" customFormat="1" ht="44.1" customHeight="1">
      <c r="A110" s="378" t="s">
        <v>354</v>
      </c>
      <c r="B110" s="378" t="s">
        <v>354</v>
      </c>
      <c r="C110" s="378" t="s">
        <v>355</v>
      </c>
      <c r="D110" s="379" t="s">
        <v>77</v>
      </c>
      <c r="E110" s="380">
        <v>1484300</v>
      </c>
      <c r="F110" s="380">
        <v>0</v>
      </c>
    </row>
    <row r="111" spans="1:6" s="377" customFormat="1" ht="15.95" customHeight="1">
      <c r="A111" s="378" t="s">
        <v>354</v>
      </c>
      <c r="B111" s="378" t="s">
        <v>354</v>
      </c>
      <c r="C111" s="378" t="s">
        <v>404</v>
      </c>
      <c r="D111" s="379" t="s">
        <v>125</v>
      </c>
      <c r="E111" s="380">
        <v>0</v>
      </c>
      <c r="F111" s="380">
        <v>1484300</v>
      </c>
    </row>
    <row r="112" spans="1:6" s="377" customFormat="1" ht="17.100000000000001" customHeight="1">
      <c r="A112" s="384" t="s">
        <v>126</v>
      </c>
      <c r="B112" s="384" t="s">
        <v>354</v>
      </c>
      <c r="C112" s="384" t="s">
        <v>354</v>
      </c>
      <c r="D112" s="385" t="s">
        <v>127</v>
      </c>
      <c r="E112" s="386">
        <v>846690</v>
      </c>
      <c r="F112" s="386">
        <v>846690</v>
      </c>
    </row>
    <row r="113" spans="1:6" s="377" customFormat="1" ht="17.100000000000001" customHeight="1">
      <c r="A113" s="381" t="s">
        <v>354</v>
      </c>
      <c r="B113" s="381" t="s">
        <v>405</v>
      </c>
      <c r="C113" s="381" t="s">
        <v>354</v>
      </c>
      <c r="D113" s="382" t="s">
        <v>128</v>
      </c>
      <c r="E113" s="383">
        <v>846690</v>
      </c>
      <c r="F113" s="383">
        <v>846690</v>
      </c>
    </row>
    <row r="114" spans="1:6" s="377" customFormat="1" ht="44.1" customHeight="1">
      <c r="A114" s="378" t="s">
        <v>354</v>
      </c>
      <c r="B114" s="378" t="s">
        <v>354</v>
      </c>
      <c r="C114" s="378" t="s">
        <v>355</v>
      </c>
      <c r="D114" s="379" t="s">
        <v>77</v>
      </c>
      <c r="E114" s="380">
        <v>846690</v>
      </c>
      <c r="F114" s="380">
        <v>0</v>
      </c>
    </row>
    <row r="115" spans="1:6" s="377" customFormat="1" ht="15.95" customHeight="1">
      <c r="A115" s="378" t="s">
        <v>354</v>
      </c>
      <c r="B115" s="378" t="s">
        <v>354</v>
      </c>
      <c r="C115" s="378" t="s">
        <v>375</v>
      </c>
      <c r="D115" s="379" t="s">
        <v>99</v>
      </c>
      <c r="E115" s="380">
        <v>0</v>
      </c>
      <c r="F115" s="380">
        <v>300</v>
      </c>
    </row>
    <row r="116" spans="1:6" s="377" customFormat="1" ht="15.95" customHeight="1">
      <c r="A116" s="378" t="s">
        <v>354</v>
      </c>
      <c r="B116" s="378" t="s">
        <v>354</v>
      </c>
      <c r="C116" s="378" t="s">
        <v>359</v>
      </c>
      <c r="D116" s="379" t="s">
        <v>81</v>
      </c>
      <c r="E116" s="380">
        <v>0</v>
      </c>
      <c r="F116" s="380">
        <v>522110</v>
      </c>
    </row>
    <row r="117" spans="1:6" s="377" customFormat="1" ht="15.95" customHeight="1">
      <c r="A117" s="378" t="s">
        <v>354</v>
      </c>
      <c r="B117" s="378" t="s">
        <v>354</v>
      </c>
      <c r="C117" s="378" t="s">
        <v>377</v>
      </c>
      <c r="D117" s="379" t="s">
        <v>101</v>
      </c>
      <c r="E117" s="380">
        <v>0</v>
      </c>
      <c r="F117" s="380">
        <v>41650</v>
      </c>
    </row>
    <row r="118" spans="1:6" s="377" customFormat="1" ht="15.95" customHeight="1">
      <c r="A118" s="378" t="s">
        <v>354</v>
      </c>
      <c r="B118" s="378" t="s">
        <v>354</v>
      </c>
      <c r="C118" s="378" t="s">
        <v>360</v>
      </c>
      <c r="D118" s="379" t="s">
        <v>82</v>
      </c>
      <c r="E118" s="380">
        <v>0</v>
      </c>
      <c r="F118" s="380">
        <v>99272</v>
      </c>
    </row>
    <row r="119" spans="1:6" s="377" customFormat="1" ht="15.95" customHeight="1">
      <c r="A119" s="378" t="s">
        <v>354</v>
      </c>
      <c r="B119" s="378" t="s">
        <v>354</v>
      </c>
      <c r="C119" s="378" t="s">
        <v>361</v>
      </c>
      <c r="D119" s="379" t="s">
        <v>83</v>
      </c>
      <c r="E119" s="380">
        <v>0</v>
      </c>
      <c r="F119" s="380">
        <v>11448</v>
      </c>
    </row>
    <row r="120" spans="1:6" s="377" customFormat="1" ht="15.95" customHeight="1">
      <c r="A120" s="378" t="s">
        <v>354</v>
      </c>
      <c r="B120" s="378" t="s">
        <v>354</v>
      </c>
      <c r="C120" s="378" t="s">
        <v>362</v>
      </c>
      <c r="D120" s="379" t="s">
        <v>84</v>
      </c>
      <c r="E120" s="380">
        <v>0</v>
      </c>
      <c r="F120" s="380">
        <v>2780</v>
      </c>
    </row>
    <row r="121" spans="1:6" s="377" customFormat="1" ht="15.95" customHeight="1">
      <c r="A121" s="378" t="s">
        <v>354</v>
      </c>
      <c r="B121" s="378" t="s">
        <v>354</v>
      </c>
      <c r="C121" s="378" t="s">
        <v>363</v>
      </c>
      <c r="D121" s="379" t="s">
        <v>85</v>
      </c>
      <c r="E121" s="380">
        <v>0</v>
      </c>
      <c r="F121" s="380">
        <v>20943</v>
      </c>
    </row>
    <row r="122" spans="1:6" s="377" customFormat="1" ht="15.95" customHeight="1">
      <c r="A122" s="378" t="s">
        <v>354</v>
      </c>
      <c r="B122" s="378" t="s">
        <v>354</v>
      </c>
      <c r="C122" s="378" t="s">
        <v>397</v>
      </c>
      <c r="D122" s="379" t="s">
        <v>117</v>
      </c>
      <c r="E122" s="380">
        <v>0</v>
      </c>
      <c r="F122" s="380">
        <v>14380</v>
      </c>
    </row>
    <row r="123" spans="1:6" s="377" customFormat="1" ht="15.95" customHeight="1">
      <c r="A123" s="378" t="s">
        <v>354</v>
      </c>
      <c r="B123" s="378" t="s">
        <v>354</v>
      </c>
      <c r="C123" s="378" t="s">
        <v>364</v>
      </c>
      <c r="D123" s="379" t="s">
        <v>86</v>
      </c>
      <c r="E123" s="380">
        <v>0</v>
      </c>
      <c r="F123" s="380">
        <v>9600</v>
      </c>
    </row>
    <row r="124" spans="1:6" s="377" customFormat="1" ht="15.95" customHeight="1">
      <c r="A124" s="378" t="s">
        <v>354</v>
      </c>
      <c r="B124" s="378" t="s">
        <v>354</v>
      </c>
      <c r="C124" s="378" t="s">
        <v>365</v>
      </c>
      <c r="D124" s="379" t="s">
        <v>87</v>
      </c>
      <c r="E124" s="380">
        <v>0</v>
      </c>
      <c r="F124" s="380">
        <v>5000</v>
      </c>
    </row>
    <row r="125" spans="1:6" s="377" customFormat="1" ht="15.95" customHeight="1">
      <c r="A125" s="378" t="s">
        <v>354</v>
      </c>
      <c r="B125" s="378" t="s">
        <v>354</v>
      </c>
      <c r="C125" s="378" t="s">
        <v>378</v>
      </c>
      <c r="D125" s="379" t="s">
        <v>102</v>
      </c>
      <c r="E125" s="380">
        <v>0</v>
      </c>
      <c r="F125" s="380">
        <v>450</v>
      </c>
    </row>
    <row r="126" spans="1:6" s="377" customFormat="1" ht="15.95" customHeight="1">
      <c r="A126" s="378" t="s">
        <v>354</v>
      </c>
      <c r="B126" s="378" t="s">
        <v>354</v>
      </c>
      <c r="C126" s="378" t="s">
        <v>356</v>
      </c>
      <c r="D126" s="379" t="s">
        <v>78</v>
      </c>
      <c r="E126" s="380">
        <v>0</v>
      </c>
      <c r="F126" s="380">
        <v>76072</v>
      </c>
    </row>
    <row r="127" spans="1:6" s="377" customFormat="1" ht="15.95" customHeight="1">
      <c r="A127" s="378" t="s">
        <v>354</v>
      </c>
      <c r="B127" s="378" t="s">
        <v>354</v>
      </c>
      <c r="C127" s="378" t="s">
        <v>379</v>
      </c>
      <c r="D127" s="379" t="s">
        <v>380</v>
      </c>
      <c r="E127" s="380">
        <v>0</v>
      </c>
      <c r="F127" s="380">
        <v>1927</v>
      </c>
    </row>
    <row r="128" spans="1:6" s="377" customFormat="1" ht="15.95" customHeight="1">
      <c r="A128" s="378" t="s">
        <v>354</v>
      </c>
      <c r="B128" s="378" t="s">
        <v>354</v>
      </c>
      <c r="C128" s="378" t="s">
        <v>381</v>
      </c>
      <c r="D128" s="379" t="s">
        <v>103</v>
      </c>
      <c r="E128" s="380">
        <v>0</v>
      </c>
      <c r="F128" s="380">
        <v>2006</v>
      </c>
    </row>
    <row r="129" spans="1:6" s="377" customFormat="1" ht="15.95" customHeight="1">
      <c r="A129" s="378" t="s">
        <v>354</v>
      </c>
      <c r="B129" s="378" t="s">
        <v>354</v>
      </c>
      <c r="C129" s="378" t="s">
        <v>367</v>
      </c>
      <c r="D129" s="379" t="s">
        <v>89</v>
      </c>
      <c r="E129" s="380">
        <v>0</v>
      </c>
      <c r="F129" s="380">
        <v>1222</v>
      </c>
    </row>
    <row r="130" spans="1:6" s="377" customFormat="1" ht="15.95" customHeight="1">
      <c r="A130" s="378" t="s">
        <v>354</v>
      </c>
      <c r="B130" s="378" t="s">
        <v>354</v>
      </c>
      <c r="C130" s="378" t="s">
        <v>382</v>
      </c>
      <c r="D130" s="379" t="s">
        <v>104</v>
      </c>
      <c r="E130" s="380">
        <v>0</v>
      </c>
      <c r="F130" s="380">
        <v>14470</v>
      </c>
    </row>
    <row r="131" spans="1:6" s="377" customFormat="1" ht="15.95" customHeight="1">
      <c r="A131" s="378" t="s">
        <v>354</v>
      </c>
      <c r="B131" s="378" t="s">
        <v>354</v>
      </c>
      <c r="C131" s="378" t="s">
        <v>368</v>
      </c>
      <c r="D131" s="379" t="s">
        <v>90</v>
      </c>
      <c r="E131" s="380">
        <v>0</v>
      </c>
      <c r="F131" s="380">
        <v>3698</v>
      </c>
    </row>
    <row r="132" spans="1:6" s="377" customFormat="1" ht="15.95" customHeight="1">
      <c r="A132" s="378" t="s">
        <v>354</v>
      </c>
      <c r="B132" s="378" t="s">
        <v>354</v>
      </c>
      <c r="C132" s="378" t="s">
        <v>369</v>
      </c>
      <c r="D132" s="379" t="s">
        <v>91</v>
      </c>
      <c r="E132" s="380">
        <v>0</v>
      </c>
      <c r="F132" s="380">
        <v>3057</v>
      </c>
    </row>
    <row r="133" spans="1:6" s="377" customFormat="1" ht="30.75" customHeight="1">
      <c r="A133" s="378" t="s">
        <v>354</v>
      </c>
      <c r="B133" s="378" t="s">
        <v>354</v>
      </c>
      <c r="C133" s="378" t="s">
        <v>384</v>
      </c>
      <c r="D133" s="379" t="s">
        <v>106</v>
      </c>
      <c r="E133" s="380">
        <v>0</v>
      </c>
      <c r="F133" s="380">
        <v>8000</v>
      </c>
    </row>
    <row r="134" spans="1:6" s="377" customFormat="1" ht="15.95" customHeight="1">
      <c r="A134" s="378" t="s">
        <v>354</v>
      </c>
      <c r="B134" s="378" t="s">
        <v>354</v>
      </c>
      <c r="C134" s="378" t="s">
        <v>406</v>
      </c>
      <c r="D134" s="379" t="s">
        <v>129</v>
      </c>
      <c r="E134" s="380">
        <v>0</v>
      </c>
      <c r="F134" s="380">
        <v>8305</v>
      </c>
    </row>
    <row r="135" spans="1:6" s="377" customFormat="1" ht="17.100000000000001" customHeight="1">
      <c r="A135" s="384" t="s">
        <v>407</v>
      </c>
      <c r="B135" s="384" t="s">
        <v>354</v>
      </c>
      <c r="C135" s="384" t="s">
        <v>354</v>
      </c>
      <c r="D135" s="385" t="s">
        <v>130</v>
      </c>
      <c r="E135" s="386">
        <v>249831</v>
      </c>
      <c r="F135" s="386">
        <v>249831</v>
      </c>
    </row>
    <row r="136" spans="1:6" s="377" customFormat="1" ht="17.100000000000001" customHeight="1">
      <c r="A136" s="381" t="s">
        <v>354</v>
      </c>
      <c r="B136" s="381" t="s">
        <v>408</v>
      </c>
      <c r="C136" s="381" t="s">
        <v>354</v>
      </c>
      <c r="D136" s="382" t="s">
        <v>131</v>
      </c>
      <c r="E136" s="383">
        <v>249831</v>
      </c>
      <c r="F136" s="383">
        <v>249831</v>
      </c>
    </row>
    <row r="137" spans="1:6" s="377" customFormat="1" ht="44.1" customHeight="1">
      <c r="A137" s="378" t="s">
        <v>354</v>
      </c>
      <c r="B137" s="378" t="s">
        <v>354</v>
      </c>
      <c r="C137" s="378" t="s">
        <v>355</v>
      </c>
      <c r="D137" s="379" t="s">
        <v>77</v>
      </c>
      <c r="E137" s="380">
        <v>249831</v>
      </c>
      <c r="F137" s="380">
        <v>0</v>
      </c>
    </row>
    <row r="138" spans="1:6" s="377" customFormat="1" ht="15.95" customHeight="1">
      <c r="A138" s="378" t="s">
        <v>354</v>
      </c>
      <c r="B138" s="378" t="s">
        <v>354</v>
      </c>
      <c r="C138" s="378" t="s">
        <v>375</v>
      </c>
      <c r="D138" s="379" t="s">
        <v>99</v>
      </c>
      <c r="E138" s="380">
        <v>0</v>
      </c>
      <c r="F138" s="380">
        <v>50</v>
      </c>
    </row>
    <row r="139" spans="1:6" s="377" customFormat="1" ht="15.95" customHeight="1">
      <c r="A139" s="378" t="s">
        <v>354</v>
      </c>
      <c r="B139" s="378" t="s">
        <v>354</v>
      </c>
      <c r="C139" s="378" t="s">
        <v>359</v>
      </c>
      <c r="D139" s="379" t="s">
        <v>81</v>
      </c>
      <c r="E139" s="380">
        <v>0</v>
      </c>
      <c r="F139" s="380">
        <v>99473</v>
      </c>
    </row>
    <row r="140" spans="1:6" s="377" customFormat="1" ht="15.95" customHeight="1">
      <c r="A140" s="378" t="s">
        <v>354</v>
      </c>
      <c r="B140" s="378" t="s">
        <v>354</v>
      </c>
      <c r="C140" s="378" t="s">
        <v>377</v>
      </c>
      <c r="D140" s="379" t="s">
        <v>101</v>
      </c>
      <c r="E140" s="380">
        <v>0</v>
      </c>
      <c r="F140" s="380">
        <v>7389</v>
      </c>
    </row>
    <row r="141" spans="1:6" s="377" customFormat="1" ht="15.95" customHeight="1">
      <c r="A141" s="378" t="s">
        <v>354</v>
      </c>
      <c r="B141" s="378" t="s">
        <v>354</v>
      </c>
      <c r="C141" s="378" t="s">
        <v>360</v>
      </c>
      <c r="D141" s="379" t="s">
        <v>82</v>
      </c>
      <c r="E141" s="380">
        <v>0</v>
      </c>
      <c r="F141" s="380">
        <v>25154</v>
      </c>
    </row>
    <row r="142" spans="1:6" s="377" customFormat="1" ht="15.95" customHeight="1">
      <c r="A142" s="378" t="s">
        <v>354</v>
      </c>
      <c r="B142" s="378" t="s">
        <v>354</v>
      </c>
      <c r="C142" s="378" t="s">
        <v>361</v>
      </c>
      <c r="D142" s="379" t="s">
        <v>83</v>
      </c>
      <c r="E142" s="380">
        <v>0</v>
      </c>
      <c r="F142" s="380">
        <v>2591</v>
      </c>
    </row>
    <row r="143" spans="1:6" s="377" customFormat="1" ht="15.95" customHeight="1">
      <c r="A143" s="378" t="s">
        <v>354</v>
      </c>
      <c r="B143" s="378" t="s">
        <v>354</v>
      </c>
      <c r="C143" s="378" t="s">
        <v>362</v>
      </c>
      <c r="D143" s="379" t="s">
        <v>84</v>
      </c>
      <c r="E143" s="380">
        <v>0</v>
      </c>
      <c r="F143" s="380">
        <v>39209</v>
      </c>
    </row>
    <row r="144" spans="1:6" s="377" customFormat="1" ht="15.95" customHeight="1">
      <c r="A144" s="378" t="s">
        <v>354</v>
      </c>
      <c r="B144" s="378" t="s">
        <v>354</v>
      </c>
      <c r="C144" s="378" t="s">
        <v>363</v>
      </c>
      <c r="D144" s="379" t="s">
        <v>85</v>
      </c>
      <c r="E144" s="380">
        <v>0</v>
      </c>
      <c r="F144" s="380">
        <v>7077</v>
      </c>
    </row>
    <row r="145" spans="1:6" s="377" customFormat="1" ht="15.95" customHeight="1">
      <c r="A145" s="378" t="s">
        <v>354</v>
      </c>
      <c r="B145" s="378" t="s">
        <v>354</v>
      </c>
      <c r="C145" s="378" t="s">
        <v>378</v>
      </c>
      <c r="D145" s="379" t="s">
        <v>102</v>
      </c>
      <c r="E145" s="380">
        <v>0</v>
      </c>
      <c r="F145" s="380">
        <v>100</v>
      </c>
    </row>
    <row r="146" spans="1:6" s="377" customFormat="1" ht="15.95" customHeight="1">
      <c r="A146" s="378" t="s">
        <v>354</v>
      </c>
      <c r="B146" s="378" t="s">
        <v>354</v>
      </c>
      <c r="C146" s="378" t="s">
        <v>356</v>
      </c>
      <c r="D146" s="379" t="s">
        <v>78</v>
      </c>
      <c r="E146" s="380">
        <v>0</v>
      </c>
      <c r="F146" s="380">
        <v>63237</v>
      </c>
    </row>
    <row r="147" spans="1:6" s="377" customFormat="1" ht="15.95" customHeight="1">
      <c r="A147" s="378" t="s">
        <v>354</v>
      </c>
      <c r="B147" s="378" t="s">
        <v>354</v>
      </c>
      <c r="C147" s="378" t="s">
        <v>382</v>
      </c>
      <c r="D147" s="379" t="s">
        <v>104</v>
      </c>
      <c r="E147" s="380">
        <v>0</v>
      </c>
      <c r="F147" s="380">
        <v>3359</v>
      </c>
    </row>
    <row r="148" spans="1:6" s="377" customFormat="1" ht="15.95" customHeight="1">
      <c r="A148" s="378" t="s">
        <v>354</v>
      </c>
      <c r="B148" s="378" t="s">
        <v>354</v>
      </c>
      <c r="C148" s="378" t="s">
        <v>406</v>
      </c>
      <c r="D148" s="379" t="s">
        <v>129</v>
      </c>
      <c r="E148" s="380">
        <v>0</v>
      </c>
      <c r="F148" s="380">
        <v>2192</v>
      </c>
    </row>
    <row r="149" spans="1:6" s="377" customFormat="1" ht="17.100000000000001" customHeight="1">
      <c r="A149" s="384" t="s">
        <v>132</v>
      </c>
      <c r="B149" s="384" t="s">
        <v>354</v>
      </c>
      <c r="C149" s="384" t="s">
        <v>354</v>
      </c>
      <c r="D149" s="385" t="s">
        <v>133</v>
      </c>
      <c r="E149" s="386">
        <v>891000</v>
      </c>
      <c r="F149" s="386">
        <v>891000</v>
      </c>
    </row>
    <row r="150" spans="1:6" s="377" customFormat="1" ht="17.100000000000001" customHeight="1">
      <c r="A150" s="381" t="s">
        <v>354</v>
      </c>
      <c r="B150" s="381" t="s">
        <v>134</v>
      </c>
      <c r="C150" s="381" t="s">
        <v>354</v>
      </c>
      <c r="D150" s="382" t="s">
        <v>135</v>
      </c>
      <c r="E150" s="383">
        <v>36000</v>
      </c>
      <c r="F150" s="383">
        <v>36000</v>
      </c>
    </row>
    <row r="151" spans="1:6" s="377" customFormat="1" ht="44.1" customHeight="1">
      <c r="A151" s="378" t="s">
        <v>354</v>
      </c>
      <c r="B151" s="378" t="s">
        <v>354</v>
      </c>
      <c r="C151" s="378" t="s">
        <v>355</v>
      </c>
      <c r="D151" s="379" t="s">
        <v>77</v>
      </c>
      <c r="E151" s="380">
        <v>36000</v>
      </c>
      <c r="F151" s="380">
        <v>0</v>
      </c>
    </row>
    <row r="152" spans="1:6" s="377" customFormat="1" ht="15.95" customHeight="1">
      <c r="A152" s="378" t="s">
        <v>354</v>
      </c>
      <c r="B152" s="378" t="s">
        <v>354</v>
      </c>
      <c r="C152" s="378" t="s">
        <v>409</v>
      </c>
      <c r="D152" s="379" t="s">
        <v>138</v>
      </c>
      <c r="E152" s="380">
        <v>0</v>
      </c>
      <c r="F152" s="380">
        <v>34800</v>
      </c>
    </row>
    <row r="153" spans="1:6" s="377" customFormat="1" ht="15.95" customHeight="1">
      <c r="A153" s="378" t="s">
        <v>354</v>
      </c>
      <c r="B153" s="378" t="s">
        <v>354</v>
      </c>
      <c r="C153" s="378" t="s">
        <v>359</v>
      </c>
      <c r="D153" s="379" t="s">
        <v>81</v>
      </c>
      <c r="E153" s="380">
        <v>0</v>
      </c>
      <c r="F153" s="380">
        <v>1003</v>
      </c>
    </row>
    <row r="154" spans="1:6" s="377" customFormat="1" ht="15.95" customHeight="1">
      <c r="A154" s="378" t="s">
        <v>354</v>
      </c>
      <c r="B154" s="378" t="s">
        <v>354</v>
      </c>
      <c r="C154" s="378" t="s">
        <v>360</v>
      </c>
      <c r="D154" s="379" t="s">
        <v>82</v>
      </c>
      <c r="E154" s="380">
        <v>0</v>
      </c>
      <c r="F154" s="380">
        <v>173</v>
      </c>
    </row>
    <row r="155" spans="1:6" s="377" customFormat="1" ht="15.95" customHeight="1">
      <c r="A155" s="378" t="s">
        <v>354</v>
      </c>
      <c r="B155" s="378" t="s">
        <v>354</v>
      </c>
      <c r="C155" s="378" t="s">
        <v>361</v>
      </c>
      <c r="D155" s="379" t="s">
        <v>83</v>
      </c>
      <c r="E155" s="380">
        <v>0</v>
      </c>
      <c r="F155" s="380">
        <v>24</v>
      </c>
    </row>
    <row r="156" spans="1:6" s="377" customFormat="1" ht="17.100000000000001" customHeight="1">
      <c r="A156" s="381" t="s">
        <v>354</v>
      </c>
      <c r="B156" s="381" t="s">
        <v>136</v>
      </c>
      <c r="C156" s="381" t="s">
        <v>354</v>
      </c>
      <c r="D156" s="382" t="s">
        <v>137</v>
      </c>
      <c r="E156" s="383">
        <v>442000</v>
      </c>
      <c r="F156" s="383">
        <v>442000</v>
      </c>
    </row>
    <row r="157" spans="1:6" s="377" customFormat="1" ht="69.95" customHeight="1">
      <c r="A157" s="378" t="s">
        <v>354</v>
      </c>
      <c r="B157" s="378" t="s">
        <v>354</v>
      </c>
      <c r="C157" s="378" t="s">
        <v>410</v>
      </c>
      <c r="D157" s="379" t="s">
        <v>411</v>
      </c>
      <c r="E157" s="380">
        <v>442000</v>
      </c>
      <c r="F157" s="380">
        <v>0</v>
      </c>
    </row>
    <row r="158" spans="1:6" s="377" customFormat="1" ht="15.95" customHeight="1">
      <c r="A158" s="378" t="s">
        <v>354</v>
      </c>
      <c r="B158" s="378" t="s">
        <v>354</v>
      </c>
      <c r="C158" s="378" t="s">
        <v>409</v>
      </c>
      <c r="D158" s="379" t="s">
        <v>138</v>
      </c>
      <c r="E158" s="380">
        <v>0</v>
      </c>
      <c r="F158" s="380">
        <v>437624</v>
      </c>
    </row>
    <row r="159" spans="1:6" s="377" customFormat="1" ht="15.95" customHeight="1">
      <c r="A159" s="378" t="s">
        <v>354</v>
      </c>
      <c r="B159" s="378" t="s">
        <v>354</v>
      </c>
      <c r="C159" s="378" t="s">
        <v>359</v>
      </c>
      <c r="D159" s="379" t="s">
        <v>81</v>
      </c>
      <c r="E159" s="380">
        <v>0</v>
      </c>
      <c r="F159" s="380">
        <v>4376</v>
      </c>
    </row>
    <row r="160" spans="1:6" s="377" customFormat="1" ht="17.100000000000001" customHeight="1">
      <c r="A160" s="381" t="s">
        <v>354</v>
      </c>
      <c r="B160" s="381" t="s">
        <v>139</v>
      </c>
      <c r="C160" s="381" t="s">
        <v>354</v>
      </c>
      <c r="D160" s="382" t="s">
        <v>140</v>
      </c>
      <c r="E160" s="383">
        <v>413000</v>
      </c>
      <c r="F160" s="383">
        <v>413000</v>
      </c>
    </row>
    <row r="161" spans="1:6" s="377" customFormat="1" ht="44.1" customHeight="1">
      <c r="A161" s="378" t="s">
        <v>354</v>
      </c>
      <c r="B161" s="378" t="s">
        <v>354</v>
      </c>
      <c r="C161" s="378" t="s">
        <v>355</v>
      </c>
      <c r="D161" s="379" t="s">
        <v>77</v>
      </c>
      <c r="E161" s="380">
        <v>5000</v>
      </c>
      <c r="F161" s="380">
        <v>0</v>
      </c>
    </row>
    <row r="162" spans="1:6" s="377" customFormat="1" ht="69.95" customHeight="1">
      <c r="A162" s="378" t="s">
        <v>354</v>
      </c>
      <c r="B162" s="378" t="s">
        <v>354</v>
      </c>
      <c r="C162" s="378" t="s">
        <v>410</v>
      </c>
      <c r="D162" s="379" t="s">
        <v>411</v>
      </c>
      <c r="E162" s="380">
        <v>408000</v>
      </c>
      <c r="F162" s="380">
        <v>0</v>
      </c>
    </row>
    <row r="163" spans="1:6" s="377" customFormat="1" ht="15.95" customHeight="1">
      <c r="A163" s="378" t="s">
        <v>354</v>
      </c>
      <c r="B163" s="378" t="s">
        <v>354</v>
      </c>
      <c r="C163" s="378" t="s">
        <v>409</v>
      </c>
      <c r="D163" s="379" t="s">
        <v>138</v>
      </c>
      <c r="E163" s="380">
        <v>0</v>
      </c>
      <c r="F163" s="380">
        <v>408960</v>
      </c>
    </row>
    <row r="164" spans="1:6" s="377" customFormat="1" ht="15.95" customHeight="1">
      <c r="A164" s="378" t="s">
        <v>354</v>
      </c>
      <c r="B164" s="378" t="s">
        <v>354</v>
      </c>
      <c r="C164" s="378" t="s">
        <v>359</v>
      </c>
      <c r="D164" s="379" t="s">
        <v>81</v>
      </c>
      <c r="E164" s="380">
        <v>0</v>
      </c>
      <c r="F164" s="380">
        <v>4040</v>
      </c>
    </row>
    <row r="165" spans="1:6" s="377" customFormat="1" ht="17.100000000000001" customHeight="1">
      <c r="A165" s="498" t="s">
        <v>412</v>
      </c>
      <c r="B165" s="498"/>
      <c r="C165" s="498"/>
      <c r="D165" s="498"/>
      <c r="E165" s="387">
        <v>14006594</v>
      </c>
      <c r="F165" s="387">
        <v>14006594</v>
      </c>
    </row>
    <row r="166" spans="1:6" s="377" customFormat="1" ht="11.25"/>
    <row r="167" spans="1:6" ht="15.75" customHeight="1"/>
    <row r="168" spans="1:6" s="31" customFormat="1" ht="15.75" customHeight="1">
      <c r="E168" s="91"/>
      <c r="F168" s="92"/>
    </row>
    <row r="169" spans="1:6" s="31" customFormat="1" ht="15.75" customHeight="1">
      <c r="E169" s="92"/>
      <c r="F169" s="92"/>
    </row>
    <row r="170" spans="1:6" s="31" customFormat="1" ht="15.75" customHeight="1">
      <c r="E170" s="93"/>
      <c r="F170" s="93"/>
    </row>
    <row r="171" spans="1:6" ht="15.75" customHeight="1"/>
    <row r="172" spans="1:6" ht="15.75" customHeight="1"/>
    <row r="173" spans="1:6" ht="15.75" customHeight="1"/>
    <row r="174" spans="1:6" ht="15.75" customHeight="1"/>
    <row r="175" spans="1:6" ht="15.75" customHeight="1"/>
    <row r="176" spans="1:6" ht="15.75" customHeight="1"/>
  </sheetData>
  <sheetProtection algorithmName="SHA-512" hashValue="pb1HmjY+MRLygFAx27U5eNYRy71JQE7NAylyJbxL60JriO7wNsTNB5plbUEW5kKiH7vMbNImn49lb8nExcL6jQ==" saltValue="d1rN3S1R7EtfMtZ3SHDnnA==" spinCount="100000" sheet="1" objects="1" scenarios="1" formatColumns="0" formatRows="0"/>
  <autoFilter ref="C1:C176"/>
  <mergeCells count="2">
    <mergeCell ref="A2:F2"/>
    <mergeCell ref="A165:D165"/>
  </mergeCells>
  <pageMargins left="0.86614173228346458" right="0.23622047244094491" top="1.299212598425197" bottom="1.299212598425197" header="0.59055118110236227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
Rady Powiatu  Otwockiego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8"/>
  <sheetViews>
    <sheetView zoomScaleNormal="100" workbookViewId="0">
      <pane ySplit="4" topLeftCell="A20" activePane="bottomLeft" state="frozen"/>
      <selection activeCell="M10" sqref="M10"/>
      <selection pane="bottomLeft" activeCell="K13" sqref="K13"/>
    </sheetView>
  </sheetViews>
  <sheetFormatPr defaultColWidth="9.33203125" defaultRowHeight="12"/>
  <cols>
    <col min="1" max="1" width="3.6640625" style="132" customWidth="1"/>
    <col min="2" max="2" width="6.33203125" style="129" customWidth="1"/>
    <col min="3" max="4" width="10" style="129" customWidth="1"/>
    <col min="5" max="5" width="63.5" style="130" customWidth="1"/>
    <col min="6" max="7" width="16.6640625" style="131" customWidth="1"/>
    <col min="8" max="16384" width="9.33203125" style="132"/>
  </cols>
  <sheetData>
    <row r="1" spans="2:8" ht="16.5" customHeight="1"/>
    <row r="2" spans="2:8" ht="29.25" customHeight="1">
      <c r="B2" s="499" t="s">
        <v>338</v>
      </c>
      <c r="C2" s="499"/>
      <c r="D2" s="499"/>
      <c r="E2" s="499"/>
      <c r="F2" s="499"/>
      <c r="G2" s="499"/>
    </row>
    <row r="3" spans="2:8" ht="15.75" customHeight="1">
      <c r="B3" s="133"/>
      <c r="C3" s="133"/>
      <c r="D3" s="133"/>
      <c r="E3" s="133"/>
      <c r="F3" s="133"/>
      <c r="G3" s="133"/>
    </row>
    <row r="4" spans="2:8" s="137" customFormat="1" ht="42" customHeight="1">
      <c r="B4" s="134" t="s">
        <v>0</v>
      </c>
      <c r="C4" s="134" t="s">
        <v>1</v>
      </c>
      <c r="D4" s="134" t="s">
        <v>70</v>
      </c>
      <c r="E4" s="135" t="s">
        <v>71</v>
      </c>
      <c r="F4" s="136" t="s">
        <v>72</v>
      </c>
      <c r="G4" s="136" t="s">
        <v>73</v>
      </c>
    </row>
    <row r="5" spans="2:8" s="137" customFormat="1" ht="17.25" customHeight="1">
      <c r="B5" s="138">
        <v>600</v>
      </c>
      <c r="C5" s="138"/>
      <c r="D5" s="138"/>
      <c r="E5" s="139" t="s">
        <v>177</v>
      </c>
      <c r="F5" s="140">
        <f>SUM(F6,F8,)</f>
        <v>992818</v>
      </c>
      <c r="G5" s="140">
        <f>SUM(G6,G8,)</f>
        <v>680000</v>
      </c>
    </row>
    <row r="6" spans="2:8" s="144" customFormat="1" ht="17.25" customHeight="1">
      <c r="B6" s="141"/>
      <c r="C6" s="141">
        <v>60004</v>
      </c>
      <c r="D6" s="141"/>
      <c r="E6" s="142" t="s">
        <v>178</v>
      </c>
      <c r="F6" s="143"/>
      <c r="G6" s="143">
        <f>SUM(G7:G7)</f>
        <v>280000</v>
      </c>
    </row>
    <row r="7" spans="2:8" s="147" customFormat="1" ht="46.5" customHeight="1">
      <c r="B7" s="145"/>
      <c r="C7" s="145"/>
      <c r="D7" s="145">
        <v>2310</v>
      </c>
      <c r="E7" s="64" t="s">
        <v>3</v>
      </c>
      <c r="F7" s="146"/>
      <c r="G7" s="146">
        <f>260000+20000</f>
        <v>280000</v>
      </c>
    </row>
    <row r="8" spans="2:8" s="144" customFormat="1" ht="17.25" customHeight="1">
      <c r="B8" s="141"/>
      <c r="C8" s="141">
        <v>60014</v>
      </c>
      <c r="D8" s="141"/>
      <c r="E8" s="142" t="s">
        <v>179</v>
      </c>
      <c r="F8" s="143">
        <f>SUM(F9:F10)</f>
        <v>992818</v>
      </c>
      <c r="G8" s="143">
        <f>SUM(G9:G10)</f>
        <v>400000</v>
      </c>
    </row>
    <row r="9" spans="2:8" s="408" customFormat="1" ht="41.25" customHeight="1">
      <c r="B9" s="423"/>
      <c r="C9" s="423"/>
      <c r="D9" s="423">
        <v>6300</v>
      </c>
      <c r="E9" s="424" t="s">
        <v>180</v>
      </c>
      <c r="F9" s="425">
        <f>592818-150000+550000</f>
        <v>992818</v>
      </c>
      <c r="G9" s="425"/>
      <c r="H9" s="426"/>
    </row>
    <row r="10" spans="2:8" s="150" customFormat="1" ht="41.25" customHeight="1">
      <c r="B10" s="148"/>
      <c r="C10" s="148"/>
      <c r="D10" s="148">
        <v>6610</v>
      </c>
      <c r="E10" s="64" t="s">
        <v>181</v>
      </c>
      <c r="F10" s="149"/>
      <c r="G10" s="149">
        <v>400000</v>
      </c>
    </row>
    <row r="11" spans="2:8" s="137" customFormat="1" ht="17.25" customHeight="1">
      <c r="B11" s="138">
        <v>710</v>
      </c>
      <c r="C11" s="138"/>
      <c r="D11" s="138"/>
      <c r="E11" s="139" t="s">
        <v>95</v>
      </c>
      <c r="F11" s="140">
        <f>F12</f>
        <v>0</v>
      </c>
      <c r="G11" s="140">
        <f>SUM(G12)</f>
        <v>89666</v>
      </c>
    </row>
    <row r="12" spans="2:8" s="408" customFormat="1" ht="17.25" customHeight="1">
      <c r="B12" s="417"/>
      <c r="C12" s="417">
        <v>71095</v>
      </c>
      <c r="D12" s="417"/>
      <c r="E12" s="419" t="s">
        <v>182</v>
      </c>
      <c r="F12" s="421">
        <f>F13</f>
        <v>0</v>
      </c>
      <c r="G12" s="421">
        <f>SUM(G13)</f>
        <v>89666</v>
      </c>
    </row>
    <row r="13" spans="2:8" s="408" customFormat="1" ht="51" customHeight="1">
      <c r="B13" s="404"/>
      <c r="C13" s="404"/>
      <c r="D13" s="404">
        <v>6639</v>
      </c>
      <c r="E13" s="406" t="s">
        <v>66</v>
      </c>
      <c r="F13" s="422"/>
      <c r="G13" s="422">
        <f>97666-8000</f>
        <v>89666</v>
      </c>
    </row>
    <row r="14" spans="2:8" s="137" customFormat="1" ht="17.25" customHeight="1">
      <c r="B14" s="138">
        <v>750</v>
      </c>
      <c r="C14" s="138"/>
      <c r="D14" s="138"/>
      <c r="E14" s="326" t="s">
        <v>107</v>
      </c>
      <c r="F14" s="140">
        <f>F15</f>
        <v>30000</v>
      </c>
      <c r="G14" s="140">
        <f>G15+G17</f>
        <v>8000</v>
      </c>
    </row>
    <row r="15" spans="2:8" s="144" customFormat="1" ht="17.25" customHeight="1">
      <c r="B15" s="141"/>
      <c r="C15" s="141">
        <v>75020</v>
      </c>
      <c r="D15" s="141"/>
      <c r="E15" s="325" t="s">
        <v>339</v>
      </c>
      <c r="F15" s="143">
        <f>F16</f>
        <v>30000</v>
      </c>
      <c r="G15" s="143">
        <f>G16</f>
        <v>0</v>
      </c>
    </row>
    <row r="16" spans="2:8" s="144" customFormat="1" ht="51" customHeight="1">
      <c r="B16" s="151"/>
      <c r="C16" s="151"/>
      <c r="D16" s="151">
        <v>2710</v>
      </c>
      <c r="E16" s="152" t="s">
        <v>337</v>
      </c>
      <c r="F16" s="153">
        <v>30000</v>
      </c>
      <c r="G16" s="153"/>
    </row>
    <row r="17" spans="2:7" s="408" customFormat="1" ht="18" customHeight="1">
      <c r="B17" s="417"/>
      <c r="C17" s="417">
        <v>75095</v>
      </c>
      <c r="D17" s="418"/>
      <c r="E17" s="419" t="s">
        <v>182</v>
      </c>
      <c r="F17" s="420"/>
      <c r="G17" s="420">
        <f>G18</f>
        <v>8000</v>
      </c>
    </row>
    <row r="18" spans="2:7" s="408" customFormat="1" ht="55.5" customHeight="1">
      <c r="B18" s="404"/>
      <c r="C18" s="404"/>
      <c r="D18" s="405">
        <v>6639</v>
      </c>
      <c r="E18" s="406" t="s">
        <v>66</v>
      </c>
      <c r="F18" s="407"/>
      <c r="G18" s="407">
        <v>8000</v>
      </c>
    </row>
    <row r="19" spans="2:7" s="137" customFormat="1" ht="17.25" customHeight="1">
      <c r="B19" s="138">
        <v>853</v>
      </c>
      <c r="C19" s="138"/>
      <c r="D19" s="327"/>
      <c r="E19" s="328" t="s">
        <v>130</v>
      </c>
      <c r="F19" s="329">
        <f>SUM(F20)</f>
        <v>14464</v>
      </c>
      <c r="G19" s="329">
        <f>SUM(G20)</f>
        <v>2300</v>
      </c>
    </row>
    <row r="20" spans="2:7" s="144" customFormat="1" ht="19.5" customHeight="1">
      <c r="B20" s="141"/>
      <c r="C20" s="141">
        <v>85311</v>
      </c>
      <c r="D20" s="141"/>
      <c r="E20" s="142" t="s">
        <v>183</v>
      </c>
      <c r="F20" s="143">
        <f>SUM(F21)</f>
        <v>14464</v>
      </c>
      <c r="G20" s="143">
        <f>SUM(G21:G22)</f>
        <v>2300</v>
      </c>
    </row>
    <row r="21" spans="2:7" s="155" customFormat="1" ht="47.25" customHeight="1">
      <c r="B21" s="154"/>
      <c r="C21" s="154"/>
      <c r="D21" s="154">
        <v>2320</v>
      </c>
      <c r="E21" s="32" t="s">
        <v>184</v>
      </c>
      <c r="F21" s="153">
        <v>14464</v>
      </c>
      <c r="G21" s="153"/>
    </row>
    <row r="22" spans="2:7" s="155" customFormat="1" ht="48" customHeight="1">
      <c r="B22" s="154"/>
      <c r="C22" s="154"/>
      <c r="D22" s="154">
        <v>2320</v>
      </c>
      <c r="E22" s="32" t="s">
        <v>4</v>
      </c>
      <c r="F22" s="153"/>
      <c r="G22" s="153">
        <v>2300</v>
      </c>
    </row>
    <row r="23" spans="2:7" s="137" customFormat="1" ht="17.25" customHeight="1">
      <c r="B23" s="138">
        <v>855</v>
      </c>
      <c r="C23" s="138"/>
      <c r="D23" s="138"/>
      <c r="E23" s="139" t="s">
        <v>133</v>
      </c>
      <c r="F23" s="140">
        <f>SUM(F24,F27,F29)</f>
        <v>655926</v>
      </c>
      <c r="G23" s="140">
        <f>SUM(G24,G27,G29)</f>
        <v>695358</v>
      </c>
    </row>
    <row r="24" spans="2:7" s="144" customFormat="1" ht="17.25" customHeight="1">
      <c r="B24" s="141"/>
      <c r="C24" s="141">
        <v>85508</v>
      </c>
      <c r="D24" s="141"/>
      <c r="E24" s="142" t="s">
        <v>137</v>
      </c>
      <c r="F24" s="143">
        <f>SUM(F25)</f>
        <v>269311</v>
      </c>
      <c r="G24" s="143">
        <f>SUM(G25:G26)</f>
        <v>494744</v>
      </c>
    </row>
    <row r="25" spans="2:7" s="155" customFormat="1" ht="50.25" customHeight="1">
      <c r="B25" s="154"/>
      <c r="C25" s="154"/>
      <c r="D25" s="154">
        <v>2320</v>
      </c>
      <c r="E25" s="32" t="s">
        <v>184</v>
      </c>
      <c r="F25" s="153">
        <v>269311</v>
      </c>
      <c r="G25" s="153"/>
    </row>
    <row r="26" spans="2:7" s="155" customFormat="1" ht="47.25" customHeight="1">
      <c r="B26" s="154"/>
      <c r="C26" s="154"/>
      <c r="D26" s="154">
        <v>2320</v>
      </c>
      <c r="E26" s="32" t="s">
        <v>4</v>
      </c>
      <c r="F26" s="153"/>
      <c r="G26" s="153">
        <v>494744</v>
      </c>
    </row>
    <row r="27" spans="2:7" s="144" customFormat="1" ht="17.25" customHeight="1">
      <c r="B27" s="141"/>
      <c r="C27" s="141">
        <v>85509</v>
      </c>
      <c r="D27" s="141"/>
      <c r="E27" s="142" t="s">
        <v>185</v>
      </c>
      <c r="F27" s="143"/>
      <c r="G27" s="143">
        <f>SUM(G28)</f>
        <v>84000</v>
      </c>
    </row>
    <row r="28" spans="2:7" s="155" customFormat="1" ht="52.5" customHeight="1">
      <c r="B28" s="154"/>
      <c r="C28" s="154"/>
      <c r="D28" s="154">
        <v>2330</v>
      </c>
      <c r="E28" s="32" t="s">
        <v>5</v>
      </c>
      <c r="F28" s="153"/>
      <c r="G28" s="153">
        <v>84000</v>
      </c>
    </row>
    <row r="29" spans="2:7" s="144" customFormat="1" ht="17.25" customHeight="1">
      <c r="B29" s="141"/>
      <c r="C29" s="141">
        <v>85510</v>
      </c>
      <c r="D29" s="141"/>
      <c r="E29" s="142" t="s">
        <v>140</v>
      </c>
      <c r="F29" s="143">
        <f>SUM(F30)</f>
        <v>386615</v>
      </c>
      <c r="G29" s="143">
        <f>SUM(G31:G31)</f>
        <v>116614</v>
      </c>
    </row>
    <row r="30" spans="2:7" s="155" customFormat="1" ht="48" customHeight="1">
      <c r="B30" s="154"/>
      <c r="C30" s="154"/>
      <c r="D30" s="154">
        <v>2320</v>
      </c>
      <c r="E30" s="32" t="s">
        <v>184</v>
      </c>
      <c r="F30" s="153">
        <v>386615</v>
      </c>
      <c r="G30" s="153"/>
    </row>
    <row r="31" spans="2:7" s="155" customFormat="1" ht="48.75" customHeight="1">
      <c r="B31" s="154"/>
      <c r="C31" s="154"/>
      <c r="D31" s="154">
        <v>2320</v>
      </c>
      <c r="E31" s="32" t="s">
        <v>4</v>
      </c>
      <c r="F31" s="153"/>
      <c r="G31" s="153">
        <v>116614</v>
      </c>
    </row>
    <row r="32" spans="2:7" s="137" customFormat="1" ht="17.25" customHeight="1">
      <c r="B32" s="138">
        <v>900</v>
      </c>
      <c r="C32" s="138"/>
      <c r="D32" s="138"/>
      <c r="E32" s="139" t="s">
        <v>186</v>
      </c>
      <c r="F32" s="140"/>
      <c r="G32" s="140">
        <f>SUM(G33)</f>
        <v>10000</v>
      </c>
    </row>
    <row r="33" spans="2:7" s="144" customFormat="1" ht="17.25" customHeight="1">
      <c r="B33" s="141"/>
      <c r="C33" s="141">
        <v>90095</v>
      </c>
      <c r="D33" s="141"/>
      <c r="E33" s="142" t="s">
        <v>182</v>
      </c>
      <c r="F33" s="143"/>
      <c r="G33" s="143">
        <f>SUM(G34)</f>
        <v>10000</v>
      </c>
    </row>
    <row r="34" spans="2:7" s="144" customFormat="1" ht="49.5" customHeight="1">
      <c r="B34" s="151"/>
      <c r="C34" s="151"/>
      <c r="D34" s="151">
        <v>2710</v>
      </c>
      <c r="E34" s="152" t="s">
        <v>6</v>
      </c>
      <c r="F34" s="156"/>
      <c r="G34" s="153">
        <v>10000</v>
      </c>
    </row>
    <row r="35" spans="2:7" s="137" customFormat="1" ht="17.25" customHeight="1">
      <c r="B35" s="138">
        <v>921</v>
      </c>
      <c r="C35" s="138"/>
      <c r="D35" s="138"/>
      <c r="E35" s="139" t="s">
        <v>187</v>
      </c>
      <c r="F35" s="140">
        <f>SUM(F36)</f>
        <v>140000</v>
      </c>
      <c r="G35" s="140">
        <f>SUM(G36)</f>
        <v>0</v>
      </c>
    </row>
    <row r="36" spans="2:7" s="144" customFormat="1" ht="17.25" customHeight="1">
      <c r="B36" s="141"/>
      <c r="C36" s="141">
        <v>92116</v>
      </c>
      <c r="D36" s="141"/>
      <c r="E36" s="142" t="s">
        <v>188</v>
      </c>
      <c r="F36" s="143">
        <f>SUM(F37)</f>
        <v>140000</v>
      </c>
      <c r="G36" s="143"/>
    </row>
    <row r="37" spans="2:7" s="155" customFormat="1" ht="48.75" customHeight="1">
      <c r="B37" s="154"/>
      <c r="C37" s="154"/>
      <c r="D37" s="154">
        <v>2710</v>
      </c>
      <c r="E37" s="32" t="s">
        <v>189</v>
      </c>
      <c r="F37" s="153">
        <v>140000</v>
      </c>
      <c r="G37" s="153"/>
    </row>
    <row r="38" spans="2:7" s="144" customFormat="1" ht="24.75" customHeight="1">
      <c r="B38" s="500" t="s">
        <v>141</v>
      </c>
      <c r="C38" s="501"/>
      <c r="D38" s="501"/>
      <c r="E38" s="502"/>
      <c r="F38" s="157">
        <f>SUM(F5,F11,F14,F19,F23,F32,F35)</f>
        <v>1833208</v>
      </c>
      <c r="G38" s="157">
        <f>SUM(G5,G11,G14,G19,G23,G32,G35)</f>
        <v>1485324</v>
      </c>
    </row>
  </sheetData>
  <sheetProtection algorithmName="SHA-512" hashValue="xGNi0rVyWnOYTfc2S7BT34jOMeExJzF9rt7plyDDb8qxxxlZ0SKuCBBIULLl/pA8T1GKuPmjKiu3TOyB/GKj/w==" saltValue="ATZV3lk2uD9phKH6bu0b9g==" spinCount="100000" sheet="1" objects="1" scenarios="1" formatColumns="0" formatRows="0"/>
  <mergeCells count="2">
    <mergeCell ref="B2:G2"/>
    <mergeCell ref="B38:E38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 Otwockiego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zoomScaleNormal="100" workbookViewId="0">
      <pane ySplit="5" topLeftCell="A27" activePane="bottomLeft" state="frozen"/>
      <selection activeCell="M10" sqref="M10"/>
      <selection pane="bottomLeft" activeCell="I28" sqref="I28"/>
    </sheetView>
  </sheetViews>
  <sheetFormatPr defaultColWidth="9.33203125" defaultRowHeight="12"/>
  <cols>
    <col min="1" max="1" width="6.5" style="38" customWidth="1"/>
    <col min="2" max="2" width="10.83203125" style="38" customWidth="1"/>
    <col min="3" max="3" width="7.33203125" style="38" customWidth="1"/>
    <col min="4" max="4" width="61.33203125" style="31" customWidth="1"/>
    <col min="5" max="7" width="15.6640625" style="31" customWidth="1"/>
    <col min="8" max="8" width="20.5" style="31" customWidth="1"/>
    <col min="9" max="10" width="9.33203125" style="31"/>
    <col min="11" max="11" width="10.33203125" style="31" bestFit="1" customWidth="1"/>
    <col min="12" max="16384" width="9.33203125" style="31"/>
  </cols>
  <sheetData>
    <row r="1" spans="1:12" ht="9" customHeight="1">
      <c r="F1" s="39"/>
      <c r="G1" s="39"/>
    </row>
    <row r="2" spans="1:12" s="41" customFormat="1" ht="33" customHeight="1">
      <c r="A2" s="503" t="s">
        <v>430</v>
      </c>
      <c r="B2" s="503"/>
      <c r="C2" s="503"/>
      <c r="D2" s="503"/>
      <c r="E2" s="503"/>
      <c r="F2" s="503"/>
      <c r="G2" s="503"/>
      <c r="H2" s="40"/>
    </row>
    <row r="3" spans="1:12" ht="10.5" customHeight="1"/>
    <row r="4" spans="1:12" ht="24" customHeight="1">
      <c r="A4" s="504" t="s">
        <v>0</v>
      </c>
      <c r="B4" s="504" t="s">
        <v>1</v>
      </c>
      <c r="C4" s="504" t="s">
        <v>38</v>
      </c>
      <c r="D4" s="504" t="s">
        <v>13</v>
      </c>
      <c r="E4" s="504" t="s">
        <v>40</v>
      </c>
      <c r="F4" s="504"/>
      <c r="G4" s="504"/>
    </row>
    <row r="5" spans="1:12" ht="24" customHeight="1">
      <c r="A5" s="504"/>
      <c r="B5" s="504"/>
      <c r="C5" s="504"/>
      <c r="D5" s="504"/>
      <c r="E5" s="42" t="s">
        <v>41</v>
      </c>
      <c r="F5" s="42" t="s">
        <v>42</v>
      </c>
      <c r="G5" s="42" t="s">
        <v>43</v>
      </c>
    </row>
    <row r="6" spans="1:12" s="44" customFormat="1" ht="12.75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</row>
    <row r="7" spans="1:12" ht="39" customHeight="1">
      <c r="A7" s="505" t="s">
        <v>44</v>
      </c>
      <c r="B7" s="505"/>
      <c r="C7" s="505"/>
      <c r="D7" s="45" t="s">
        <v>39</v>
      </c>
      <c r="E7" s="46" t="s">
        <v>45</v>
      </c>
      <c r="F7" s="46" t="s">
        <v>45</v>
      </c>
      <c r="G7" s="46" t="s">
        <v>45</v>
      </c>
    </row>
    <row r="8" spans="1:12" s="49" customFormat="1" ht="52.5" customHeight="1">
      <c r="A8" s="47">
        <v>600</v>
      </c>
      <c r="B8" s="61">
        <v>60004</v>
      </c>
      <c r="C8" s="47">
        <v>2310</v>
      </c>
      <c r="D8" s="32" t="s">
        <v>3</v>
      </c>
      <c r="E8" s="65"/>
      <c r="F8" s="65"/>
      <c r="G8" s="75">
        <v>280000</v>
      </c>
    </row>
    <row r="9" spans="1:12" s="80" customFormat="1" ht="57" customHeight="1">
      <c r="A9" s="62">
        <v>600</v>
      </c>
      <c r="B9" s="62">
        <v>60014</v>
      </c>
      <c r="C9" s="62">
        <v>6610</v>
      </c>
      <c r="D9" s="64" t="s">
        <v>65</v>
      </c>
      <c r="E9" s="66"/>
      <c r="F9" s="66"/>
      <c r="G9" s="76">
        <f>1500000-1100000</f>
        <v>400000</v>
      </c>
    </row>
    <row r="10" spans="1:12" s="320" customFormat="1" ht="57" customHeight="1">
      <c r="A10" s="315">
        <v>710</v>
      </c>
      <c r="B10" s="316">
        <v>71095</v>
      </c>
      <c r="C10" s="315">
        <v>6639</v>
      </c>
      <c r="D10" s="399" t="s">
        <v>66</v>
      </c>
      <c r="E10" s="410"/>
      <c r="F10" s="410"/>
      <c r="G10" s="411">
        <f>97666-8000</f>
        <v>89666</v>
      </c>
    </row>
    <row r="11" spans="1:12" ht="53.25" customHeight="1">
      <c r="A11" s="398">
        <v>750</v>
      </c>
      <c r="B11" s="398">
        <v>75095</v>
      </c>
      <c r="C11" s="398">
        <v>6639</v>
      </c>
      <c r="D11" s="399" t="s">
        <v>66</v>
      </c>
      <c r="E11" s="316"/>
      <c r="F11" s="316"/>
      <c r="G11" s="400">
        <v>8000</v>
      </c>
    </row>
    <row r="12" spans="1:12" s="49" customFormat="1" ht="45" customHeight="1">
      <c r="A12" s="48">
        <v>754</v>
      </c>
      <c r="B12" s="62">
        <v>75404</v>
      </c>
      <c r="C12" s="48">
        <v>2300</v>
      </c>
      <c r="D12" s="50" t="s">
        <v>58</v>
      </c>
      <c r="E12" s="66"/>
      <c r="F12" s="66"/>
      <c r="G12" s="76">
        <v>18000</v>
      </c>
    </row>
    <row r="13" spans="1:12" s="49" customFormat="1" ht="41.25" customHeight="1">
      <c r="A13" s="48">
        <v>754</v>
      </c>
      <c r="B13" s="62">
        <v>75404</v>
      </c>
      <c r="C13" s="48">
        <v>6170</v>
      </c>
      <c r="D13" s="35" t="s">
        <v>46</v>
      </c>
      <c r="E13" s="66"/>
      <c r="F13" s="66"/>
      <c r="G13" s="76">
        <v>131610</v>
      </c>
    </row>
    <row r="14" spans="1:12" s="49" customFormat="1" ht="38.25" customHeight="1">
      <c r="A14" s="48">
        <v>754</v>
      </c>
      <c r="B14" s="62">
        <v>75410</v>
      </c>
      <c r="C14" s="48">
        <v>6170</v>
      </c>
      <c r="D14" s="35" t="s">
        <v>46</v>
      </c>
      <c r="E14" s="66"/>
      <c r="F14" s="66"/>
      <c r="G14" s="76">
        <v>30000</v>
      </c>
    </row>
    <row r="15" spans="1:12" s="49" customFormat="1" ht="51.75" customHeight="1">
      <c r="A15" s="48">
        <v>853</v>
      </c>
      <c r="B15" s="62">
        <v>85311</v>
      </c>
      <c r="C15" s="48">
        <v>2320</v>
      </c>
      <c r="D15" s="35" t="s">
        <v>4</v>
      </c>
      <c r="E15" s="67"/>
      <c r="F15" s="67"/>
      <c r="G15" s="77">
        <v>2300</v>
      </c>
      <c r="H15" s="51"/>
      <c r="I15" s="51"/>
      <c r="J15" s="51"/>
      <c r="K15" s="51"/>
      <c r="L15" s="51"/>
    </row>
    <row r="16" spans="1:12" s="49" customFormat="1" ht="51.75" customHeight="1">
      <c r="A16" s="48">
        <v>855</v>
      </c>
      <c r="B16" s="62">
        <v>85508</v>
      </c>
      <c r="C16" s="48">
        <v>2320</v>
      </c>
      <c r="D16" s="35" t="s">
        <v>4</v>
      </c>
      <c r="E16" s="67"/>
      <c r="F16" s="67"/>
      <c r="G16" s="77">
        <v>494744</v>
      </c>
      <c r="H16" s="51"/>
      <c r="I16" s="51"/>
      <c r="J16" s="51"/>
      <c r="K16" s="51"/>
      <c r="L16" s="51"/>
    </row>
    <row r="17" spans="1:12" s="49" customFormat="1" ht="47.25" customHeight="1">
      <c r="A17" s="48">
        <v>855</v>
      </c>
      <c r="B17" s="62">
        <v>85509</v>
      </c>
      <c r="C17" s="48">
        <v>2330</v>
      </c>
      <c r="D17" s="35" t="s">
        <v>5</v>
      </c>
      <c r="E17" s="67"/>
      <c r="F17" s="67"/>
      <c r="G17" s="77">
        <v>84000</v>
      </c>
      <c r="H17" s="51"/>
      <c r="I17" s="51"/>
      <c r="J17" s="51"/>
      <c r="K17" s="51"/>
      <c r="L17" s="51"/>
    </row>
    <row r="18" spans="1:12" s="49" customFormat="1" ht="51.75" customHeight="1">
      <c r="A18" s="48">
        <v>855</v>
      </c>
      <c r="B18" s="62">
        <v>85510</v>
      </c>
      <c r="C18" s="48">
        <v>2320</v>
      </c>
      <c r="D18" s="35" t="s">
        <v>4</v>
      </c>
      <c r="E18" s="67"/>
      <c r="F18" s="67"/>
      <c r="G18" s="77">
        <v>116614</v>
      </c>
      <c r="H18" s="51"/>
      <c r="I18" s="51"/>
      <c r="J18" s="51"/>
      <c r="K18" s="51"/>
      <c r="L18" s="51"/>
    </row>
    <row r="19" spans="1:12" s="49" customFormat="1" ht="48" customHeight="1">
      <c r="A19" s="48">
        <v>900</v>
      </c>
      <c r="B19" s="62">
        <v>90095</v>
      </c>
      <c r="C19" s="48">
        <v>2710</v>
      </c>
      <c r="D19" s="35" t="s">
        <v>6</v>
      </c>
      <c r="E19" s="67"/>
      <c r="F19" s="67"/>
      <c r="G19" s="77">
        <v>10000</v>
      </c>
      <c r="H19" s="51"/>
      <c r="I19" s="51"/>
      <c r="J19" s="51"/>
      <c r="K19" s="51"/>
      <c r="L19" s="51"/>
    </row>
    <row r="20" spans="1:12" s="49" customFormat="1" ht="25.5" customHeight="1">
      <c r="A20" s="48">
        <v>921</v>
      </c>
      <c r="B20" s="62">
        <v>92116</v>
      </c>
      <c r="C20" s="48">
        <v>2480</v>
      </c>
      <c r="D20" s="35" t="s">
        <v>47</v>
      </c>
      <c r="E20" s="68">
        <v>685700</v>
      </c>
      <c r="F20" s="67"/>
      <c r="G20" s="59"/>
      <c r="H20" s="51"/>
      <c r="I20" s="51"/>
      <c r="J20" s="51"/>
      <c r="K20" s="51"/>
      <c r="L20" s="51"/>
    </row>
    <row r="21" spans="1:12" s="53" customFormat="1" ht="27" customHeight="1">
      <c r="A21" s="504" t="s">
        <v>48</v>
      </c>
      <c r="B21" s="504"/>
      <c r="C21" s="504"/>
      <c r="D21" s="504"/>
      <c r="E21" s="52">
        <f>SUM(E8:E20)</f>
        <v>685700</v>
      </c>
      <c r="F21" s="52">
        <f>SUM(F8:F20)</f>
        <v>0</v>
      </c>
      <c r="G21" s="52">
        <f>SUM(G8:G20)</f>
        <v>1664934</v>
      </c>
      <c r="I21" s="54"/>
    </row>
    <row r="22" spans="1:12" s="53" customFormat="1" ht="47.25" customHeight="1">
      <c r="A22" s="505" t="s">
        <v>49</v>
      </c>
      <c r="B22" s="505"/>
      <c r="C22" s="505"/>
      <c r="D22" s="45" t="s">
        <v>39</v>
      </c>
      <c r="E22" s="45" t="s">
        <v>45</v>
      </c>
      <c r="F22" s="45" t="s">
        <v>45</v>
      </c>
      <c r="G22" s="45" t="s">
        <v>45</v>
      </c>
      <c r="I22" s="54"/>
      <c r="K22" s="60"/>
    </row>
    <row r="23" spans="1:12" s="49" customFormat="1" ht="54" customHeight="1">
      <c r="A23" s="56" t="s">
        <v>2</v>
      </c>
      <c r="B23" s="63" t="s">
        <v>50</v>
      </c>
      <c r="C23" s="56" t="s">
        <v>51</v>
      </c>
      <c r="D23" s="35" t="s">
        <v>52</v>
      </c>
      <c r="E23" s="66"/>
      <c r="F23" s="66"/>
      <c r="G23" s="76">
        <v>70000</v>
      </c>
      <c r="I23" s="55"/>
      <c r="K23" s="38"/>
    </row>
    <row r="24" spans="1:12" s="80" customFormat="1" ht="54" customHeight="1">
      <c r="A24" s="61">
        <v>600</v>
      </c>
      <c r="B24" s="61">
        <v>60004</v>
      </c>
      <c r="C24" s="63" t="s">
        <v>51</v>
      </c>
      <c r="D24" s="312" t="s">
        <v>52</v>
      </c>
      <c r="E24" s="66"/>
      <c r="F24" s="66"/>
      <c r="G24" s="76">
        <v>0</v>
      </c>
      <c r="I24" s="313"/>
      <c r="K24" s="314"/>
    </row>
    <row r="25" spans="1:12" s="49" customFormat="1" ht="59.25" customHeight="1">
      <c r="A25" s="48">
        <v>630</v>
      </c>
      <c r="B25" s="62">
        <v>63003</v>
      </c>
      <c r="C25" s="48">
        <v>2360</v>
      </c>
      <c r="D25" s="35" t="s">
        <v>33</v>
      </c>
      <c r="E25" s="66"/>
      <c r="F25" s="66"/>
      <c r="G25" s="76">
        <v>10000</v>
      </c>
      <c r="I25" s="55"/>
      <c r="K25" s="38"/>
    </row>
    <row r="26" spans="1:12" s="49" customFormat="1" ht="63.75" customHeight="1">
      <c r="A26" s="48">
        <v>754</v>
      </c>
      <c r="B26" s="62">
        <v>75495</v>
      </c>
      <c r="C26" s="48">
        <v>2360</v>
      </c>
      <c r="D26" s="35" t="s">
        <v>33</v>
      </c>
      <c r="E26" s="66"/>
      <c r="F26" s="66"/>
      <c r="G26" s="76">
        <v>10000</v>
      </c>
      <c r="I26" s="55"/>
      <c r="K26" s="38"/>
    </row>
    <row r="27" spans="1:12" s="49" customFormat="1" ht="63.75" customHeight="1">
      <c r="A27" s="48">
        <v>755</v>
      </c>
      <c r="B27" s="62">
        <v>75515</v>
      </c>
      <c r="C27" s="48">
        <v>2360</v>
      </c>
      <c r="D27" s="35" t="s">
        <v>33</v>
      </c>
      <c r="E27" s="66"/>
      <c r="F27" s="66"/>
      <c r="G27" s="76">
        <v>190080</v>
      </c>
      <c r="I27" s="55"/>
      <c r="K27" s="38"/>
    </row>
    <row r="28" spans="1:12" s="320" customFormat="1" ht="30" customHeight="1">
      <c r="A28" s="315">
        <v>801</v>
      </c>
      <c r="B28" s="316">
        <v>80102</v>
      </c>
      <c r="C28" s="315">
        <v>2540</v>
      </c>
      <c r="D28" s="317" t="s">
        <v>53</v>
      </c>
      <c r="E28" s="318">
        <f>2064693+1400000</f>
        <v>3464693</v>
      </c>
      <c r="F28" s="81"/>
      <c r="G28" s="321"/>
      <c r="I28" s="322"/>
      <c r="K28" s="323"/>
    </row>
    <row r="29" spans="1:12" s="320" customFormat="1" ht="30" customHeight="1">
      <c r="A29" s="315">
        <v>801</v>
      </c>
      <c r="B29" s="316">
        <v>80105</v>
      </c>
      <c r="C29" s="315">
        <v>2540</v>
      </c>
      <c r="D29" s="317" t="s">
        <v>53</v>
      </c>
      <c r="E29" s="318">
        <f>759033+450000</f>
        <v>1209033</v>
      </c>
      <c r="F29" s="81"/>
      <c r="G29" s="321"/>
      <c r="I29" s="322"/>
      <c r="K29" s="323"/>
    </row>
    <row r="30" spans="1:12" s="320" customFormat="1" ht="30" customHeight="1">
      <c r="A30" s="315">
        <v>801</v>
      </c>
      <c r="B30" s="316">
        <v>80116</v>
      </c>
      <c r="C30" s="315">
        <v>2540</v>
      </c>
      <c r="D30" s="317" t="s">
        <v>53</v>
      </c>
      <c r="E30" s="318">
        <f>1284714+1047350</f>
        <v>2332064</v>
      </c>
      <c r="F30" s="81"/>
      <c r="G30" s="321"/>
      <c r="I30" s="322"/>
      <c r="K30" s="323"/>
    </row>
    <row r="31" spans="1:12" s="320" customFormat="1" ht="30" customHeight="1">
      <c r="A31" s="315">
        <v>801</v>
      </c>
      <c r="B31" s="316">
        <v>80120</v>
      </c>
      <c r="C31" s="315">
        <v>2540</v>
      </c>
      <c r="D31" s="317" t="s">
        <v>53</v>
      </c>
      <c r="E31" s="318">
        <f>978720+1000000</f>
        <v>1978720</v>
      </c>
      <c r="F31" s="319"/>
      <c r="G31" s="324"/>
    </row>
    <row r="32" spans="1:12" s="320" customFormat="1" ht="30" customHeight="1">
      <c r="A32" s="315">
        <v>801</v>
      </c>
      <c r="B32" s="316">
        <v>80152</v>
      </c>
      <c r="C32" s="315">
        <v>2540</v>
      </c>
      <c r="D32" s="317" t="s">
        <v>53</v>
      </c>
      <c r="E32" s="318">
        <f>395928+100000</f>
        <v>495928</v>
      </c>
      <c r="F32" s="319"/>
      <c r="G32" s="324"/>
    </row>
    <row r="33" spans="1:11" s="320" customFormat="1" ht="52.15" customHeight="1">
      <c r="A33" s="315">
        <v>851</v>
      </c>
      <c r="B33" s="316">
        <v>85195</v>
      </c>
      <c r="C33" s="315">
        <v>2830</v>
      </c>
      <c r="D33" s="317" t="s">
        <v>57</v>
      </c>
      <c r="E33" s="318"/>
      <c r="F33" s="319"/>
      <c r="G33" s="318">
        <f>10000+3200</f>
        <v>13200</v>
      </c>
    </row>
    <row r="34" spans="1:11" s="320" customFormat="1" ht="36.75" customHeight="1">
      <c r="A34" s="315">
        <v>852</v>
      </c>
      <c r="B34" s="316">
        <v>85202</v>
      </c>
      <c r="C34" s="315">
        <v>2820</v>
      </c>
      <c r="D34" s="317" t="s">
        <v>54</v>
      </c>
      <c r="E34" s="319"/>
      <c r="F34" s="319"/>
      <c r="G34" s="318">
        <f>300000+12900</f>
        <v>312900</v>
      </c>
    </row>
    <row r="35" spans="1:11" s="49" customFormat="1" ht="36.75" customHeight="1">
      <c r="A35" s="48">
        <v>852</v>
      </c>
      <c r="B35" s="62">
        <v>85220</v>
      </c>
      <c r="C35" s="48">
        <v>2820</v>
      </c>
      <c r="D35" s="35" t="s">
        <v>54</v>
      </c>
      <c r="E35" s="67"/>
      <c r="F35" s="67"/>
      <c r="G35" s="68">
        <v>157500</v>
      </c>
    </row>
    <row r="36" spans="1:11" s="49" customFormat="1" ht="36.75" customHeight="1">
      <c r="A36" s="48">
        <v>852</v>
      </c>
      <c r="B36" s="62">
        <v>85295</v>
      </c>
      <c r="C36" s="48">
        <v>2827</v>
      </c>
      <c r="D36" s="35" t="s">
        <v>54</v>
      </c>
      <c r="E36" s="67"/>
      <c r="F36" s="67"/>
      <c r="G36" s="68">
        <v>82570</v>
      </c>
    </row>
    <row r="37" spans="1:11" s="49" customFormat="1" ht="34.5" customHeight="1">
      <c r="A37" s="48">
        <v>853</v>
      </c>
      <c r="B37" s="62">
        <v>85311</v>
      </c>
      <c r="C37" s="48">
        <v>2580</v>
      </c>
      <c r="D37" s="35" t="s">
        <v>55</v>
      </c>
      <c r="E37" s="68">
        <v>267585</v>
      </c>
      <c r="F37" s="67"/>
      <c r="G37" s="69"/>
    </row>
    <row r="38" spans="1:11" s="320" customFormat="1" ht="30.75" customHeight="1">
      <c r="A38" s="315">
        <v>854</v>
      </c>
      <c r="B38" s="316">
        <v>85404</v>
      </c>
      <c r="C38" s="315">
        <v>2540</v>
      </c>
      <c r="D38" s="317" t="s">
        <v>53</v>
      </c>
      <c r="E38" s="318">
        <f>368028+50000</f>
        <v>418028</v>
      </c>
      <c r="F38" s="319"/>
      <c r="G38" s="324"/>
    </row>
    <row r="39" spans="1:11" s="49" customFormat="1" ht="25.5" customHeight="1">
      <c r="A39" s="48">
        <v>854</v>
      </c>
      <c r="B39" s="62">
        <v>85410</v>
      </c>
      <c r="C39" s="48">
        <v>2540</v>
      </c>
      <c r="D39" s="35" t="s">
        <v>53</v>
      </c>
      <c r="E39" s="68">
        <v>81123</v>
      </c>
      <c r="F39" s="67"/>
      <c r="G39" s="69"/>
    </row>
    <row r="40" spans="1:11" s="49" customFormat="1" ht="60.75" customHeight="1">
      <c r="A40" s="48">
        <v>921</v>
      </c>
      <c r="B40" s="62">
        <v>92105</v>
      </c>
      <c r="C40" s="48">
        <v>2360</v>
      </c>
      <c r="D40" s="35" t="s">
        <v>33</v>
      </c>
      <c r="E40" s="69"/>
      <c r="F40" s="67"/>
      <c r="G40" s="68">
        <v>90000</v>
      </c>
    </row>
    <row r="41" spans="1:11" s="49" customFormat="1" ht="60.75" customHeight="1">
      <c r="A41" s="48">
        <v>926</v>
      </c>
      <c r="B41" s="62">
        <v>92605</v>
      </c>
      <c r="C41" s="48">
        <v>2360</v>
      </c>
      <c r="D41" s="35" t="s">
        <v>33</v>
      </c>
      <c r="E41" s="70"/>
      <c r="F41" s="67"/>
      <c r="G41" s="68">
        <v>40000</v>
      </c>
      <c r="I41" s="55"/>
      <c r="K41" s="55"/>
    </row>
    <row r="42" spans="1:11" s="49" customFormat="1" ht="22.5" customHeight="1">
      <c r="A42" s="506" t="s">
        <v>56</v>
      </c>
      <c r="B42" s="506"/>
      <c r="C42" s="506"/>
      <c r="D42" s="506"/>
      <c r="E42" s="52">
        <f>SUM(E23:E41)</f>
        <v>10247174</v>
      </c>
      <c r="F42" s="52">
        <f>SUM(F23:F41)</f>
        <v>0</v>
      </c>
      <c r="G42" s="52">
        <f>SUM(G23:G41)</f>
        <v>976250</v>
      </c>
    </row>
    <row r="43" spans="1:11" s="58" customFormat="1" ht="26.25" customHeight="1">
      <c r="A43" s="507" t="s">
        <v>67</v>
      </c>
      <c r="B43" s="507"/>
      <c r="C43" s="507"/>
      <c r="D43" s="507"/>
      <c r="E43" s="507"/>
      <c r="F43" s="507"/>
      <c r="G43" s="57">
        <f>SUM(E21,G21,E42,G42)</f>
        <v>13574058</v>
      </c>
    </row>
    <row r="44" spans="1:11" ht="15.75" customHeight="1"/>
    <row r="45" spans="1:11" ht="15.75" customHeight="1"/>
    <row r="46" spans="1:11" ht="15.75" customHeight="1"/>
    <row r="47" spans="1:11" ht="15.75" customHeight="1">
      <c r="A47" s="31"/>
      <c r="B47" s="31"/>
      <c r="C47" s="31"/>
    </row>
    <row r="48" spans="1:11" ht="15.75" customHeight="1">
      <c r="A48" s="31"/>
      <c r="B48" s="31"/>
      <c r="C48" s="31"/>
    </row>
    <row r="49" spans="1:3" ht="15.75" customHeight="1">
      <c r="A49" s="31"/>
      <c r="B49" s="31"/>
      <c r="C49" s="31"/>
    </row>
    <row r="50" spans="1:3" ht="15.75" customHeight="1"/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</sheetData>
  <sheetProtection algorithmName="SHA-512" hashValue="2SDf6fcuGyk/yQdL24RnsR6KmvNnK7Wd1XuoQEWUKI1mw6PzJyiFNeJ+fwvxultWk5w89eV9aYDE84BDpJ2MKw==" saltValue="WWwPwKnrP2S+ekaQMcnlOg==" spinCount="100000" sheet="1" objects="1" scenarios="1" formatColumns="0" formatRows="0"/>
  <mergeCells count="11">
    <mergeCell ref="A7:C7"/>
    <mergeCell ref="A21:D21"/>
    <mergeCell ref="A22:C22"/>
    <mergeCell ref="A42:D42"/>
    <mergeCell ref="A43:F43"/>
    <mergeCell ref="A2:G2"/>
    <mergeCell ref="A4:A5"/>
    <mergeCell ref="B4:B5"/>
    <mergeCell ref="C4:C5"/>
    <mergeCell ref="D4:D5"/>
    <mergeCell ref="E4:G4"/>
  </mergeCells>
  <pageMargins left="0.86614173228346458" right="0.23622047244094491" top="1.2204724409448819" bottom="1.0236220472440944" header="0.59055118110236227" footer="0.47244094488188981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 Otwockiego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Tab.2a</vt:lpstr>
      <vt:lpstr>Tab.3</vt:lpstr>
      <vt:lpstr>Tab.4 </vt:lpstr>
      <vt:lpstr>Tab.5 </vt:lpstr>
      <vt:lpstr>Tab.7</vt:lpstr>
      <vt:lpstr>Zał.1</vt:lpstr>
      <vt:lpstr>Tab.2a!Obszar_wydruku</vt:lpstr>
      <vt:lpstr>Tab.3!Obszar_wydruku</vt:lpstr>
      <vt:lpstr>'Tab.4 '!Obszar_wydruku</vt:lpstr>
      <vt:lpstr>'Tab.5 '!Obszar_wydruku</vt:lpstr>
      <vt:lpstr>Zał.1!Obszar_wydruku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Wróbel Łukasz</cp:lastModifiedBy>
  <cp:lastPrinted>2021-03-12T11:10:20Z</cp:lastPrinted>
  <dcterms:created xsi:type="dcterms:W3CDTF">2015-10-09T11:05:37Z</dcterms:created>
  <dcterms:modified xsi:type="dcterms:W3CDTF">2021-03-23T14:05:21Z</dcterms:modified>
</cp:coreProperties>
</file>