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mroczkowska\Desktop\RADA zm.budżet_wrzesien 2020\"/>
    </mc:Choice>
  </mc:AlternateContent>
  <bookViews>
    <workbookView xWindow="-120" yWindow="-120" windowWidth="29040" windowHeight="15840" tabRatio="821" activeTab="5"/>
  </bookViews>
  <sheets>
    <sheet name="Tab.2a_" sheetId="63" r:id="rId1"/>
    <sheet name="Tab.3" sheetId="21" r:id="rId2"/>
    <sheet name="Tab.5 " sheetId="53" r:id="rId3"/>
    <sheet name="Tab.6 " sheetId="69" r:id="rId4"/>
    <sheet name="Tab.7" sheetId="64" r:id="rId5"/>
    <sheet name="Zał.1" sheetId="65" r:id="rId6"/>
  </sheets>
  <definedNames>
    <definedName name="__xlnm.Print_Area_1" localSheetId="0">#REF!</definedName>
    <definedName name="__xlnm.Print_Area_1" localSheetId="1">#REF!</definedName>
    <definedName name="__xlnm.Print_Area_1" localSheetId="2">#REF!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>#REF!</definedName>
    <definedName name="_xlnm._FilterDatabase" localSheetId="0" hidden="1">Tab.2a_!$J$1:$J$113</definedName>
    <definedName name="_xlnm._FilterDatabase" localSheetId="2" hidden="1">'Tab.5 '!$C$1:$C$187</definedName>
    <definedName name="_xlnm._FilterDatabase" localSheetId="4" hidden="1">Tab.7!$D$2:$D$40</definedName>
    <definedName name="Inwestycje" localSheetId="0">#REF!</definedName>
    <definedName name="Inwestycje" localSheetId="2">#REF!</definedName>
    <definedName name="Inwestycje" localSheetId="3">#REF!</definedName>
    <definedName name="Inwestycje" localSheetId="4">#REF!</definedName>
    <definedName name="Inwestycje" localSheetId="5">#REF!</definedName>
    <definedName name="Inwestycje">#REF!</definedName>
    <definedName name="_xlnm.Print_Area" localSheetId="0">Tab.2a_!$A$2:$K$106</definedName>
    <definedName name="_xlnm.Print_Area" localSheetId="1">Tab.3!$A$2:$D$25</definedName>
    <definedName name="_xlnm.Print_Area" localSheetId="2">'Tab.5 '!$A$1:$F$179</definedName>
    <definedName name="_xlnm.Print_Area" localSheetId="5">Zał.1!$A$2:$G$45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69" l="1"/>
  <c r="G30" i="69"/>
  <c r="G6" i="69"/>
  <c r="G7" i="69"/>
  <c r="J48" i="63" l="1"/>
  <c r="F27" i="63" l="1"/>
  <c r="J25" i="63"/>
  <c r="G91" i="63" l="1"/>
  <c r="G93" i="63"/>
  <c r="F20" i="69"/>
  <c r="F19" i="69" s="1"/>
  <c r="G21" i="65"/>
  <c r="G5" i="64"/>
  <c r="G6" i="64"/>
  <c r="G11" i="64"/>
  <c r="F9" i="64"/>
  <c r="G24" i="69" l="1"/>
  <c r="G23" i="69" s="1"/>
  <c r="F24" i="69"/>
  <c r="F23" i="69"/>
  <c r="G18" i="69"/>
  <c r="G16" i="69" s="1"/>
  <c r="F17" i="69"/>
  <c r="F16" i="69"/>
  <c r="F10" i="69" s="1"/>
  <c r="G11" i="69"/>
  <c r="G10" i="69" s="1"/>
  <c r="F11" i="69"/>
  <c r="F75" i="63" l="1"/>
  <c r="F76" i="63"/>
  <c r="F77" i="63"/>
  <c r="F78" i="63"/>
  <c r="F79" i="63"/>
  <c r="F80" i="63"/>
  <c r="G74" i="63"/>
  <c r="F93" i="63" l="1"/>
  <c r="F57" i="63"/>
  <c r="F94" i="63"/>
  <c r="F92" i="63"/>
  <c r="J90" i="63"/>
  <c r="F86" i="63"/>
  <c r="F84" i="63"/>
  <c r="G31" i="63"/>
  <c r="J31" i="63"/>
  <c r="G25" i="63"/>
  <c r="F54" i="63"/>
  <c r="J42" i="63"/>
  <c r="F45" i="63"/>
  <c r="J36" i="63"/>
  <c r="F34" i="63"/>
  <c r="F35" i="63"/>
  <c r="J19" i="63"/>
  <c r="F20" i="63"/>
  <c r="F11" i="63"/>
  <c r="J7" i="63"/>
  <c r="G36" i="65" l="1"/>
  <c r="F36" i="64"/>
  <c r="F14" i="64"/>
  <c r="F13" i="64" s="1"/>
  <c r="F44" i="65" l="1"/>
  <c r="G43" i="65"/>
  <c r="G42" i="65"/>
  <c r="G37" i="65"/>
  <c r="E30" i="65"/>
  <c r="E44" i="65" s="1"/>
  <c r="E29" i="65"/>
  <c r="E28" i="65"/>
  <c r="E27" i="65"/>
  <c r="G24" i="65"/>
  <c r="G44" i="65" s="1"/>
  <c r="F21" i="65"/>
  <c r="E20" i="65"/>
  <c r="E21" i="65" s="1"/>
  <c r="G19" i="65"/>
  <c r="G17" i="65"/>
  <c r="G16" i="65"/>
  <c r="G13" i="65"/>
  <c r="G11" i="65"/>
  <c r="F38" i="64"/>
  <c r="G37" i="64"/>
  <c r="G36" i="64"/>
  <c r="G35" i="64" s="1"/>
  <c r="F35" i="64"/>
  <c r="G33" i="64"/>
  <c r="G32" i="64"/>
  <c r="G31" i="64"/>
  <c r="G29" i="64"/>
  <c r="F29" i="64"/>
  <c r="G28" i="64"/>
  <c r="G27" i="64" s="1"/>
  <c r="G24" i="64"/>
  <c r="F24" i="64"/>
  <c r="F23" i="64"/>
  <c r="G20" i="64"/>
  <c r="G19" i="64" s="1"/>
  <c r="F20" i="64"/>
  <c r="F19" i="64"/>
  <c r="G17" i="64"/>
  <c r="G16" i="64" s="1"/>
  <c r="F17" i="64"/>
  <c r="F16" i="64"/>
  <c r="G15" i="64"/>
  <c r="G14" i="64" s="1"/>
  <c r="G13" i="64" s="1"/>
  <c r="F8" i="64"/>
  <c r="F5" i="64" s="1"/>
  <c r="F40" i="64" s="1"/>
  <c r="G8" i="64"/>
  <c r="G23" i="64" l="1"/>
  <c r="G40" i="64" s="1"/>
  <c r="G45" i="65"/>
  <c r="G101" i="63"/>
  <c r="F100" i="63"/>
  <c r="F101" i="63" s="1"/>
  <c r="H99" i="63"/>
  <c r="G98" i="63"/>
  <c r="F98" i="63" s="1"/>
  <c r="F99" i="63" s="1"/>
  <c r="G97" i="63"/>
  <c r="F96" i="63"/>
  <c r="F97" i="63" s="1"/>
  <c r="K95" i="63"/>
  <c r="I95" i="63"/>
  <c r="H91" i="63"/>
  <c r="F91" i="63" s="1"/>
  <c r="F95" i="63" s="1"/>
  <c r="G95" i="63"/>
  <c r="H90" i="63"/>
  <c r="G90" i="63"/>
  <c r="F88" i="63"/>
  <c r="F90" i="63" s="1"/>
  <c r="I85" i="63"/>
  <c r="H85" i="63"/>
  <c r="G85" i="63"/>
  <c r="F85" i="63"/>
  <c r="H83" i="63"/>
  <c r="G82" i="63"/>
  <c r="F82" i="63" s="1"/>
  <c r="F83" i="63" s="1"/>
  <c r="H81" i="63"/>
  <c r="F74" i="63"/>
  <c r="G73" i="63"/>
  <c r="G81" i="63" s="1"/>
  <c r="F73" i="63"/>
  <c r="F81" i="63" s="1"/>
  <c r="H72" i="63"/>
  <c r="F71" i="63"/>
  <c r="F70" i="63"/>
  <c r="G69" i="63"/>
  <c r="F69" i="63" s="1"/>
  <c r="F72" i="63" s="1"/>
  <c r="G67" i="63"/>
  <c r="F67" i="63" s="1"/>
  <c r="F68" i="63" s="1"/>
  <c r="H66" i="63"/>
  <c r="G66" i="63"/>
  <c r="F65" i="63"/>
  <c r="F66" i="63" s="1"/>
  <c r="F63" i="63"/>
  <c r="F62" i="63"/>
  <c r="F61" i="63"/>
  <c r="F60" i="63"/>
  <c r="J59" i="63"/>
  <c r="I59" i="63"/>
  <c r="H59" i="63"/>
  <c r="G59" i="63"/>
  <c r="F59" i="63" s="1"/>
  <c r="F53" i="63"/>
  <c r="G52" i="63"/>
  <c r="F52" i="63"/>
  <c r="G51" i="63"/>
  <c r="F51" i="63" s="1"/>
  <c r="F50" i="63"/>
  <c r="G49" i="63"/>
  <c r="F49" i="63" s="1"/>
  <c r="I48" i="63"/>
  <c r="H48" i="63"/>
  <c r="F44" i="63"/>
  <c r="I42" i="63"/>
  <c r="H42" i="63"/>
  <c r="F42" i="63" s="1"/>
  <c r="G42" i="63"/>
  <c r="F38" i="63"/>
  <c r="G37" i="63"/>
  <c r="F37" i="63" s="1"/>
  <c r="I36" i="63"/>
  <c r="H36" i="63"/>
  <c r="F32" i="63"/>
  <c r="I31" i="63"/>
  <c r="H31" i="63"/>
  <c r="F31" i="63" s="1"/>
  <c r="F28" i="63"/>
  <c r="F26" i="63"/>
  <c r="I25" i="63"/>
  <c r="I64" i="63" s="1"/>
  <c r="I102" i="63" s="1"/>
  <c r="H25" i="63"/>
  <c r="H24" i="63"/>
  <c r="G24" i="63"/>
  <c r="F24" i="63" s="1"/>
  <c r="G22" i="63"/>
  <c r="F22" i="63" s="1"/>
  <c r="F21" i="63"/>
  <c r="H19" i="63"/>
  <c r="J12" i="63"/>
  <c r="F12" i="63" s="1"/>
  <c r="G12" i="63"/>
  <c r="F10" i="63"/>
  <c r="F9" i="63"/>
  <c r="G8" i="63"/>
  <c r="F8" i="63"/>
  <c r="J64" i="63"/>
  <c r="J102" i="63" s="1"/>
  <c r="G7" i="63"/>
  <c r="G19" i="63" l="1"/>
  <c r="F19" i="63" s="1"/>
  <c r="G83" i="63"/>
  <c r="F25" i="63"/>
  <c r="H64" i="63"/>
  <c r="G72" i="63"/>
  <c r="H95" i="63"/>
  <c r="F7" i="63"/>
  <c r="G48" i="63"/>
  <c r="F48" i="63" s="1"/>
  <c r="G68" i="63"/>
  <c r="G99" i="63"/>
  <c r="G36" i="63"/>
  <c r="F36" i="63" s="1"/>
  <c r="F64" i="63" l="1"/>
  <c r="F102" i="63" s="1"/>
  <c r="H102" i="63"/>
  <c r="G64" i="63"/>
  <c r="G102" i="63" s="1"/>
  <c r="D16" i="21" l="1"/>
  <c r="D15" i="21"/>
  <c r="D14" i="21" l="1"/>
  <c r="D20" i="21"/>
  <c r="D22" i="21" l="1"/>
  <c r="D10" i="21"/>
  <c r="D7" i="21"/>
  <c r="D13" i="21" l="1"/>
</calcChain>
</file>

<file path=xl/sharedStrings.xml><?xml version="1.0" encoding="utf-8"?>
<sst xmlns="http://schemas.openxmlformats.org/spreadsheetml/2006/main" count="1136" uniqueCount="443">
  <si>
    <t>Dział</t>
  </si>
  <si>
    <t>Rozdział</t>
  </si>
  <si>
    <t>010</t>
  </si>
  <si>
    <t>Rodziny zastępcze</t>
  </si>
  <si>
    <t>Pozostałe zadania w zakresie polityki społecznej</t>
  </si>
  <si>
    <t>Działalność usługowa</t>
  </si>
  <si>
    <t>Lp.</t>
  </si>
  <si>
    <t>1.</t>
  </si>
  <si>
    <t>2.</t>
  </si>
  <si>
    <t>3.</t>
  </si>
  <si>
    <t>4.</t>
  </si>
  <si>
    <t>5.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</si>
  <si>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</si>
  <si>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</si>
  <si>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</si>
  <si>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</si>
  <si>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</si>
  <si>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</si>
  <si>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</si>
  <si>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</si>
  <si>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</si>
  <si>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</si>
  <si>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</si>
  <si>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</si>
  <si>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</si>
  <si>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</si>
  <si>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Paragraf</t>
  </si>
  <si>
    <t>Wyszczególnienie</t>
  </si>
  <si>
    <t>Dochody</t>
  </si>
  <si>
    <t>Wydatki</t>
  </si>
  <si>
    <t>Razem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</si>
  <si>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</si>
  <si>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</si>
  <si>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</si>
  <si>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</si>
  <si>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</si>
  <si>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</si>
  <si>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Rodzina</t>
  </si>
  <si>
    <t>Działalność placówek opiekuńczo-wychowawczych</t>
  </si>
  <si>
    <t>Przychody ze spłat pożyczek i kredytów udzielonych ze środków publicznych</t>
  </si>
  <si>
    <t>§ 951</t>
  </si>
  <si>
    <t>§ 991</t>
  </si>
  <si>
    <t>Udzielone pożyczki i kredyty</t>
  </si>
  <si>
    <t>§</t>
  </si>
  <si>
    <t>Nazwa zadania</t>
  </si>
  <si>
    <t>Plan</t>
  </si>
  <si>
    <t>z tego:</t>
  </si>
  <si>
    <t>Ogółem</t>
  </si>
  <si>
    <t>B. Środki i dotacje otrzymane od innych jst oraz innych jednostek zaliczanych do sektora finansów publicznych</t>
  </si>
  <si>
    <t>WPF</t>
  </si>
  <si>
    <t>Razem Rozdział 85111</t>
  </si>
  <si>
    <t>Wniesienie wkładu pieniężnego - zwiększenie udziału w Powiatowym Centrum Zdrowia Sp. z o.o.</t>
  </si>
  <si>
    <t>Razem Rozdział 80120</t>
  </si>
  <si>
    <t xml:space="preserve">Rozbudowa szatni w Zespole Szkół Nr 1 w Otwocku wraz z przebudową części istniejącej </t>
  </si>
  <si>
    <t>Razem Rozdział 80115</t>
  </si>
  <si>
    <t>Budowa hali sportowej przy Zespole Szkół Nr 2 im. Marii Skłodowskiej-Curie w Otwocku</t>
  </si>
  <si>
    <t>Razem rozdział 75818</t>
  </si>
  <si>
    <t>Razem Rozdział 75404</t>
  </si>
  <si>
    <t xml:space="preserve">  Razem Rozdział 75020</t>
  </si>
  <si>
    <t>Przebudowa i rozbudowa budynku w Otwocku przy ul. Komunardów wraz z towarzyszącą infrastrukturą na potrzeby siedziby Starostwa i jednostek organizacyjnych powiatu</t>
  </si>
  <si>
    <t>Razem Rozdział 60014</t>
  </si>
  <si>
    <t>Zakupy inwestycyjne w Zarządzie Dróg Powiatowych</t>
  </si>
  <si>
    <t>Gmina Wiązowna</t>
  </si>
  <si>
    <t>Gmina Sobienie Jeziory</t>
  </si>
  <si>
    <t>Gmina Kołbiel</t>
  </si>
  <si>
    <t>11.</t>
  </si>
  <si>
    <t>10.</t>
  </si>
  <si>
    <t>Gmina Karczew</t>
  </si>
  <si>
    <t>9.</t>
  </si>
  <si>
    <t>8.</t>
  </si>
  <si>
    <t>7.</t>
  </si>
  <si>
    <t>6.</t>
  </si>
  <si>
    <t>Gmina Otwock</t>
  </si>
  <si>
    <t>Gmina Celestynów</t>
  </si>
  <si>
    <t>środki pochodzące                  z innych źródeł                     (w tym dotacje)</t>
  </si>
  <si>
    <t>środki o których mowa w art. 5 ust. 1 pkt 2 i 3 uofp</t>
  </si>
  <si>
    <t>środki własne</t>
  </si>
  <si>
    <t>Uwagi</t>
  </si>
  <si>
    <t>Rozdz.</t>
  </si>
  <si>
    <t>Rozbudowa skrzyżowania dróg powiatowych Nr 2754W - ul. Reymonta i Nr 2758W - ul. Samorządowej w Otwocku na skrzyżowanie typu rondo</t>
  </si>
  <si>
    <t>Przebudowa dróg powiatowych nr 2762W i 2763W - ul. Kraszewskiego i Majowej w Otwocku</t>
  </si>
  <si>
    <t>Przebudowa drogi powiatowej Nr 2724W Karczew - Janów</t>
  </si>
  <si>
    <t>Dotacja  na dofinansowanie zakupu pojazdu służbowego segment "C" w wersji oznakowanej dla Komendy Powiatowej Policji w Otwocku</t>
  </si>
  <si>
    <t>Rewitalizacja parkingu przed budynkiem Liceum Ogólnokształcącego Nr 1</t>
  </si>
  <si>
    <t>Remont i prace konserwatorskie schodów w Liceum Ogólnokształcącym Nr 1</t>
  </si>
  <si>
    <t>Razem Rozdział 71012</t>
  </si>
  <si>
    <t>Serwer dla potrzeb PODGIK</t>
  </si>
  <si>
    <t>Razem Rozdział 85203</t>
  </si>
  <si>
    <t>Zakup samochodu do przewozu uczestników ŚDS - wkład własny Powiatu do środków PFRON</t>
  </si>
  <si>
    <t xml:space="preserve">Przebudowa drogi powiatowej Nr 2245W m. Dobrzyniec gmina Kołbiel </t>
  </si>
  <si>
    <t>Dotacja na dofinansowanie wykonania dokumentacji projektowej  przebudowy budynku Komendy Powiatowej Policji w Otwocku</t>
  </si>
  <si>
    <t>Dotacja na dofinansowanie zakupu sprzętu medycznego dla Hospicjum "Empatia"</t>
  </si>
  <si>
    <t>Razem Rozdział 85149</t>
  </si>
  <si>
    <t>Wykonanie ZRIDu ciągu pieszo-rowerowego między Izabelą a Zakrętem w ramach poprawy bezpieczeństwa na drodze powiatowej nr 2702W</t>
  </si>
  <si>
    <t xml:space="preserve">Rozbudowa skrzyżowania drogi powiatowej Nr 2709W - ulicy Napoleońskiej z drogą powiatową Nr 2710W - ulicą Łąkową na pograniczu miejscowości Lipowo i Glinianka w gminie Wiązowna </t>
  </si>
  <si>
    <t>Rezerwa na inwestycje i zakupy inwestycyjne</t>
  </si>
  <si>
    <t>§ 906</t>
  </si>
  <si>
    <t>§ 905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</si>
  <si>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</si>
  <si>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Przychody jednostek samorządu terytorialnego z wynikających z rozliczenia środków określonych w art. 5 ust. 1 pkt 2 ustawy i dotacji na realizację programu, projektu lub zadania finansowanego z udziałem tych środków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</si>
  <si>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</si>
  <si>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</si>
  <si>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</si>
  <si>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</si>
  <si>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</si>
  <si>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</si>
  <si>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</si>
  <si>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</si>
  <si>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</si>
  <si>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</si>
  <si>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</si>
  <si>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</si>
  <si>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</si>
  <si>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</si>
  <si>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Gmina Józefów</t>
  </si>
  <si>
    <t>Modernizacja  drogi powiatowej Nr 2739W w Radachówce</t>
  </si>
  <si>
    <t>Gmina Osieck</t>
  </si>
  <si>
    <t>Budowa drogi powiatowej Nr 1311W w Natolinie</t>
  </si>
  <si>
    <t>26.</t>
  </si>
  <si>
    <t>27.</t>
  </si>
  <si>
    <t>28.</t>
  </si>
  <si>
    <t>Modernizacja odwodnienia w drogach powiatowych na terenie Józefowa, w tym:                         -  Nr 2768W w ul. Granicznej na wysokości Nr 46 i w rejonie ul. Lisiej,                                 -  Nr 2766W w ul. 3 Maja przy skrzyżowaniu z ul. Wyszyńskiego</t>
  </si>
  <si>
    <t>B. 50 000</t>
  </si>
  <si>
    <t>B. 15 000</t>
  </si>
  <si>
    <t>Wymiana nakładki asfaltobetonowej na rondzie Księdza Jerzego Popiełuszki</t>
  </si>
  <si>
    <t>Projekt i budowa odwodnienia w ul. Granicznej na wysokości numeru 81</t>
  </si>
  <si>
    <t>Doświetlenie przejścia dla pieszych na drodze powiatowej Nr 2772W w ul. Świderskiej przy ul. Kościelnej</t>
  </si>
  <si>
    <t>Modernizacja drogi powiatowej Nr 2737W Anielinek-Sępochów-Rudno</t>
  </si>
  <si>
    <t>B. 25 000</t>
  </si>
  <si>
    <t>Wykonanie nakładki asfaltowej na drodze powiatowej Nr 2747W - Nowe Kościeliska</t>
  </si>
  <si>
    <t>Dokumentacja projektowa  ZRID na przebudowę skrzyżowania ul. Batorego z ul. Karczewską/Matejki - ETAP 1 (usunięcie kolizji z mediami, wykup działek i inne)</t>
  </si>
  <si>
    <t>Modernizacja drogi powiatowej Nr 1302W Piwonin - Wysoczyn - Szymanowice</t>
  </si>
  <si>
    <t>Przebudowa istniejących chodników w drodze Nr 2753W (w tym od działki nr 290/3 do Urzędu Gminy oraz działki 290/2 do ul. Długiej)</t>
  </si>
  <si>
    <t>B. 20 000</t>
  </si>
  <si>
    <t>Przebudowa drogi powiatowej Nr 2705W - ul. Kąckiej w Wiązownie</t>
  </si>
  <si>
    <t>Wykonanie instalacji monitoringu w Starostwie Powiatowym w Otwocku - budynek przy ul. Górnej 13 i ul. Komunardów 10</t>
  </si>
  <si>
    <t xml:space="preserve">Rozbudowa drogi powiatowej Nr 2713W w miejscowościach Stara Wieś, Dąbrówka i Celestynów </t>
  </si>
  <si>
    <t>Budowa chodnika w ul. Granicznej przy ul. Jachowicza</t>
  </si>
  <si>
    <t>Poprawa bezpieczeństwa ruchu drogowego na przejściu dla pieszych  (doświetlone znaki) w ul. Granicznej przy skrzyżowaniu  z ul. Zawiszy, droga Nr 2768W</t>
  </si>
  <si>
    <t>Doświetlenie przejść  dla pieszych w drogach powiatowych (m.in. w  ul. Kołłątaja na wysokości ul. Zacisznej)</t>
  </si>
  <si>
    <t>Wykonanie chodnika w Augustówce w drodze powiatowej Nr 1315W przy Szkole Podstawowej im. Orła Białego</t>
  </si>
  <si>
    <t>Doświetlenie przejścia dla pieszych w drodze powiatowej Nr 1315W przy Szkole Podstawowej im. Orła Białego w Augustówce</t>
  </si>
  <si>
    <t>Wykonanie parkingu w drodze powiatowej w Sobiekursku przy Szkole Podstawowej im. Jerzego Kukuczki</t>
  </si>
  <si>
    <t>Projekt i budowa chodnika w drodze powiatowej w Człekówce Nr 2743W od DK50 do numeru Człekówka 60 (dz.ew. 312/4) oraz wykonanie ZRID na przebudowę drogi Nr 2743W od  numeru Człekówka 60 do skrzyżowania z droga gminną  - ul. Wspólną</t>
  </si>
  <si>
    <t>Doświetlenie przejścia dla pieszych w drodze Nr 2770W - ul. Nadwiślańskiej</t>
  </si>
  <si>
    <t>Modernizacja drogi powiatowej w Glinkach</t>
  </si>
  <si>
    <t>Wykonanie barier na przepuście wraz z nową nakładką na przepuście w Osiecku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</si>
  <si>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</si>
  <si>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</si>
  <si>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</si>
  <si>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</si>
  <si>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</si>
  <si>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</si>
  <si>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</si>
  <si>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</si>
  <si>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</si>
  <si>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</si>
  <si>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</si>
  <si>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Zakup  mobilnego punktu monitorowania z 3 kamerami w celu poprawienia bezpieczeństwa na drogach powiatowych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</si>
  <si>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</si>
  <si>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</si>
  <si>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</si>
  <si>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</si>
  <si>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</si>
  <si>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</si>
  <si>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</si>
  <si>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</si>
  <si>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</si>
  <si>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</si>
  <si>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</si>
  <si>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</si>
  <si>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</si>
  <si>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</si>
  <si>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</si>
  <si>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</si>
  <si>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</si>
  <si>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Prace konserwatorskie dwóch rzeźb aniołków w Liceum Ogólnokształcącym   Nr 1</t>
  </si>
  <si>
    <t>Modernizacja drogi powiatowej Nr 2744W w Ponurzycy</t>
  </si>
  <si>
    <t>Dokumentacja projektowa na przebudowę ul. Staszica/Kołłątaja wraz z przebudową skrzyżowania z ul. Świderską</t>
  </si>
  <si>
    <t>Dotacja  na dofinansowanie zakupu psa służbowego dla  potrzeb  Komendy Powiatowej Policji w Otwocku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</si>
  <si>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</si>
  <si>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Doświetlenie przejść dla pieszych na drodze powiatowej Nr 2717W - ul. Obrońców Pokoju w Celestynowie w rejonie centrum handlowego oraz  w Pogorzeli  w drodze                     Nr 2722W  - ul. Witosa</t>
  </si>
  <si>
    <t xml:space="preserve">Wykonanie nakładki asfaltobetonowej w ul. Brzozowej w Pogorzeli </t>
  </si>
  <si>
    <t>Plan wydatków majątkowych na 2020 rok - po zmianach</t>
  </si>
  <si>
    <t>Przychody i rozchody budżetu w 2020 roku - po zmianach</t>
  </si>
  <si>
    <t>Rozbudowa na rondo skrzyżowania dróg powiatowych Nr 2775W ul. Stare Miasto i Nr 2724W ul. Żaboklickiego z drogą gminną ul. Bielińskiego w Karczewie</t>
  </si>
  <si>
    <t>A. 1 924 000</t>
  </si>
  <si>
    <t>B. 474 500              A. 850 694</t>
  </si>
  <si>
    <t>Rolnictwo i łowiectwo</t>
  </si>
  <si>
    <t>01005</t>
  </si>
  <si>
    <t>Prace geodezyjno-urządzeniowe na potrzeby rolnictwa</t>
  </si>
  <si>
    <t>Dotacje celowe otrzymane z budżetu państwa na zadania bieżące z zakresu administracji rządowej oraz inne zadania zlecone ustawami realizowane przez powiat</t>
  </si>
  <si>
    <t>Zakup usług pozostałych</t>
  </si>
  <si>
    <t>Gospodarka mieszkaniowa</t>
  </si>
  <si>
    <t>Gospodarka gruntami i nieruchomościami</t>
  </si>
  <si>
    <t>Wynagrodzenia osobowe pracowników</t>
  </si>
  <si>
    <t>Składki na ubezpieczenia społeczne</t>
  </si>
  <si>
    <t>Wynagrodzenia bezosobowe</t>
  </si>
  <si>
    <t>Zakup materiałów i wyposażenia</t>
  </si>
  <si>
    <t>Zakup energii</t>
  </si>
  <si>
    <t>Zakup usług remontowych</t>
  </si>
  <si>
    <t>Zakup usług obejmujących wykonanie ekspertyz, analiz i opinii</t>
  </si>
  <si>
    <t>Różne opłaty i składki</t>
  </si>
  <si>
    <t>Podatek od nieruchomości</t>
  </si>
  <si>
    <t>Opłaty na rzecz budżetów jednostek samorządu terytorialnego</t>
  </si>
  <si>
    <t>Pozostałe odsetki</t>
  </si>
  <si>
    <t>Kary i odszkodowania wypłacane na rzecz osób fizycznych</t>
  </si>
  <si>
    <t>Koszty postępowania sądowego i prokuratorskiego</t>
  </si>
  <si>
    <t>71012</t>
  </si>
  <si>
    <t>Zadania z zakresu geodezji i kartografii</t>
  </si>
  <si>
    <t>Nadzór budowlany</t>
  </si>
  <si>
    <t>Wydatki osobowe niezaliczone do wynagrodzeń</t>
  </si>
  <si>
    <t>Wynagrodzenia osobowe członków korpusu służby cywilnej</t>
  </si>
  <si>
    <t>Dodatkowe wynagrodzenie roczne</t>
  </si>
  <si>
    <t>Zakup usług zdrowotnych</t>
  </si>
  <si>
    <t>Podróże służbowe krajowe</t>
  </si>
  <si>
    <t>Odpisy na zakładowy fundusz świadczeń socjalnych</t>
  </si>
  <si>
    <t>Szkolenia członków korpusu służby cywilnej</t>
  </si>
  <si>
    <t>Szkolenia pracowników niebędących członkami korpusu służby cywilnej</t>
  </si>
  <si>
    <t>Administracja publiczna</t>
  </si>
  <si>
    <t>Urzędy wojewódzkie</t>
  </si>
  <si>
    <t>Kwalifikacja wojskowa</t>
  </si>
  <si>
    <t>Bezpieczeństwo publiczne i ochrona przeciwpożarowa</t>
  </si>
  <si>
    <t>Komendy powiatowe Państwowej Straży Pożarnej</t>
  </si>
  <si>
    <t>Wydatki osobowe niezaliczone do uposażeń wypłacane żołnierzom i funkcjonariuszom</t>
  </si>
  <si>
    <t>Uposażenia żołnierzy zawodowych oraz funkcjonariuszy</t>
  </si>
  <si>
    <t>Inne należności żołnierzy zawodowych oraz funkcjonariuszy zaliczane do wynagrodzeń</t>
  </si>
  <si>
    <t>Dodatkowe uposażenie roczne dla żołnierzy zawodowych oraz nagrody roczne dla funkcjonariuszy</t>
  </si>
  <si>
    <t>Zakup środków żywności</t>
  </si>
  <si>
    <t>Zakup leków, wyrobów medycznych i produktów biobójczych</t>
  </si>
  <si>
    <t>Zakup sprzętu i uzbrojenia</t>
  </si>
  <si>
    <t>755</t>
  </si>
  <si>
    <t>Wymiar sprawiedliwości</t>
  </si>
  <si>
    <t>75515</t>
  </si>
  <si>
    <t>Nieodpłatna pomoc prawna</t>
  </si>
  <si>
    <t>Ochrona zdrowia</t>
  </si>
  <si>
    <t>Składki na ubezpieczenie zdrowotne</t>
  </si>
  <si>
    <t>852</t>
  </si>
  <si>
    <t>Pomoc społeczna</t>
  </si>
  <si>
    <t>Ośrodki wsparcia</t>
  </si>
  <si>
    <t>Zespoły do spraw orzekania o niepełnosprawności</t>
  </si>
  <si>
    <t>855</t>
  </si>
  <si>
    <t>85504</t>
  </si>
  <si>
    <t>Wspieranie rodziny</t>
  </si>
  <si>
    <t>85508</t>
  </si>
  <si>
    <t>Świadczenia społeczne</t>
  </si>
  <si>
    <t>85510</t>
  </si>
  <si>
    <t>Dochody i wydatki związane z realizacją zadań z zakresu administracji rządowej i innych zadań zleconych                                                                jednostce samorządu terytorialnego odrębnymi ustawami na 2020 rok - po zmianach</t>
  </si>
  <si>
    <t>Projekt i budowa chodnika przy drodze powiatowej Nr 1302W na wysokości  Szkoły  Podstawowej w Siedzowie na odcinku od granicy działki szkoły  do wysokości boiska sportowego</t>
  </si>
  <si>
    <t>57.</t>
  </si>
  <si>
    <t>58.</t>
  </si>
  <si>
    <t>Wykonanie projektu ZRID ciągu pieszo - rowerowego w drodze powiatowej              Nr 2709W ul. Mazowiecka w Malcanowie, ul. Armii Krajowej w Lipowie                      od ul. Kotliny w Malcanowie do ul. Wypoczynkowej w Lipowie</t>
  </si>
  <si>
    <t>Regionalne partnerstwo samorządów Mazowsza dla aktywizacji społeczeństwa informacyjnego w zakresie e-administracji i geoinformacji</t>
  </si>
  <si>
    <t>Razem Rozdział 71095</t>
  </si>
  <si>
    <t>59.</t>
  </si>
  <si>
    <t>Dotacja celowa z budżetu na finansowanie lub dofinansowanie zadań zleconych do realizacji pozostałym jednostkom nie zaliczanym do sektora finansów publicznych</t>
  </si>
  <si>
    <t>B.60.000</t>
  </si>
  <si>
    <t>Dotacja dla Powiatowego Centrum Zdrowia Sp. z o.o.  na modernizację budynku i zakupy inwestycyjne</t>
  </si>
  <si>
    <t>Wniesienie wkładu pieniężnego  do Powiatowego Centrum Zdrowia Sp. z o.o. na zabezpieczenie wkładu własnego do realizowanego przez spółkę programu unijnego</t>
  </si>
  <si>
    <t>Dotacja dla Powiatowego Centrum Zdrowia Sp. z o.o.  na modernizację Oddziału Ginekologiczno - Położniczego</t>
  </si>
  <si>
    <t>60.</t>
  </si>
  <si>
    <t>Pozostała działalność</t>
  </si>
  <si>
    <t>752</t>
  </si>
  <si>
    <t>75295</t>
  </si>
  <si>
    <t>Modernizacja drogi powiatowej Nr 2751W Sobienie Kiełczewski-Zuzanów-Czarnowiec</t>
  </si>
  <si>
    <t>Modernizacja drogi powiatowej Nr 2752W Władysławów-Zambrzyków Stary-Sobienie Kiełczewskie</t>
  </si>
  <si>
    <t>B. 200 000</t>
  </si>
  <si>
    <t>61.</t>
  </si>
  <si>
    <t>62.</t>
  </si>
  <si>
    <t>63.</t>
  </si>
  <si>
    <t>Razem Rozdział 85403</t>
  </si>
  <si>
    <t>Wkład własny na zakup pieca konwekcyjnego - Rządowy Program "Posiłek w szkole i w domu"</t>
  </si>
  <si>
    <t>85395</t>
  </si>
  <si>
    <t>Oświata i wychowanie</t>
  </si>
  <si>
    <t>Uposażenia i świadczenia pieniężne wypłacane przez okres roku żołnierzom i funkcjonariuszom zwolnionym ze służby</t>
  </si>
  <si>
    <t>A. 0</t>
  </si>
  <si>
    <t>B.0</t>
  </si>
  <si>
    <t>Przychody ze sprzedaży innych papierów wartościowych</t>
  </si>
  <si>
    <t>§ 931</t>
  </si>
  <si>
    <t>B. 0</t>
  </si>
  <si>
    <t>64.</t>
  </si>
  <si>
    <t>65.</t>
  </si>
  <si>
    <t>Droga 2709W w powiecie otwockim - bezpieczna droga do szkoły dla dzieci z gminy Wiązowna</t>
  </si>
  <si>
    <t>Przygotowanie dokumentacji projektowej przebudowy oraz rozbudowy drogi powiatowej Nr 2703W  – ul. Mickiewicza w Góraszce - ZRID</t>
  </si>
  <si>
    <t>Utwardzenie nawierzchni gruntowej drogi powiatowej Nr 2701W w miejscowości Majdan(na odcinku od S17 do ul. Pięknej) oraz w miejscowości Michałówek(od pętli autobusowej do istniejącego wiaduktu)</t>
  </si>
  <si>
    <t>66.</t>
  </si>
  <si>
    <t>kredyty, pożyczki, obligacje</t>
  </si>
  <si>
    <t>67.</t>
  </si>
  <si>
    <t>801</t>
  </si>
  <si>
    <t>80153</t>
  </si>
  <si>
    <t>Zapewnienie uczniom prawa do bezpłatnego dostępu do podręczników, materiałów edukacyjnych lub materiałów ćwiczeniowych</t>
  </si>
  <si>
    <t>Zakup środków dydaktycznych i książek</t>
  </si>
  <si>
    <t>opracowanie dokumentacji projektowej</t>
  </si>
  <si>
    <t xml:space="preserve">Termomodernizacja  budynku użyteczności  publicznej przy ul. Górnej 13                       w Otwocku </t>
  </si>
  <si>
    <t>Wykonanie projektu ZRID ciągu  pieszo - rowerowego w drodze powiatowej                        Nr 2709W w m. Żanęcin oraz wzdłuż ul. Majowej w m. Dziechciniec od drogi krajowej S17 do posesji Sali weselnej "Raj"</t>
  </si>
  <si>
    <t>Budowa parkingu na pojazdy usunięte z dróg zgodnie z art. 130a ust. 1, 2 i 5c ustawy Prawo o ruchu drogowym</t>
  </si>
  <si>
    <t>68.</t>
  </si>
  <si>
    <t>C. 150 000</t>
  </si>
  <si>
    <t>C. 50 000</t>
  </si>
  <si>
    <t>C. 30 000</t>
  </si>
  <si>
    <t>C. 25 000</t>
  </si>
  <si>
    <t>C. 60 000</t>
  </si>
  <si>
    <t>C. 70 000</t>
  </si>
  <si>
    <t>C. 120 000</t>
  </si>
  <si>
    <t>C. 100 000</t>
  </si>
  <si>
    <t>C. 148 000</t>
  </si>
  <si>
    <t>C. 500 000</t>
  </si>
  <si>
    <t>C. 200 000</t>
  </si>
  <si>
    <t>Budowa chodników w drogach powiatowych na terenie gminy Wiązowna - Majdan   ul. Widoczna</t>
  </si>
  <si>
    <r>
      <t xml:space="preserve">C. Inne źródła  - </t>
    </r>
    <r>
      <rPr>
        <b/>
        <i/>
        <sz val="8"/>
        <rFont val="Arial"/>
        <family val="2"/>
        <charset val="238"/>
      </rPr>
      <t>Fundusz Inwestycji Lokalnych</t>
    </r>
  </si>
  <si>
    <t>A. 850 000</t>
  </si>
  <si>
    <t>C. 75 000</t>
  </si>
  <si>
    <t>C. 84 834</t>
  </si>
  <si>
    <t>C. 0</t>
  </si>
  <si>
    <t>C. 700 000</t>
  </si>
  <si>
    <t>C. 2 193 770</t>
  </si>
  <si>
    <t>C. 50 000                B.  70 000</t>
  </si>
  <si>
    <t>Modernizacja nawierzchni asfaltowej na odcinku ok. 500 m pomiędzy Malcanowem a Lipowem w drodze Nr 2709W                                                                                  Żanęcin - Glinianka – Bolesławów</t>
  </si>
  <si>
    <t>Dochody i wydatki związane z realizacją zadań realizowanych w drodze umów lub porozumień między                                              jednostkami samorządu terytorialnego na 2020 rok - po zmianach</t>
  </si>
  <si>
    <t>Transport i łączność</t>
  </si>
  <si>
    <t>Lokalny transport zbiorowy</t>
  </si>
  <si>
    <t>Dotacje celowe przekazane gminie na zadania bieżące realizowane na podstawie porozumień (umów) między jednostkami samorządu terytorialnego</t>
  </si>
  <si>
    <t>Drogi publiczne powiatowe</t>
  </si>
  <si>
    <t xml:space="preserve">Dotacja celowa otrzymana z tytułu  pomocy finansowej udzielanej między jednostkami samorządu terytorialnego na dofinansowanie własnych zadań inwestycyjnych i zakupów inwestycyjnych </t>
  </si>
  <si>
    <t>Dotacje celowe przekazane gminie na inwestycje i zakupy inwestycyjne realizowane naa podstawie porozumień (umów) między jednostkami samorządu terytorialnego</t>
  </si>
  <si>
    <t>Dotacje celowe przekazane do samorządu województwa na inwestycje i zakupy inwestycyjne realizowane na podstawie porozumień (umów) między jednostkami samorządu terytorialnego</t>
  </si>
  <si>
    <t>Dotacja celowa otrzymana z tytułu  pomocy  finansowej udzielanej między jednostkami samorządu terytorialnego na dofinansowanie własnych zadań bieżących</t>
  </si>
  <si>
    <t>Rehabilitacja zawodowa i społeczna osób niepełnosprawnych</t>
  </si>
  <si>
    <t>Dotacje celowe otrzymane z powiatu na zadania bieżące realizowane na podstawie porozumień (umów) między jednostkami samorządu terytorialnego</t>
  </si>
  <si>
    <t>Dotacje celowe przekazane dla powiatu na zadania bieżące realizowane na podstawie porozumień (umów) między jednostkami samorządu terytorialnego</t>
  </si>
  <si>
    <t>Działalność ośrodków adopcyjnych</t>
  </si>
  <si>
    <t>Dotacje celowe przekazane do samorządu województwa na zadania bieżące realizowane na podstawie porozumień (umów) między jednostkami samorządu terytorialnego</t>
  </si>
  <si>
    <t>Gospodarka komunalna i ochrona środowiska</t>
  </si>
  <si>
    <t>Dotacja celowa na pomoc finansową udzielaną między jednostkami samorządu terytorialnego na dofinansowanie własnych zadań bieżących</t>
  </si>
  <si>
    <t>Kultura i ochrona dziedzictwa narodowego</t>
  </si>
  <si>
    <t>Pozostałe zadania w zakresie kultury</t>
  </si>
  <si>
    <t>Biblioteki</t>
  </si>
  <si>
    <t>Dotacja celowa otrzymana z tytułu pomocy finansowej udzielanej między jednostkami samorządu terytorialnego na dofinansowanie własnych zadań bieżących</t>
  </si>
  <si>
    <t>Dotacje udzielone w 2020 roku z budżetu podmiotom należącym                                                                                               i nienależącym do sektora finansów publicznych - po zmianach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</si>
  <si>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</si>
  <si>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</si>
  <si>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</si>
  <si>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</si>
  <si>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</si>
  <si>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</si>
  <si>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Dotacje celowe przekazane gminie na inwestycje i zakupy inwestycyjne realizowane na podstawie porozumień (umów) między jednostkami samorządu terytorialnego</t>
  </si>
  <si>
    <t>Wpłaty jednostek na państwowy fundusz celowy</t>
  </si>
  <si>
    <t>Wpłaty jednostek na państwowy fundusz celowy na finansowanie lub dofinansowanie zadań inwestycyjnych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</si>
  <si>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</si>
  <si>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</si>
  <si>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</si>
  <si>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01008</t>
  </si>
  <si>
    <t>2830</t>
  </si>
  <si>
    <t>Dotacja celowa z budżetu na finansowanie lub dofinansowanie zadań zleconych do realizacji pozostałym jednostkom niezaliczanym do sektora finansów publicznych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</si>
  <si>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</si>
  <si>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Dotacja celowa z budżetu na finansowanie lub dofinansowanie zadań zleconych do realizacji stowarzyszeniom</t>
  </si>
  <si>
    <t>Dotacja podmiotowa z budżetu dla niepublicznej jednostki oświaty</t>
  </si>
  <si>
    <t>Dotacje celowe z budżetu na finansowanie lub dofinansowanie kosztów realizacji inwestycji i zakupów inwestycyjnych jednostek niezaliczanych do sektora finansów publicznych</t>
  </si>
  <si>
    <t>Dotacja celowa z budżetu na finansowanie lub dofinansowanie zadań zleconych do realizacji stowarzyszeniom</t>
  </si>
  <si>
    <t>Dotacja podmiotowa z budżetu dla jednostek niezaliczanych do sektora finansów publicznych</t>
  </si>
  <si>
    <t>Razem jednostki nienależące do sektora finansów publicznych</t>
  </si>
  <si>
    <t>Ogółem plan dotacji na 2020 rok</t>
  </si>
  <si>
    <t/>
  </si>
  <si>
    <t>2110</t>
  </si>
  <si>
    <t>4300</t>
  </si>
  <si>
    <t>700</t>
  </si>
  <si>
    <t>70005</t>
  </si>
  <si>
    <t>4010</t>
  </si>
  <si>
    <t>4110</t>
  </si>
  <si>
    <t>4120</t>
  </si>
  <si>
    <t>Składki na Fundusz Pracy oraz Solidarnościowy Fundusz Wsparcia Osób Niepełnosprawnych</t>
  </si>
  <si>
    <t>4170</t>
  </si>
  <si>
    <t>4210</t>
  </si>
  <si>
    <t>4260</t>
  </si>
  <si>
    <t>4270</t>
  </si>
  <si>
    <t>4390</t>
  </si>
  <si>
    <t>4430</t>
  </si>
  <si>
    <t>4480</t>
  </si>
  <si>
    <t>4520</t>
  </si>
  <si>
    <t>4580</t>
  </si>
  <si>
    <t>4590</t>
  </si>
  <si>
    <t>4610</t>
  </si>
  <si>
    <t>710</t>
  </si>
  <si>
    <t>71015</t>
  </si>
  <si>
    <t>3020</t>
  </si>
  <si>
    <t>4020</t>
  </si>
  <si>
    <t>4040</t>
  </si>
  <si>
    <t>4280</t>
  </si>
  <si>
    <t>4360</t>
  </si>
  <si>
    <t>Opłaty z tytułu zakupu usług telekomunikacyjnych</t>
  </si>
  <si>
    <t>4410</t>
  </si>
  <si>
    <t>4440</t>
  </si>
  <si>
    <t>4550</t>
  </si>
  <si>
    <t>4700</t>
  </si>
  <si>
    <t>750</t>
  </si>
  <si>
    <t>75011</t>
  </si>
  <si>
    <t>75045</t>
  </si>
  <si>
    <t>Obrona narodowa</t>
  </si>
  <si>
    <t>754</t>
  </si>
  <si>
    <t>75411</t>
  </si>
  <si>
    <t>3070</t>
  </si>
  <si>
    <t>4050</t>
  </si>
  <si>
    <t>4060</t>
  </si>
  <si>
    <t>4070</t>
  </si>
  <si>
    <t>4080</t>
  </si>
  <si>
    <t>4180</t>
  </si>
  <si>
    <t>Równoważniki pieniężne i ekwiwalenty dla żołnierzy i funkcjonariuszy oraz pozostałe nleżności</t>
  </si>
  <si>
    <t>4220</t>
  </si>
  <si>
    <t>4230</t>
  </si>
  <si>
    <t>4250</t>
  </si>
  <si>
    <t>4240</t>
  </si>
  <si>
    <t>851</t>
  </si>
  <si>
    <t>85156</t>
  </si>
  <si>
    <t>Składki na ubezpieczenie zdrowotne oraz świadczenia dla osób nie objętych obowiązkiem ubezpieczenia zdrowotnego</t>
  </si>
  <si>
    <t>4130</t>
  </si>
  <si>
    <t>85203</t>
  </si>
  <si>
    <t>853</t>
  </si>
  <si>
    <t>85321</t>
  </si>
  <si>
    <t>3110</t>
  </si>
  <si>
    <t>2160</t>
  </si>
  <si>
    <t>Dotacje celowe otrzymane z budżetu państwa na zadania bieżące z zakresu administracji rządowej zlecone powiatom, związane z realizacją dodatku wychowawczego, dodatku do zryczałtowanej kwoty oraz dodatku w wysokości świadczenia wychowawczego stanowiących pomoc państwa w wychowywaniu dzieci</t>
  </si>
  <si>
    <t>Razem:</t>
  </si>
  <si>
    <t>C.0</t>
  </si>
  <si>
    <t xml:space="preserve">A. 99 621             B. 40 000              C. 40 000    </t>
  </si>
  <si>
    <t>Dotacja na dofinansowanie zakupu pojazdu oznakowanego typu furgon dla  Komendy Powiatowej Policji w Otwocku</t>
  </si>
  <si>
    <t>Dotacja na dofinansowanie zakupu pojazdu oznakowanego segm. C dla   Komendy Powiatowej Policji w Otwocku</t>
  </si>
  <si>
    <t>Dotacja na dofinansowanie zakupu pojazdu osobowo-terenowego w policyjnej wersji nieoznakowanej dla   Komendy Powiatowej Policji w Otwocku</t>
  </si>
  <si>
    <t>Dotacja na dofinansowanie zakupu alkomatu dla  potrzeb  Komendy Powiatowej Policji w Otwocku</t>
  </si>
  <si>
    <t>69.</t>
  </si>
  <si>
    <t>70.</t>
  </si>
  <si>
    <t>71.</t>
  </si>
  <si>
    <t>72.</t>
  </si>
  <si>
    <t>73.</t>
  </si>
  <si>
    <r>
      <t xml:space="preserve">A. Dotacje i środki z budżetu państwa (np. od wojewody, MEN, UKFiS, …) - </t>
    </r>
    <r>
      <rPr>
        <b/>
        <i/>
        <sz val="8"/>
        <rFont val="Arial"/>
        <family val="2"/>
        <charset val="238"/>
      </rPr>
      <t xml:space="preserve">Fundusz Dróg Samorządowych, </t>
    </r>
  </si>
  <si>
    <t>Dochody i wydatki związane z realizacją zadań wykonywanych na mocy porozumień                                                 z organami administracji rządowej na 2020 rok - po zmianach</t>
  </si>
  <si>
    <t>Dotacje celowe otrzymane z budżetu państwa na zadania bieżące realizowane przez powiat na podstawie porozumień z organami administracji rządowej</t>
  </si>
  <si>
    <t>Składki na Fundusz Pracy oraz Solidarnościowy Fundusz Wsparcia Osob Niepełnosprawnych</t>
  </si>
  <si>
    <t>Składki na Fundusz Emerytur Pomostowych</t>
  </si>
  <si>
    <t>Usuwanie skutków klęsk żywiołowych</t>
  </si>
  <si>
    <t>Dotacje celowe otrzymane z budżetu państwa na inwestycje i zakupy inwestycyjne realizowane przez powiat na podstawie porozumień z organami administracji rządowej</t>
  </si>
  <si>
    <t>Wydatki inwestycyjne jednostek budżetowych</t>
  </si>
  <si>
    <t>Dotacja na dofinansowanie zakupu pojazdu nieoznakowanego wyposażonego w videorejestrator  dla  Komendy Powiatowej Policji w Otwocku</t>
  </si>
  <si>
    <t>A. 1 585 585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</si>
</sst>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164" formatCode="#,##0_ ;\-#,##0\ "/>
    <numFmt numFmtId="165" formatCode="\ #,##0.00&quot; zł &quot;;\-#,##0.00&quot; zł &quot;;&quot; -&quot;#&quot; zł &quot;;@\ "/>
    <numFmt numFmtId="166" formatCode="#,##0.00;\-#,##0.00"/>
  </numFmts>
  <fonts count="51"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b/>
      <i/>
      <sz val="8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name val="Arial"/>
      <family val="2"/>
      <charset val="238"/>
    </font>
    <font>
      <sz val="7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9"/>
      <color rgb="FF00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3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FFFF"/>
      </patternFill>
    </fill>
    <fill>
      <patternFill patternType="solid">
        <fgColor rgb="FFB9CF8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 applyNumberFormat="0" applyFill="0" applyBorder="0" applyAlignment="0" applyProtection="0">
      <alignment vertical="top"/>
    </xf>
    <xf numFmtId="0" fontId="4" fillId="0" borderId="0"/>
    <xf numFmtId="0" fontId="7" fillId="0" borderId="0"/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10" fillId="0" borderId="0"/>
    <xf numFmtId="164" fontId="13" fillId="0" borderId="0"/>
    <xf numFmtId="0" fontId="4" fillId="0" borderId="0"/>
    <xf numFmtId="0" fontId="7" fillId="0" borderId="0"/>
    <xf numFmtId="0" fontId="7" fillId="0" borderId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20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2" fillId="0" borderId="0"/>
    <xf numFmtId="0" fontId="1" fillId="0" borderId="0"/>
    <xf numFmtId="0" fontId="31" fillId="0" borderId="0"/>
    <xf numFmtId="0" fontId="32" fillId="0" borderId="0"/>
    <xf numFmtId="0" fontId="39" fillId="0" borderId="0"/>
  </cellStyleXfs>
  <cellXfs count="423">
    <xf numFmtId="0" fontId="0" fillId="0" borderId="0" xfId="0" applyAlignment="1"/>
    <xf numFmtId="0" fontId="14" fillId="0" borderId="0" xfId="9" applyFont="1" applyAlignment="1">
      <alignment vertical="center"/>
    </xf>
    <xf numFmtId="0" fontId="10" fillId="0" borderId="0" xfId="9" applyFont="1" applyAlignment="1">
      <alignment vertical="center"/>
    </xf>
    <xf numFmtId="0" fontId="10" fillId="0" borderId="0" xfId="9" applyFont="1" applyAlignment="1">
      <alignment horizontal="right" vertical="top"/>
    </xf>
    <xf numFmtId="0" fontId="12" fillId="4" borderId="5" xfId="9" applyFont="1" applyFill="1" applyBorder="1" applyAlignment="1">
      <alignment horizontal="center" vertical="center"/>
    </xf>
    <xf numFmtId="0" fontId="12" fillId="4" borderId="1" xfId="9" applyFont="1" applyFill="1" applyBorder="1" applyAlignment="1">
      <alignment horizontal="center" vertical="center" wrapText="1"/>
    </xf>
    <xf numFmtId="0" fontId="12" fillId="0" borderId="5" xfId="9" applyFont="1" applyBorder="1" applyAlignment="1">
      <alignment horizontal="center" vertical="center"/>
    </xf>
    <xf numFmtId="0" fontId="12" fillId="0" borderId="5" xfId="9" applyFont="1" applyBorder="1" applyAlignment="1">
      <alignment horizontal="left" vertical="center"/>
    </xf>
    <xf numFmtId="0" fontId="12" fillId="0" borderId="0" xfId="9" applyFont="1" applyAlignment="1">
      <alignment vertical="center"/>
    </xf>
    <xf numFmtId="0" fontId="15" fillId="0" borderId="5" xfId="9" applyFont="1" applyBorder="1" applyAlignment="1">
      <alignment horizontal="center" vertical="center"/>
    </xf>
    <xf numFmtId="0" fontId="15" fillId="0" borderId="5" xfId="9" applyFont="1" applyBorder="1" applyAlignment="1">
      <alignment horizontal="left" vertical="center"/>
    </xf>
    <xf numFmtId="0" fontId="15" fillId="0" borderId="0" xfId="9" applyFont="1" applyAlignment="1">
      <alignment vertical="center"/>
    </xf>
    <xf numFmtId="3" fontId="12" fillId="0" borderId="5" xfId="9" applyNumberFormat="1" applyFont="1" applyBorder="1" applyAlignment="1"/>
    <xf numFmtId="0" fontId="12" fillId="0" borderId="5" xfId="9" applyFont="1" applyBorder="1" applyAlignment="1">
      <alignment vertical="center"/>
    </xf>
    <xf numFmtId="0" fontId="10" fillId="4" borderId="5" xfId="9" applyFont="1" applyFill="1" applyBorder="1" applyAlignment="1">
      <alignment vertical="center"/>
    </xf>
    <xf numFmtId="3" fontId="12" fillId="4" borderId="5" xfId="9" applyNumberFormat="1" applyFont="1" applyFill="1" applyBorder="1" applyAlignment="1"/>
    <xf numFmtId="0" fontId="10" fillId="0" borderId="5" xfId="9" applyFont="1" applyBorder="1" applyAlignment="1">
      <alignment horizontal="center" vertical="center"/>
    </xf>
    <xf numFmtId="0" fontId="10" fillId="0" borderId="1" xfId="9" applyFont="1" applyBorder="1" applyAlignment="1">
      <alignment vertical="center"/>
    </xf>
    <xf numFmtId="3" fontId="10" fillId="0" borderId="5" xfId="9" applyNumberFormat="1" applyFont="1" applyBorder="1" applyAlignment="1"/>
    <xf numFmtId="0" fontId="10" fillId="0" borderId="5" xfId="9" applyFont="1" applyBorder="1" applyAlignment="1">
      <alignment vertical="center"/>
    </xf>
    <xf numFmtId="3" fontId="10" fillId="0" borderId="4" xfId="9" applyNumberFormat="1" applyFont="1" applyBorder="1" applyAlignment="1"/>
    <xf numFmtId="0" fontId="10" fillId="4" borderId="5" xfId="9" applyFont="1" applyFill="1" applyBorder="1" applyAlignment="1">
      <alignment horizontal="center" vertical="center"/>
    </xf>
    <xf numFmtId="0" fontId="10" fillId="0" borderId="0" xfId="9" applyFont="1" applyBorder="1" applyAlignment="1">
      <alignment horizontal="center" vertical="center"/>
    </xf>
    <xf numFmtId="0" fontId="10" fillId="0" borderId="0" xfId="9" applyFont="1" applyBorder="1" applyAlignment="1">
      <alignment vertical="center"/>
    </xf>
    <xf numFmtId="3" fontId="10" fillId="0" borderId="0" xfId="9" applyNumberFormat="1" applyFont="1" applyBorder="1" applyAlignment="1"/>
    <xf numFmtId="0" fontId="16" fillId="0" borderId="0" xfId="9" applyFont="1" applyAlignment="1">
      <alignment vertical="center"/>
    </xf>
    <xf numFmtId="0" fontId="5" fillId="0" borderId="0" xfId="7" applyFont="1"/>
    <xf numFmtId="0" fontId="16" fillId="0" borderId="5" xfId="9" applyFont="1" applyFill="1" applyBorder="1" applyAlignment="1">
      <alignment horizontal="center" vertical="center"/>
    </xf>
    <xf numFmtId="0" fontId="16" fillId="0" borderId="5" xfId="9" applyFont="1" applyFill="1" applyBorder="1" applyAlignment="1">
      <alignment horizontal="center" vertical="center" wrapText="1"/>
    </xf>
    <xf numFmtId="0" fontId="10" fillId="0" borderId="7" xfId="9" applyFont="1" applyBorder="1" applyAlignment="1">
      <alignment vertical="center" wrapText="1"/>
    </xf>
    <xf numFmtId="0" fontId="10" fillId="0" borderId="0" xfId="9" applyFont="1" applyFill="1" applyAlignment="1">
      <alignment vertical="center"/>
    </xf>
    <xf numFmtId="0" fontId="10" fillId="0" borderId="0" xfId="7" applyFont="1" applyProtection="1">
      <protection locked="0"/>
    </xf>
    <xf numFmtId="0" fontId="10" fillId="0" borderId="0" xfId="7" applyFont="1" applyFill="1" applyAlignment="1" applyProtection="1">
      <alignment horizontal="center"/>
      <protection locked="0"/>
    </xf>
    <xf numFmtId="0" fontId="21" fillId="0" borderId="0" xfId="7" applyFont="1" applyProtection="1">
      <protection locked="0"/>
    </xf>
    <xf numFmtId="0" fontId="10" fillId="0" borderId="0" xfId="7" applyFont="1" applyAlignment="1" applyProtection="1">
      <alignment vertical="center"/>
      <protection locked="0"/>
    </xf>
    <xf numFmtId="0" fontId="12" fillId="0" borderId="0" xfId="7" applyFont="1" applyFill="1" applyAlignment="1" applyProtection="1">
      <alignment vertical="center"/>
      <protection locked="0"/>
    </xf>
    <xf numFmtId="0" fontId="22" fillId="0" borderId="0" xfId="7" applyFont="1" applyFill="1" applyAlignment="1" applyProtection="1">
      <alignment vertical="center"/>
      <protection locked="0"/>
    </xf>
    <xf numFmtId="0" fontId="10" fillId="0" borderId="0" xfId="7" applyFont="1" applyProtection="1"/>
    <xf numFmtId="0" fontId="21" fillId="0" borderId="0" xfId="7" applyFont="1" applyProtection="1"/>
    <xf numFmtId="3" fontId="21" fillId="0" borderId="0" xfId="7" applyNumberFormat="1" applyFont="1" applyProtection="1"/>
    <xf numFmtId="0" fontId="22" fillId="0" borderId="0" xfId="7" applyFont="1" applyAlignment="1" applyProtection="1">
      <alignment vertical="center"/>
      <protection locked="0"/>
    </xf>
    <xf numFmtId="0" fontId="12" fillId="6" borderId="0" xfId="7" applyFont="1" applyFill="1" applyBorder="1" applyAlignment="1" applyProtection="1">
      <alignment vertical="center"/>
      <protection locked="0"/>
    </xf>
    <xf numFmtId="0" fontId="10" fillId="6" borderId="0" xfId="7" applyFont="1" applyFill="1" applyAlignment="1" applyProtection="1">
      <alignment vertical="center"/>
      <protection locked="0"/>
    </xf>
    <xf numFmtId="0" fontId="10" fillId="0" borderId="0" xfId="7" applyFont="1" applyFill="1" applyAlignment="1" applyProtection="1">
      <alignment vertical="center"/>
      <protection locked="0"/>
    </xf>
    <xf numFmtId="0" fontId="12" fillId="6" borderId="0" xfId="7" applyFont="1" applyFill="1" applyAlignment="1" applyProtection="1">
      <alignment vertical="center"/>
      <protection locked="0"/>
    </xf>
    <xf numFmtId="0" fontId="23" fillId="0" borderId="0" xfId="7" applyFont="1" applyFill="1" applyAlignment="1" applyProtection="1">
      <alignment vertical="center"/>
      <protection locked="0"/>
    </xf>
    <xf numFmtId="0" fontId="24" fillId="0" borderId="0" xfId="7" applyFont="1" applyFill="1" applyAlignment="1" applyProtection="1">
      <alignment vertical="center"/>
      <protection locked="0"/>
    </xf>
    <xf numFmtId="0" fontId="25" fillId="0" borderId="0" xfId="7" applyFont="1" applyFill="1" applyAlignment="1" applyProtection="1">
      <alignment vertical="center"/>
      <protection locked="0"/>
    </xf>
    <xf numFmtId="0" fontId="25" fillId="0" borderId="0" xfId="7" applyFont="1" applyAlignment="1" applyProtection="1">
      <alignment vertical="center"/>
      <protection locked="0"/>
    </xf>
    <xf numFmtId="0" fontId="15" fillId="0" borderId="0" xfId="7" applyFont="1" applyFill="1" applyAlignment="1" applyProtection="1">
      <alignment vertical="center"/>
      <protection locked="0"/>
    </xf>
    <xf numFmtId="0" fontId="10" fillId="0" borderId="0" xfId="7" applyFont="1" applyAlignment="1" applyProtection="1">
      <alignment horizontal="center" vertical="center"/>
      <protection locked="0"/>
    </xf>
    <xf numFmtId="0" fontId="10" fillId="0" borderId="0" xfId="7" applyFont="1" applyAlignment="1" applyProtection="1">
      <alignment horizontal="center" vertical="center"/>
    </xf>
    <xf numFmtId="0" fontId="10" fillId="0" borderId="0" xfId="7" applyFont="1" applyFill="1" applyProtection="1">
      <protection locked="0"/>
    </xf>
    <xf numFmtId="0" fontId="21" fillId="0" borderId="0" xfId="7" applyFont="1" applyAlignment="1" applyProtection="1">
      <alignment horizontal="center" vertical="center"/>
    </xf>
    <xf numFmtId="0" fontId="12" fillId="0" borderId="13" xfId="7" applyFont="1" applyFill="1" applyBorder="1" applyAlignment="1" applyProtection="1">
      <alignment vertical="center" wrapText="1"/>
      <protection locked="0"/>
    </xf>
    <xf numFmtId="0" fontId="10" fillId="0" borderId="14" xfId="7" applyFont="1" applyFill="1" applyBorder="1" applyAlignment="1" applyProtection="1">
      <alignment horizontal="center" vertical="center"/>
    </xf>
    <xf numFmtId="0" fontId="10" fillId="0" borderId="14" xfId="7" applyFont="1" applyFill="1" applyBorder="1" applyAlignment="1" applyProtection="1">
      <alignment horizontal="center" vertical="center" wrapText="1"/>
    </xf>
    <xf numFmtId="0" fontId="10" fillId="0" borderId="14" xfId="16" applyFont="1" applyFill="1" applyBorder="1" applyAlignment="1" applyProtection="1">
      <alignment vertical="center" wrapText="1"/>
    </xf>
    <xf numFmtId="3" fontId="10" fillId="0" borderId="14" xfId="7" applyNumberFormat="1" applyFont="1" applyFill="1" applyBorder="1" applyAlignment="1" applyProtection="1">
      <alignment vertical="center" wrapText="1"/>
    </xf>
    <xf numFmtId="3" fontId="10" fillId="0" borderId="14" xfId="7" applyNumberFormat="1" applyFont="1" applyFill="1" applyBorder="1" applyAlignment="1" applyProtection="1">
      <alignment vertical="center"/>
    </xf>
    <xf numFmtId="0" fontId="10" fillId="0" borderId="14" xfId="7" applyFont="1" applyFill="1" applyBorder="1" applyAlignment="1" applyProtection="1">
      <alignment vertical="center" wrapText="1"/>
    </xf>
    <xf numFmtId="0" fontId="10" fillId="0" borderId="14" xfId="7" applyFont="1" applyFill="1" applyBorder="1" applyAlignment="1" applyProtection="1">
      <alignment horizontal="right" vertical="center" wrapText="1"/>
    </xf>
    <xf numFmtId="0" fontId="21" fillId="0" borderId="14" xfId="7" applyFont="1" applyFill="1" applyBorder="1" applyAlignment="1" applyProtection="1">
      <alignment horizontal="center" vertical="center" wrapText="1"/>
    </xf>
    <xf numFmtId="3" fontId="22" fillId="0" borderId="14" xfId="7" applyNumberFormat="1" applyFont="1" applyFill="1" applyBorder="1" applyAlignment="1" applyProtection="1">
      <alignment vertical="center"/>
    </xf>
    <xf numFmtId="0" fontId="22" fillId="0" borderId="14" xfId="7" applyFont="1" applyFill="1" applyBorder="1" applyAlignment="1" applyProtection="1">
      <alignment vertical="center" wrapText="1"/>
    </xf>
    <xf numFmtId="0" fontId="26" fillId="0" borderId="14" xfId="7" applyFont="1" applyFill="1" applyBorder="1" applyAlignment="1" applyProtection="1">
      <alignment horizontal="center" vertical="center" wrapText="1"/>
    </xf>
    <xf numFmtId="0" fontId="10" fillId="0" borderId="14" xfId="7" applyFont="1" applyFill="1" applyBorder="1" applyAlignment="1" applyProtection="1">
      <alignment horizontal="left" vertical="center" wrapText="1"/>
    </xf>
    <xf numFmtId="3" fontId="12" fillId="2" borderId="14" xfId="7" applyNumberFormat="1" applyFont="1" applyFill="1" applyBorder="1" applyAlignment="1" applyProtection="1">
      <alignment vertical="center" wrapText="1"/>
    </xf>
    <xf numFmtId="0" fontId="12" fillId="2" borderId="14" xfId="7" applyFont="1" applyFill="1" applyBorder="1" applyAlignment="1" applyProtection="1">
      <alignment vertical="center" wrapText="1"/>
    </xf>
    <xf numFmtId="0" fontId="28" fillId="2" borderId="14" xfId="7" applyFont="1" applyFill="1" applyBorder="1" applyAlignment="1" applyProtection="1">
      <alignment horizontal="center" vertical="center" wrapText="1"/>
    </xf>
    <xf numFmtId="0" fontId="12" fillId="0" borderId="15" xfId="7" applyFont="1" applyFill="1" applyBorder="1" applyAlignment="1" applyProtection="1">
      <alignment vertical="center" wrapText="1"/>
      <protection locked="0"/>
    </xf>
    <xf numFmtId="3" fontId="12" fillId="0" borderId="14" xfId="7" applyNumberFormat="1" applyFont="1" applyFill="1" applyBorder="1" applyAlignment="1" applyProtection="1">
      <alignment vertical="center" wrapText="1"/>
      <protection locked="0"/>
    </xf>
    <xf numFmtId="0" fontId="10" fillId="0" borderId="15" xfId="7" applyFont="1" applyFill="1" applyBorder="1" applyAlignment="1" applyProtection="1">
      <alignment vertical="center" wrapText="1"/>
      <protection locked="0"/>
    </xf>
    <xf numFmtId="0" fontId="10" fillId="0" borderId="14" xfId="7" applyFont="1" applyFill="1" applyBorder="1" applyAlignment="1" applyProtection="1">
      <alignment horizontal="center" vertical="center" wrapText="1"/>
      <protection locked="0"/>
    </xf>
    <xf numFmtId="0" fontId="12" fillId="0" borderId="14" xfId="7" applyFont="1" applyFill="1" applyBorder="1" applyAlignment="1" applyProtection="1">
      <alignment horizontal="center" vertical="center" wrapText="1"/>
      <protection locked="0"/>
    </xf>
    <xf numFmtId="0" fontId="23" fillId="0" borderId="17" xfId="7" applyFont="1" applyFill="1" applyBorder="1" applyAlignment="1" applyProtection="1">
      <alignment horizontal="center" vertical="center" wrapText="1"/>
      <protection locked="0"/>
    </xf>
    <xf numFmtId="0" fontId="10" fillId="7" borderId="14" xfId="7" applyFont="1" applyFill="1" applyBorder="1" applyAlignment="1" applyProtection="1">
      <alignment horizontal="center" vertical="center" wrapText="1"/>
      <protection locked="0"/>
    </xf>
    <xf numFmtId="0" fontId="22" fillId="0" borderId="10" xfId="7" applyFont="1" applyFill="1" applyBorder="1" applyAlignment="1" applyProtection="1">
      <alignment horizontal="center" vertical="center" wrapText="1"/>
      <protection locked="0"/>
    </xf>
    <xf numFmtId="0" fontId="10" fillId="6" borderId="10" xfId="7" applyFont="1" applyFill="1" applyBorder="1" applyAlignment="1" applyProtection="1">
      <alignment horizontal="center" vertical="center" wrapText="1"/>
    </xf>
    <xf numFmtId="3" fontId="10" fillId="6" borderId="14" xfId="7" applyNumberFormat="1" applyFont="1" applyFill="1" applyBorder="1" applyAlignment="1" applyProtection="1">
      <alignment vertical="center"/>
    </xf>
    <xf numFmtId="0" fontId="10" fillId="6" borderId="14" xfId="7" applyFont="1" applyFill="1" applyBorder="1" applyAlignment="1" applyProtection="1">
      <alignment vertical="center" wrapText="1"/>
    </xf>
    <xf numFmtId="0" fontId="10" fillId="6" borderId="14" xfId="7" applyFont="1" applyFill="1" applyBorder="1" applyAlignment="1" applyProtection="1">
      <alignment horizontal="right" vertical="center" wrapText="1"/>
    </xf>
    <xf numFmtId="0" fontId="21" fillId="6" borderId="14" xfId="7" applyFont="1" applyFill="1" applyBorder="1" applyAlignment="1" applyProtection="1">
      <alignment horizontal="center" vertical="center" wrapText="1"/>
    </xf>
    <xf numFmtId="0" fontId="10" fillId="6" borderId="8" xfId="16" applyFont="1" applyFill="1" applyBorder="1" applyAlignment="1" applyProtection="1">
      <alignment vertical="center" wrapText="1"/>
    </xf>
    <xf numFmtId="3" fontId="10" fillId="6" borderId="16" xfId="7" applyNumberFormat="1" applyFont="1" applyFill="1" applyBorder="1" applyAlignment="1" applyProtection="1">
      <alignment vertical="center" wrapText="1"/>
    </xf>
    <xf numFmtId="0" fontId="10" fillId="6" borderId="14" xfId="7" applyFont="1" applyFill="1" applyBorder="1" applyAlignment="1" applyProtection="1">
      <alignment horizontal="center" vertical="center" wrapText="1"/>
    </xf>
    <xf numFmtId="0" fontId="10" fillId="6" borderId="14" xfId="16" applyFont="1" applyFill="1" applyBorder="1" applyAlignment="1" applyProtection="1">
      <alignment vertical="center" wrapText="1"/>
    </xf>
    <xf numFmtId="3" fontId="10" fillId="6" borderId="14" xfId="7" applyNumberFormat="1" applyFont="1" applyFill="1" applyBorder="1" applyAlignment="1" applyProtection="1">
      <alignment vertical="center" wrapText="1"/>
    </xf>
    <xf numFmtId="0" fontId="22" fillId="6" borderId="14" xfId="7" applyFont="1" applyFill="1" applyBorder="1" applyAlignment="1" applyProtection="1">
      <alignment vertical="center" wrapText="1"/>
    </xf>
    <xf numFmtId="0" fontId="22" fillId="6" borderId="14" xfId="7" applyFont="1" applyFill="1" applyBorder="1" applyAlignment="1" applyProtection="1">
      <alignment horizontal="right" vertical="center" wrapText="1"/>
    </xf>
    <xf numFmtId="0" fontId="26" fillId="6" borderId="14" xfId="7" applyFont="1" applyFill="1" applyBorder="1" applyAlignment="1" applyProtection="1">
      <alignment horizontal="center" vertical="center" wrapText="1"/>
    </xf>
    <xf numFmtId="0" fontId="10" fillId="6" borderId="14" xfId="7" applyFont="1" applyFill="1" applyBorder="1" applyAlignment="1" applyProtection="1">
      <alignment horizontal="center" vertical="center" wrapText="1"/>
      <protection locked="0"/>
    </xf>
    <xf numFmtId="0" fontId="10" fillId="6" borderId="14" xfId="7" applyFont="1" applyFill="1" applyBorder="1" applyAlignment="1" applyProtection="1">
      <alignment horizontal="center" vertical="center"/>
    </xf>
    <xf numFmtId="0" fontId="10" fillId="6" borderId="14" xfId="7" applyFont="1" applyFill="1" applyBorder="1" applyAlignment="1" applyProtection="1">
      <alignment horizontal="left" vertical="center" wrapText="1"/>
    </xf>
    <xf numFmtId="3" fontId="22" fillId="6" borderId="14" xfId="7" applyNumberFormat="1" applyFont="1" applyFill="1" applyBorder="1" applyAlignment="1" applyProtection="1">
      <alignment vertical="center" wrapText="1"/>
    </xf>
    <xf numFmtId="3" fontId="12" fillId="6" borderId="14" xfId="7" applyNumberFormat="1" applyFont="1" applyFill="1" applyBorder="1" applyAlignment="1" applyProtection="1">
      <alignment vertical="center" wrapText="1"/>
    </xf>
    <xf numFmtId="0" fontId="12" fillId="6" borderId="14" xfId="7" applyFont="1" applyFill="1" applyBorder="1" applyAlignment="1" applyProtection="1">
      <alignment vertical="center" wrapText="1"/>
    </xf>
    <xf numFmtId="0" fontId="28" fillId="6" borderId="14" xfId="7" applyFont="1" applyFill="1" applyBorder="1" applyAlignment="1" applyProtection="1">
      <alignment horizontal="center" vertical="center" wrapText="1"/>
    </xf>
    <xf numFmtId="0" fontId="10" fillId="6" borderId="10" xfId="7" applyFont="1" applyFill="1" applyBorder="1" applyAlignment="1" applyProtection="1">
      <alignment horizontal="center" vertical="center"/>
    </xf>
    <xf numFmtId="0" fontId="10" fillId="6" borderId="8" xfId="7" applyFont="1" applyFill="1" applyBorder="1" applyAlignment="1" applyProtection="1">
      <alignment horizontal="center" vertical="center"/>
    </xf>
    <xf numFmtId="0" fontId="21" fillId="0" borderId="0" xfId="9" applyFont="1" applyProtection="1"/>
    <xf numFmtId="49" fontId="8" fillId="0" borderId="0" xfId="10" applyNumberFormat="1" applyFont="1" applyAlignment="1">
      <alignment horizontal="center" vertical="center"/>
    </xf>
    <xf numFmtId="0" fontId="8" fillId="0" borderId="0" xfId="10" applyFont="1" applyAlignment="1">
      <alignment horizontal="center" vertical="center"/>
    </xf>
    <xf numFmtId="0" fontId="8" fillId="0" borderId="0" xfId="10" applyFont="1" applyAlignment="1">
      <alignment vertical="center" wrapText="1"/>
    </xf>
    <xf numFmtId="0" fontId="8" fillId="0" borderId="0" xfId="10" applyFont="1"/>
    <xf numFmtId="49" fontId="9" fillId="12" borderId="5" xfId="10" applyNumberFormat="1" applyFont="1" applyFill="1" applyBorder="1" applyAlignment="1">
      <alignment horizontal="center" vertical="center"/>
    </xf>
    <xf numFmtId="0" fontId="9" fillId="12" borderId="5" xfId="10" applyFont="1" applyFill="1" applyBorder="1" applyAlignment="1">
      <alignment horizontal="center" vertical="center"/>
    </xf>
    <xf numFmtId="0" fontId="9" fillId="12" borderId="5" xfId="10" applyFont="1" applyFill="1" applyBorder="1" applyAlignment="1">
      <alignment horizontal="center" vertical="center" wrapText="1"/>
    </xf>
    <xf numFmtId="49" fontId="9" fillId="5" borderId="5" xfId="10" applyNumberFormat="1" applyFont="1" applyFill="1" applyBorder="1" applyAlignment="1">
      <alignment horizontal="center" vertical="center"/>
    </xf>
    <xf numFmtId="0" fontId="8" fillId="0" borderId="0" xfId="10" applyFont="1" applyAlignment="1">
      <alignment vertical="center"/>
    </xf>
    <xf numFmtId="0" fontId="5" fillId="0" borderId="0" xfId="10" applyFont="1" applyAlignment="1">
      <alignment vertical="center"/>
    </xf>
    <xf numFmtId="3" fontId="5" fillId="0" borderId="0" xfId="10" applyNumberFormat="1" applyFont="1" applyAlignment="1">
      <alignment vertical="center"/>
    </xf>
    <xf numFmtId="0" fontId="5" fillId="0" borderId="0" xfId="10" applyFont="1" applyFill="1" applyAlignment="1">
      <alignment vertical="center"/>
    </xf>
    <xf numFmtId="0" fontId="8" fillId="0" borderId="0" xfId="10" applyFont="1" applyFill="1" applyAlignment="1">
      <alignment vertical="center"/>
    </xf>
    <xf numFmtId="0" fontId="22" fillId="0" borderId="24" xfId="7" applyFont="1" applyFill="1" applyBorder="1" applyAlignment="1" applyProtection="1">
      <alignment horizontal="center" vertical="center" wrapText="1"/>
      <protection locked="0"/>
    </xf>
    <xf numFmtId="0" fontId="12" fillId="7" borderId="25" xfId="7" applyFont="1" applyFill="1" applyBorder="1" applyAlignment="1" applyProtection="1">
      <alignment horizontal="center" vertical="center" wrapText="1"/>
      <protection locked="0"/>
    </xf>
    <xf numFmtId="0" fontId="12" fillId="0" borderId="12" xfId="7" applyFont="1" applyFill="1" applyBorder="1" applyAlignment="1" applyProtection="1">
      <alignment vertical="center" wrapText="1"/>
      <protection locked="0"/>
    </xf>
    <xf numFmtId="0" fontId="12" fillId="0" borderId="5" xfId="9" applyFont="1" applyFill="1" applyBorder="1" applyAlignment="1">
      <alignment horizontal="center" vertical="center"/>
    </xf>
    <xf numFmtId="0" fontId="22" fillId="0" borderId="15" xfId="7" applyFont="1" applyFill="1" applyBorder="1" applyAlignment="1" applyProtection="1">
      <alignment vertical="center" wrapText="1"/>
      <protection locked="0"/>
    </xf>
    <xf numFmtId="3" fontId="12" fillId="0" borderId="5" xfId="9" applyNumberFormat="1" applyFont="1" applyFill="1" applyBorder="1" applyAlignment="1"/>
    <xf numFmtId="0" fontId="10" fillId="0" borderId="12" xfId="7" applyFont="1" applyFill="1" applyBorder="1" applyAlignment="1" applyProtection="1">
      <alignment vertical="center" wrapText="1"/>
      <protection locked="0"/>
    </xf>
    <xf numFmtId="3" fontId="12" fillId="8" borderId="14" xfId="7" applyNumberFormat="1" applyFont="1" applyFill="1" applyBorder="1" applyAlignment="1" applyProtection="1">
      <alignment vertical="center" wrapText="1"/>
    </xf>
    <xf numFmtId="3" fontId="12" fillId="8" borderId="14" xfId="7" applyNumberFormat="1" applyFont="1" applyFill="1" applyBorder="1" applyAlignment="1" applyProtection="1">
      <alignment vertical="center"/>
    </xf>
    <xf numFmtId="0" fontId="12" fillId="8" borderId="14" xfId="7" applyFont="1" applyFill="1" applyBorder="1" applyAlignment="1" applyProtection="1">
      <alignment vertical="center" wrapText="1"/>
    </xf>
    <xf numFmtId="3" fontId="12" fillId="8" borderId="14" xfId="7" applyNumberFormat="1" applyFont="1" applyFill="1" applyBorder="1" applyAlignment="1" applyProtection="1">
      <alignment horizontal="right" vertical="center" wrapText="1"/>
    </xf>
    <xf numFmtId="0" fontId="28" fillId="8" borderId="14" xfId="7" applyFont="1" applyFill="1" applyBorder="1" applyAlignment="1" applyProtection="1">
      <alignment horizontal="center" vertical="center" wrapText="1"/>
    </xf>
    <xf numFmtId="0" fontId="29" fillId="8" borderId="14" xfId="7" applyFont="1" applyFill="1" applyBorder="1" applyAlignment="1" applyProtection="1">
      <alignment horizontal="center" vertical="center" wrapText="1"/>
      <protection locked="0"/>
    </xf>
    <xf numFmtId="0" fontId="12" fillId="7" borderId="14" xfId="7" applyFont="1" applyFill="1" applyBorder="1" applyAlignment="1" applyProtection="1">
      <alignment horizontal="center" vertical="center" wrapText="1"/>
      <protection locked="0"/>
    </xf>
    <xf numFmtId="0" fontId="25" fillId="8" borderId="14" xfId="7" applyFont="1" applyFill="1" applyBorder="1" applyAlignment="1" applyProtection="1">
      <alignment vertical="center" wrapText="1"/>
    </xf>
    <xf numFmtId="41" fontId="12" fillId="8" borderId="14" xfId="7" applyNumberFormat="1" applyFont="1" applyFill="1" applyBorder="1" applyAlignment="1" applyProtection="1">
      <alignment horizontal="right" vertical="center" wrapText="1"/>
    </xf>
    <xf numFmtId="0" fontId="27" fillId="8" borderId="14" xfId="7" applyFont="1" applyFill="1" applyBorder="1" applyAlignment="1" applyProtection="1">
      <alignment horizontal="center" vertical="center" wrapText="1"/>
    </xf>
    <xf numFmtId="0" fontId="25" fillId="8" borderId="14" xfId="7" applyFont="1" applyFill="1" applyBorder="1" applyAlignment="1" applyProtection="1">
      <alignment horizontal="center" vertical="center" wrapText="1"/>
      <protection locked="0"/>
    </xf>
    <xf numFmtId="0" fontId="22" fillId="0" borderId="14" xfId="7" applyFont="1" applyFill="1" applyBorder="1" applyAlignment="1" applyProtection="1">
      <alignment horizontal="right" vertical="center" wrapText="1"/>
    </xf>
    <xf numFmtId="0" fontId="10" fillId="0" borderId="14" xfId="16" applyFont="1" applyFill="1" applyBorder="1" applyAlignment="1" applyProtection="1">
      <alignment horizontal="left" vertical="center" wrapText="1"/>
    </xf>
    <xf numFmtId="3" fontId="10" fillId="6" borderId="14" xfId="7" applyNumberFormat="1" applyFont="1" applyFill="1" applyBorder="1" applyAlignment="1" applyProtection="1">
      <alignment horizontal="center" vertical="center"/>
    </xf>
    <xf numFmtId="0" fontId="10" fillId="6" borderId="14" xfId="7" applyNumberFormat="1" applyFont="1" applyFill="1" applyBorder="1" applyAlignment="1" applyProtection="1">
      <alignment horizontal="center" vertical="center"/>
    </xf>
    <xf numFmtId="41" fontId="28" fillId="8" borderId="14" xfId="7" applyNumberFormat="1" applyFont="1" applyFill="1" applyBorder="1" applyAlignment="1" applyProtection="1">
      <alignment horizontal="right" vertical="center" wrapText="1"/>
    </xf>
    <xf numFmtId="0" fontId="26" fillId="8" borderId="14" xfId="7" applyFont="1" applyFill="1" applyBorder="1" applyAlignment="1" applyProtection="1">
      <alignment horizontal="center" vertical="center" wrapText="1"/>
    </xf>
    <xf numFmtId="0" fontId="15" fillId="8" borderId="14" xfId="7" applyFont="1" applyFill="1" applyBorder="1" applyAlignment="1" applyProtection="1">
      <alignment horizontal="center" vertical="center" wrapText="1"/>
      <protection locked="0"/>
    </xf>
    <xf numFmtId="0" fontId="12" fillId="8" borderId="14" xfId="7" applyFont="1" applyFill="1" applyBorder="1" applyAlignment="1" applyProtection="1">
      <alignment horizontal="center" vertical="center" wrapText="1"/>
      <protection locked="0"/>
    </xf>
    <xf numFmtId="3" fontId="10" fillId="0" borderId="14" xfId="7" applyNumberFormat="1" applyFont="1" applyBorder="1" applyAlignment="1" applyProtection="1">
      <alignment vertical="center" wrapText="1"/>
    </xf>
    <xf numFmtId="0" fontId="30" fillId="0" borderId="14" xfId="16" applyFont="1" applyFill="1" applyBorder="1" applyAlignment="1" applyProtection="1">
      <alignment vertical="center" wrapText="1"/>
    </xf>
    <xf numFmtId="0" fontId="23" fillId="0" borderId="14" xfId="7" applyFont="1" applyFill="1" applyBorder="1" applyAlignment="1" applyProtection="1">
      <alignment horizontal="center" vertical="center" wrapText="1"/>
      <protection locked="0"/>
    </xf>
    <xf numFmtId="0" fontId="10" fillId="0" borderId="14" xfId="7" applyFont="1" applyBorder="1" applyAlignment="1" applyProtection="1">
      <alignment horizontal="center" vertical="center" wrapText="1"/>
    </xf>
    <xf numFmtId="0" fontId="10" fillId="0" borderId="14" xfId="7" applyFont="1" applyBorder="1" applyAlignment="1" applyProtection="1">
      <alignment horizontal="left" vertical="center" wrapText="1"/>
    </xf>
    <xf numFmtId="3" fontId="22" fillId="0" borderId="14" xfId="7" applyNumberFormat="1" applyFont="1" applyBorder="1" applyAlignment="1" applyProtection="1">
      <alignment vertical="center" wrapText="1"/>
    </xf>
    <xf numFmtId="0" fontId="22" fillId="0" borderId="14" xfId="7" applyFont="1" applyBorder="1" applyAlignment="1" applyProtection="1">
      <alignment vertical="center" wrapText="1"/>
    </xf>
    <xf numFmtId="0" fontId="26" fillId="0" borderId="14" xfId="7" applyFont="1" applyBorder="1" applyAlignment="1" applyProtection="1">
      <alignment horizontal="center" vertical="center" wrapText="1"/>
    </xf>
    <xf numFmtId="0" fontId="25" fillId="0" borderId="14" xfId="7" applyFont="1" applyFill="1" applyBorder="1" applyAlignment="1" applyProtection="1">
      <alignment horizontal="center" vertical="center" wrapText="1"/>
      <protection locked="0"/>
    </xf>
    <xf numFmtId="0" fontId="12" fillId="0" borderId="14" xfId="7" applyFont="1" applyFill="1" applyBorder="1" applyAlignment="1" applyProtection="1">
      <alignment vertical="center" wrapText="1"/>
      <protection locked="0"/>
    </xf>
    <xf numFmtId="0" fontId="12" fillId="7" borderId="15" xfId="7" applyFont="1" applyFill="1" applyBorder="1" applyAlignment="1" applyProtection="1">
      <alignment horizontal="center" vertical="center" wrapText="1"/>
      <protection locked="0"/>
    </xf>
    <xf numFmtId="0" fontId="12" fillId="2" borderId="15" xfId="7" applyFont="1" applyFill="1" applyBorder="1" applyAlignment="1" applyProtection="1">
      <alignment vertical="center" wrapText="1"/>
      <protection locked="0"/>
    </xf>
    <xf numFmtId="0" fontId="30" fillId="0" borderId="14" xfId="7" applyFont="1" applyFill="1" applyBorder="1" applyAlignment="1" applyProtection="1">
      <alignment horizontal="center" vertical="center"/>
    </xf>
    <xf numFmtId="3" fontId="10" fillId="10" borderId="14" xfId="7" applyNumberFormat="1" applyFont="1" applyFill="1" applyBorder="1" applyAlignment="1" applyProtection="1">
      <alignment vertical="center" wrapText="1"/>
    </xf>
    <xf numFmtId="3" fontId="12" fillId="11" borderId="14" xfId="7" applyNumberFormat="1" applyFont="1" applyFill="1" applyBorder="1" applyAlignment="1" applyProtection="1">
      <alignment vertical="center" wrapText="1"/>
    </xf>
    <xf numFmtId="3" fontId="28" fillId="11" borderId="14" xfId="7" applyNumberFormat="1" applyFont="1" applyFill="1" applyBorder="1" applyAlignment="1" applyProtection="1">
      <alignment horizontal="center" vertical="center" wrapText="1"/>
    </xf>
    <xf numFmtId="4" fontId="8" fillId="0" borderId="0" xfId="10" applyNumberFormat="1" applyFont="1" applyAlignment="1">
      <alignment vertical="center"/>
    </xf>
    <xf numFmtId="4" fontId="9" fillId="12" borderId="5" xfId="10" applyNumberFormat="1" applyFont="1" applyFill="1" applyBorder="1" applyAlignment="1">
      <alignment horizontal="center" vertical="center"/>
    </xf>
    <xf numFmtId="4" fontId="6" fillId="0" borderId="0" xfId="7" applyNumberFormat="1" applyFont="1" applyFill="1"/>
    <xf numFmtId="4" fontId="5" fillId="0" borderId="0" xfId="7" applyNumberFormat="1" applyFont="1" applyFill="1"/>
    <xf numFmtId="0" fontId="10" fillId="0" borderId="14" xfId="7" applyFont="1" applyFill="1" applyBorder="1" applyAlignment="1" applyProtection="1">
      <alignment vertical="center" wrapText="1"/>
      <protection locked="0"/>
    </xf>
    <xf numFmtId="49" fontId="34" fillId="13" borderId="26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9" applyNumberFormat="1" applyFont="1" applyAlignment="1">
      <alignment vertical="center"/>
    </xf>
    <xf numFmtId="1" fontId="12" fillId="8" borderId="14" xfId="7" applyNumberFormat="1" applyFont="1" applyFill="1" applyBorder="1" applyAlignment="1" applyProtection="1">
      <alignment horizontal="right" vertical="center" wrapText="1"/>
    </xf>
    <xf numFmtId="3" fontId="10" fillId="0" borderId="0" xfId="7" applyNumberFormat="1" applyFont="1" applyProtection="1">
      <protection locked="0"/>
    </xf>
    <xf numFmtId="0" fontId="22" fillId="0" borderId="0" xfId="7" applyFont="1" applyFill="1" applyBorder="1" applyAlignment="1" applyProtection="1">
      <alignment vertical="center"/>
      <protection locked="0"/>
    </xf>
    <xf numFmtId="3" fontId="10" fillId="0" borderId="0" xfId="7" applyNumberFormat="1" applyFont="1" applyProtection="1"/>
    <xf numFmtId="0" fontId="10" fillId="0" borderId="5" xfId="0" applyFont="1" applyBorder="1" applyAlignment="1">
      <alignment vertical="center" wrapText="1" readingOrder="1"/>
    </xf>
    <xf numFmtId="0" fontId="10" fillId="0" borderId="5" xfId="0" applyFont="1" applyBorder="1" applyAlignment="1">
      <alignment vertical="center" wrapText="1"/>
    </xf>
    <xf numFmtId="49" fontId="10" fillId="13" borderId="2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14" xfId="7" applyFont="1" applyFill="1" applyBorder="1" applyAlignment="1" applyProtection="1">
      <alignment horizontal="right" vertical="center" wrapText="1"/>
    </xf>
    <xf numFmtId="0" fontId="28" fillId="0" borderId="9" xfId="7" applyFont="1" applyFill="1" applyBorder="1" applyAlignment="1" applyProtection="1">
      <alignment horizontal="center" vertical="center"/>
    </xf>
    <xf numFmtId="0" fontId="12" fillId="0" borderId="9" xfId="7" applyFont="1" applyFill="1" applyBorder="1" applyAlignment="1" applyProtection="1">
      <alignment horizontal="center" vertical="center"/>
    </xf>
    <xf numFmtId="0" fontId="12" fillId="0" borderId="9" xfId="7" applyFont="1" applyFill="1" applyBorder="1" applyAlignment="1" applyProtection="1">
      <alignment horizontal="center" vertical="center"/>
      <protection locked="0"/>
    </xf>
    <xf numFmtId="0" fontId="28" fillId="0" borderId="0" xfId="7" applyFont="1" applyFill="1" applyProtection="1">
      <protection locked="0"/>
    </xf>
    <xf numFmtId="0" fontId="10" fillId="0" borderId="10" xfId="7" applyFont="1" applyFill="1" applyBorder="1" applyAlignment="1" applyProtection="1">
      <alignment horizontal="center" vertical="center"/>
    </xf>
    <xf numFmtId="0" fontId="10" fillId="0" borderId="10" xfId="7" applyFont="1" applyFill="1" applyBorder="1" applyAlignment="1" applyProtection="1">
      <alignment horizontal="center" vertical="center" wrapText="1"/>
    </xf>
    <xf numFmtId="0" fontId="10" fillId="0" borderId="10" xfId="16" applyFont="1" applyFill="1" applyBorder="1" applyAlignment="1" applyProtection="1">
      <alignment vertical="center" wrapText="1"/>
    </xf>
    <xf numFmtId="3" fontId="10" fillId="0" borderId="14" xfId="7" applyNumberFormat="1" applyFont="1" applyFill="1" applyBorder="1" applyAlignment="1" applyProtection="1">
      <alignment horizontal="center" vertical="center"/>
    </xf>
    <xf numFmtId="0" fontId="10" fillId="0" borderId="14" xfId="7" applyNumberFormat="1" applyFont="1" applyFill="1" applyBorder="1" applyAlignment="1" applyProtection="1">
      <alignment horizontal="center" vertical="center"/>
    </xf>
    <xf numFmtId="0" fontId="10" fillId="0" borderId="14" xfId="16" applyFont="1" applyFill="1" applyBorder="1" applyAlignment="1">
      <alignment vertical="center" wrapText="1"/>
    </xf>
    <xf numFmtId="0" fontId="10" fillId="6" borderId="14" xfId="16" applyFont="1" applyFill="1" applyBorder="1" applyAlignment="1">
      <alignment vertical="center" wrapText="1"/>
    </xf>
    <xf numFmtId="0" fontId="10" fillId="0" borderId="1" xfId="7" applyFont="1" applyFill="1" applyBorder="1" applyAlignment="1">
      <alignment vertical="center" wrapText="1"/>
    </xf>
    <xf numFmtId="0" fontId="33" fillId="0" borderId="0" xfId="16" applyFont="1" applyFill="1" applyAlignment="1">
      <alignment horizontal="left" vertical="center" wrapText="1"/>
    </xf>
    <xf numFmtId="0" fontId="33" fillId="0" borderId="14" xfId="16" applyFont="1" applyFill="1" applyBorder="1" applyAlignment="1">
      <alignment horizontal="justify" vertical="center"/>
    </xf>
    <xf numFmtId="0" fontId="34" fillId="0" borderId="0" xfId="16" applyFont="1" applyFill="1" applyAlignment="1">
      <alignment vertical="center" wrapText="1"/>
    </xf>
    <xf numFmtId="2" fontId="33" fillId="0" borderId="0" xfId="16" applyNumberFormat="1" applyFont="1" applyFill="1" applyAlignment="1">
      <alignment vertical="center" wrapText="1"/>
    </xf>
    <xf numFmtId="0" fontId="30" fillId="0" borderId="14" xfId="7" applyFont="1" applyFill="1" applyBorder="1" applyAlignment="1" applyProtection="1">
      <alignment horizontal="center" vertical="center" wrapText="1"/>
    </xf>
    <xf numFmtId="0" fontId="30" fillId="0" borderId="14" xfId="7" applyFont="1" applyFill="1" applyBorder="1" applyAlignment="1" applyProtection="1">
      <alignment horizontal="left" vertical="center" wrapText="1"/>
    </xf>
    <xf numFmtId="3" fontId="30" fillId="0" borderId="14" xfId="7" applyNumberFormat="1" applyFont="1" applyFill="1" applyBorder="1" applyAlignment="1" applyProtection="1">
      <alignment vertical="center" wrapText="1"/>
    </xf>
    <xf numFmtId="3" fontId="30" fillId="0" borderId="14" xfId="7" applyNumberFormat="1" applyFont="1" applyFill="1" applyBorder="1" applyAlignment="1" applyProtection="1">
      <alignment vertical="center"/>
    </xf>
    <xf numFmtId="0" fontId="30" fillId="0" borderId="14" xfId="7" applyFont="1" applyFill="1" applyBorder="1" applyAlignment="1" applyProtection="1">
      <alignment vertical="center" wrapText="1"/>
    </xf>
    <xf numFmtId="0" fontId="38" fillId="0" borderId="14" xfId="7" applyFont="1" applyFill="1" applyBorder="1" applyAlignment="1" applyProtection="1">
      <alignment horizontal="center" vertical="center" wrapText="1"/>
    </xf>
    <xf numFmtId="0" fontId="10" fillId="0" borderId="25" xfId="7" applyFont="1" applyFill="1" applyBorder="1" applyAlignment="1" applyProtection="1">
      <alignment horizontal="center" vertical="center" wrapText="1"/>
      <protection locked="0"/>
    </xf>
    <xf numFmtId="0" fontId="10" fillId="0" borderId="15" xfId="7" applyFont="1" applyFill="1" applyBorder="1" applyAlignment="1" applyProtection="1">
      <alignment horizontal="center" vertical="center" wrapText="1"/>
      <protection locked="0"/>
    </xf>
    <xf numFmtId="0" fontId="10" fillId="0" borderId="14" xfId="7" applyFont="1" applyFill="1" applyBorder="1" applyAlignment="1">
      <alignment vertical="center" wrapText="1"/>
    </xf>
    <xf numFmtId="4" fontId="12" fillId="0" borderId="5" xfId="9" applyNumberFormat="1" applyFont="1" applyBorder="1" applyAlignment="1">
      <alignment horizontal="right"/>
    </xf>
    <xf numFmtId="4" fontId="15" fillId="0" borderId="5" xfId="9" applyNumberFormat="1" applyFont="1" applyFill="1" applyBorder="1" applyAlignment="1">
      <alignment horizontal="right"/>
    </xf>
    <xf numFmtId="4" fontId="15" fillId="0" borderId="5" xfId="9" applyNumberFormat="1" applyFont="1" applyBorder="1" applyAlignment="1">
      <alignment horizontal="right"/>
    </xf>
    <xf numFmtId="4" fontId="12" fillId="0" borderId="5" xfId="9" applyNumberFormat="1" applyFont="1" applyBorder="1" applyAlignment="1"/>
    <xf numFmtId="4" fontId="15" fillId="0" borderId="5" xfId="9" applyNumberFormat="1" applyFont="1" applyFill="1" applyBorder="1" applyAlignment="1"/>
    <xf numFmtId="4" fontId="15" fillId="0" borderId="5" xfId="9" applyNumberFormat="1" applyFont="1" applyBorder="1" applyAlignment="1"/>
    <xf numFmtId="0" fontId="12" fillId="9" borderId="9" xfId="7" applyFont="1" applyFill="1" applyBorder="1" applyAlignment="1" applyProtection="1">
      <alignment horizontal="center" vertical="center" wrapText="1"/>
    </xf>
    <xf numFmtId="0" fontId="8" fillId="0" borderId="0" xfId="11" applyFont="1" applyAlignment="1">
      <alignment horizontal="center" vertical="center"/>
    </xf>
    <xf numFmtId="0" fontId="8" fillId="0" borderId="0" xfId="11" applyFont="1" applyAlignment="1">
      <alignment vertical="center" wrapText="1"/>
    </xf>
    <xf numFmtId="3" fontId="8" fillId="0" borderId="0" xfId="11" applyNumberFormat="1" applyFont="1" applyAlignment="1">
      <alignment vertical="center"/>
    </xf>
    <xf numFmtId="0" fontId="8" fillId="0" borderId="0" xfId="11" applyFont="1"/>
    <xf numFmtId="0" fontId="17" fillId="0" borderId="0" xfId="11" applyFont="1" applyAlignment="1">
      <alignment horizontal="center" vertical="center" wrapText="1"/>
    </xf>
    <xf numFmtId="0" fontId="9" fillId="15" borderId="5" xfId="11" applyFont="1" applyFill="1" applyBorder="1" applyAlignment="1">
      <alignment horizontal="center" vertical="center"/>
    </xf>
    <xf numFmtId="0" fontId="9" fillId="15" borderId="5" xfId="11" applyFont="1" applyFill="1" applyBorder="1" applyAlignment="1">
      <alignment horizontal="center" vertical="center" wrapText="1"/>
    </xf>
    <xf numFmtId="3" fontId="9" fillId="15" borderId="5" xfId="11" applyNumberFormat="1" applyFont="1" applyFill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9" fillId="16" borderId="5" xfId="11" applyFont="1" applyFill="1" applyBorder="1" applyAlignment="1">
      <alignment horizontal="center" vertical="center"/>
    </xf>
    <xf numFmtId="0" fontId="9" fillId="16" borderId="5" xfId="11" applyFont="1" applyFill="1" applyBorder="1" applyAlignment="1">
      <alignment vertical="center" wrapText="1"/>
    </xf>
    <xf numFmtId="3" fontId="9" fillId="16" borderId="5" xfId="11" applyNumberFormat="1" applyFont="1" applyFill="1" applyBorder="1" applyAlignment="1">
      <alignment vertical="center"/>
    </xf>
    <xf numFmtId="0" fontId="8" fillId="5" borderId="5" xfId="11" applyFont="1" applyFill="1" applyBorder="1" applyAlignment="1">
      <alignment horizontal="center" vertical="center"/>
    </xf>
    <xf numFmtId="0" fontId="8" fillId="5" borderId="5" xfId="11" applyFont="1" applyFill="1" applyBorder="1" applyAlignment="1">
      <alignment vertical="center" wrapText="1"/>
    </xf>
    <xf numFmtId="3" fontId="8" fillId="5" borderId="5" xfId="11" applyNumberFormat="1" applyFont="1" applyFill="1" applyBorder="1" applyAlignment="1">
      <alignment vertical="center"/>
    </xf>
    <xf numFmtId="0" fontId="8" fillId="0" borderId="0" xfId="11" applyFont="1" applyAlignment="1">
      <alignment vertical="center"/>
    </xf>
    <xf numFmtId="0" fontId="5" fillId="0" borderId="5" xfId="11" applyFont="1" applyBorder="1" applyAlignment="1">
      <alignment horizontal="center" vertical="center"/>
    </xf>
    <xf numFmtId="0" fontId="5" fillId="0" borderId="5" xfId="11" applyFont="1" applyBorder="1" applyAlignment="1">
      <alignment vertical="center" wrapText="1"/>
    </xf>
    <xf numFmtId="3" fontId="5" fillId="0" borderId="5" xfId="11" applyNumberFormat="1" applyFont="1" applyBorder="1" applyAlignment="1">
      <alignment vertical="center"/>
    </xf>
    <xf numFmtId="0" fontId="5" fillId="0" borderId="0" xfId="11" applyFont="1" applyAlignment="1">
      <alignment vertical="center"/>
    </xf>
    <xf numFmtId="0" fontId="8" fillId="0" borderId="5" xfId="11" applyFont="1" applyFill="1" applyBorder="1" applyAlignment="1">
      <alignment horizontal="center" vertical="center"/>
    </xf>
    <xf numFmtId="0" fontId="5" fillId="0" borderId="5" xfId="11" applyFont="1" applyFill="1" applyBorder="1" applyAlignment="1">
      <alignment vertical="center" wrapText="1"/>
    </xf>
    <xf numFmtId="3" fontId="8" fillId="0" borderId="5" xfId="11" applyNumberFormat="1" applyFont="1" applyFill="1" applyBorder="1" applyAlignment="1">
      <alignment vertical="center"/>
    </xf>
    <xf numFmtId="0" fontId="8" fillId="0" borderId="0" xfId="11" applyFont="1" applyFill="1" applyAlignment="1">
      <alignment vertical="center"/>
    </xf>
    <xf numFmtId="0" fontId="8" fillId="0" borderId="5" xfId="11" applyFont="1" applyBorder="1" applyAlignment="1">
      <alignment horizontal="center" vertical="center"/>
    </xf>
    <xf numFmtId="0" fontId="8" fillId="0" borderId="5" xfId="11" applyFont="1" applyBorder="1" applyAlignment="1">
      <alignment vertical="center" wrapText="1"/>
    </xf>
    <xf numFmtId="3" fontId="8" fillId="0" borderId="5" xfId="11" applyNumberFormat="1" applyFont="1" applyBorder="1" applyAlignment="1">
      <alignment vertical="center"/>
    </xf>
    <xf numFmtId="0" fontId="8" fillId="0" borderId="5" xfId="11" applyFont="1" applyFill="1" applyBorder="1" applyAlignment="1">
      <alignment vertical="center"/>
    </xf>
    <xf numFmtId="3" fontId="9" fillId="15" borderId="5" xfId="11" applyNumberFormat="1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5" fillId="0" borderId="0" xfId="7" applyFont="1" applyAlignment="1"/>
    <xf numFmtId="0" fontId="11" fillId="0" borderId="0" xfId="7" applyFont="1" applyAlignment="1">
      <alignment vertical="center" wrapText="1"/>
    </xf>
    <xf numFmtId="0" fontId="14" fillId="0" borderId="0" xfId="7" applyFont="1"/>
    <xf numFmtId="0" fontId="6" fillId="2" borderId="5" xfId="7" applyFont="1" applyFill="1" applyBorder="1" applyAlignment="1">
      <alignment horizontal="center" vertical="center"/>
    </xf>
    <xf numFmtId="0" fontId="43" fillId="17" borderId="5" xfId="7" applyFont="1" applyFill="1" applyBorder="1" applyAlignment="1">
      <alignment horizontal="center" vertical="center"/>
    </xf>
    <xf numFmtId="0" fontId="43" fillId="0" borderId="0" xfId="7" applyFont="1"/>
    <xf numFmtId="0" fontId="6" fillId="3" borderId="5" xfId="7" applyFont="1" applyFill="1" applyBorder="1" applyAlignment="1">
      <alignment horizontal="center" vertical="center"/>
    </xf>
    <xf numFmtId="0" fontId="5" fillId="3" borderId="5" xfId="7" applyFont="1" applyFill="1" applyBorder="1" applyAlignment="1">
      <alignment horizontal="center" vertical="center"/>
    </xf>
    <xf numFmtId="0" fontId="5" fillId="0" borderId="5" xfId="7" applyFont="1" applyBorder="1" applyAlignment="1">
      <alignment horizontal="center" vertical="center" wrapText="1"/>
    </xf>
    <xf numFmtId="0" fontId="5" fillId="0" borderId="5" xfId="7" applyFont="1" applyFill="1" applyBorder="1" applyAlignment="1">
      <alignment horizontal="center" vertical="center" wrapText="1"/>
    </xf>
    <xf numFmtId="0" fontId="44" fillId="0" borderId="5" xfId="7" applyFont="1" applyFill="1" applyBorder="1" applyAlignment="1">
      <alignment horizontal="center" vertical="center"/>
    </xf>
    <xf numFmtId="3" fontId="5" fillId="0" borderId="5" xfId="7" applyNumberFormat="1" applyFont="1" applyFill="1" applyBorder="1" applyAlignment="1">
      <alignment horizontal="right" vertical="center"/>
    </xf>
    <xf numFmtId="0" fontId="5" fillId="0" borderId="0" xfId="7" applyFont="1" applyFill="1" applyAlignment="1">
      <alignment vertical="center"/>
    </xf>
    <xf numFmtId="0" fontId="5" fillId="0" borderId="0" xfId="7" applyFont="1" applyAlignment="1">
      <alignment vertical="center"/>
    </xf>
    <xf numFmtId="0" fontId="5" fillId="0" borderId="5" xfId="7" applyFont="1" applyBorder="1" applyAlignment="1">
      <alignment horizontal="center" vertical="center"/>
    </xf>
    <xf numFmtId="0" fontId="5" fillId="0" borderId="5" xfId="7" applyFont="1" applyFill="1" applyBorder="1" applyAlignment="1">
      <alignment horizontal="center" vertical="center"/>
    </xf>
    <xf numFmtId="0" fontId="44" fillId="0" borderId="5" xfId="7" applyFont="1" applyFill="1" applyBorder="1" applyAlignment="1">
      <alignment vertical="center"/>
    </xf>
    <xf numFmtId="3" fontId="5" fillId="0" borderId="5" xfId="7" applyNumberFormat="1" applyFont="1" applyFill="1" applyBorder="1" applyAlignment="1">
      <alignment vertical="center"/>
    </xf>
    <xf numFmtId="0" fontId="42" fillId="0" borderId="5" xfId="7" applyFont="1" applyBorder="1" applyAlignment="1">
      <alignment horizontal="center" vertical="center"/>
    </xf>
    <xf numFmtId="0" fontId="42" fillId="0" borderId="5" xfId="7" applyFont="1" applyFill="1" applyBorder="1" applyAlignment="1">
      <alignment horizontal="center" vertical="center"/>
    </xf>
    <xf numFmtId="0" fontId="42" fillId="0" borderId="0" xfId="7" applyFont="1" applyFill="1" applyAlignment="1">
      <alignment vertical="center"/>
    </xf>
    <xf numFmtId="0" fontId="42" fillId="0" borderId="0" xfId="7" applyFont="1" applyAlignment="1">
      <alignment vertical="center"/>
    </xf>
    <xf numFmtId="0" fontId="5" fillId="0" borderId="5" xfId="7" applyFont="1" applyBorder="1" applyAlignment="1">
      <alignment horizontal="left" vertical="center" wrapText="1"/>
    </xf>
    <xf numFmtId="0" fontId="5" fillId="0" borderId="5" xfId="7" applyFont="1" applyBorder="1" applyAlignment="1">
      <alignment vertical="center" wrapText="1"/>
    </xf>
    <xf numFmtId="0" fontId="44" fillId="0" borderId="5" xfId="7" applyFont="1" applyFill="1" applyBorder="1" applyAlignment="1">
      <alignment vertical="center" wrapText="1"/>
    </xf>
    <xf numFmtId="3" fontId="5" fillId="0" borderId="5" xfId="7" applyNumberFormat="1" applyFont="1" applyFill="1" applyBorder="1" applyAlignment="1">
      <alignment horizontal="right" vertical="center" wrapText="1"/>
    </xf>
    <xf numFmtId="0" fontId="5" fillId="0" borderId="0" xfId="7" applyFont="1" applyFill="1" applyAlignment="1">
      <alignment vertical="center" wrapText="1"/>
    </xf>
    <xf numFmtId="0" fontId="5" fillId="0" borderId="0" xfId="7" applyFont="1" applyAlignment="1">
      <alignment vertical="center" wrapText="1"/>
    </xf>
    <xf numFmtId="0" fontId="42" fillId="0" borderId="5" xfId="7" applyFont="1" applyBorder="1" applyAlignment="1">
      <alignment vertical="center" wrapText="1"/>
    </xf>
    <xf numFmtId="3" fontId="6" fillId="2" borderId="5" xfId="7" applyNumberFormat="1" applyFont="1" applyFill="1" applyBorder="1" applyAlignment="1">
      <alignment vertical="center"/>
    </xf>
    <xf numFmtId="0" fontId="6" fillId="0" borderId="0" xfId="7" applyFont="1" applyAlignment="1">
      <alignment vertical="center"/>
    </xf>
    <xf numFmtId="3" fontId="6" fillId="0" borderId="0" xfId="7" applyNumberFormat="1" applyFont="1" applyAlignment="1">
      <alignment vertical="center"/>
    </xf>
    <xf numFmtId="0" fontId="6" fillId="0" borderId="0" xfId="7" applyFont="1" applyAlignment="1">
      <alignment horizontal="center" vertical="center"/>
    </xf>
    <xf numFmtId="49" fontId="5" fillId="0" borderId="5" xfId="7" applyNumberFormat="1" applyFont="1" applyBorder="1" applyAlignment="1">
      <alignment horizontal="center" vertical="center"/>
    </xf>
    <xf numFmtId="49" fontId="5" fillId="0" borderId="5" xfId="7" applyNumberFormat="1" applyFont="1" applyFill="1" applyBorder="1" applyAlignment="1">
      <alignment horizontal="center" vertical="center"/>
    </xf>
    <xf numFmtId="3" fontId="5" fillId="0" borderId="0" xfId="7" applyNumberFormat="1" applyFont="1" applyAlignment="1">
      <alignment vertical="center"/>
    </xf>
    <xf numFmtId="3" fontId="5" fillId="0" borderId="5" xfId="7" applyNumberFormat="1" applyFont="1" applyFill="1" applyBorder="1" applyAlignment="1">
      <alignment vertical="center" wrapText="1"/>
    </xf>
    <xf numFmtId="3" fontId="44" fillId="0" borderId="5" xfId="7" applyNumberFormat="1" applyFont="1" applyFill="1" applyBorder="1" applyAlignment="1">
      <alignment vertical="center" wrapText="1"/>
    </xf>
    <xf numFmtId="0" fontId="5" fillId="0" borderId="5" xfId="7" applyFont="1" applyFill="1" applyBorder="1" applyAlignment="1">
      <alignment vertical="center" wrapText="1"/>
    </xf>
    <xf numFmtId="3" fontId="5" fillId="0" borderId="0" xfId="7" applyNumberFormat="1" applyFont="1" applyFill="1" applyAlignment="1">
      <alignment vertical="center"/>
    </xf>
    <xf numFmtId="3" fontId="11" fillId="18" borderId="5" xfId="7" applyNumberFormat="1" applyFont="1" applyFill="1" applyBorder="1" applyAlignment="1">
      <alignment horizontal="right"/>
    </xf>
    <xf numFmtId="0" fontId="46" fillId="0" borderId="0" xfId="7" applyFont="1"/>
    <xf numFmtId="3" fontId="5" fillId="0" borderId="0" xfId="7" applyNumberFormat="1" applyFont="1" applyFill="1" applyAlignment="1">
      <alignment vertical="center" wrapText="1"/>
    </xf>
    <xf numFmtId="3" fontId="44" fillId="0" borderId="5" xfId="7" applyNumberFormat="1" applyFont="1" applyFill="1" applyBorder="1" applyAlignment="1">
      <alignment horizontal="right" vertical="center" wrapText="1"/>
    </xf>
    <xf numFmtId="3" fontId="44" fillId="0" borderId="5" xfId="7" applyNumberFormat="1" applyFont="1" applyFill="1" applyBorder="1" applyAlignment="1">
      <alignment vertical="center"/>
    </xf>
    <xf numFmtId="1" fontId="44" fillId="0" borderId="5" xfId="7" applyNumberFormat="1" applyFont="1" applyFill="1" applyBorder="1" applyAlignment="1">
      <alignment vertical="center" wrapText="1"/>
    </xf>
    <xf numFmtId="0" fontId="36" fillId="14" borderId="27" xfId="19" applyFont="1" applyFill="1" applyBorder="1" applyAlignment="1">
      <alignment horizontal="center" vertical="center" wrapText="1"/>
    </xf>
    <xf numFmtId="0" fontId="36" fillId="14" borderId="27" xfId="19" applyFont="1" applyFill="1" applyBorder="1" applyAlignment="1">
      <alignment horizontal="left" vertical="center" wrapText="1"/>
    </xf>
    <xf numFmtId="166" fontId="36" fillId="14" borderId="27" xfId="19" applyNumberFormat="1" applyFont="1" applyFill="1" applyBorder="1" applyAlignment="1">
      <alignment horizontal="right" vertical="center" wrapText="1"/>
    </xf>
    <xf numFmtId="0" fontId="37" fillId="14" borderId="27" xfId="19" applyFont="1" applyFill="1" applyBorder="1" applyAlignment="1">
      <alignment horizontal="center" vertical="center" wrapText="1"/>
    </xf>
    <xf numFmtId="0" fontId="36" fillId="3" borderId="27" xfId="19" applyFont="1" applyFill="1" applyBorder="1" applyAlignment="1">
      <alignment horizontal="center" vertical="center" wrapText="1"/>
    </xf>
    <xf numFmtId="0" fontId="36" fillId="3" borderId="27" xfId="19" applyFont="1" applyFill="1" applyBorder="1" applyAlignment="1">
      <alignment horizontal="left" vertical="center" wrapText="1"/>
    </xf>
    <xf numFmtId="166" fontId="36" fillId="3" borderId="27" xfId="19" applyNumberFormat="1" applyFont="1" applyFill="1" applyBorder="1" applyAlignment="1">
      <alignment horizontal="right" vertical="center" wrapText="1"/>
    </xf>
    <xf numFmtId="166" fontId="37" fillId="12" borderId="27" xfId="19" applyNumberFormat="1" applyFont="1" applyFill="1" applyBorder="1" applyAlignment="1">
      <alignment horizontal="right" vertical="center" wrapText="1"/>
    </xf>
    <xf numFmtId="0" fontId="37" fillId="3" borderId="27" xfId="19" applyFont="1" applyFill="1" applyBorder="1" applyAlignment="1">
      <alignment horizontal="center" vertical="center" wrapText="1"/>
    </xf>
    <xf numFmtId="0" fontId="37" fillId="5" borderId="27" xfId="19" applyFont="1" applyFill="1" applyBorder="1" applyAlignment="1">
      <alignment horizontal="center" vertical="center" wrapText="1"/>
    </xf>
    <xf numFmtId="0" fontId="37" fillId="5" borderId="27" xfId="19" applyFont="1" applyFill="1" applyBorder="1" applyAlignment="1">
      <alignment horizontal="left" vertical="center" wrapText="1"/>
    </xf>
    <xf numFmtId="166" fontId="37" fillId="5" borderId="27" xfId="19" applyNumberFormat="1" applyFont="1" applyFill="1" applyBorder="1" applyAlignment="1">
      <alignment horizontal="right" vertical="center" wrapText="1"/>
    </xf>
    <xf numFmtId="3" fontId="10" fillId="0" borderId="0" xfId="7" applyNumberFormat="1" applyFont="1" applyFill="1" applyAlignment="1" applyProtection="1">
      <alignment vertical="center"/>
      <protection locked="0"/>
    </xf>
    <xf numFmtId="3" fontId="25" fillId="0" borderId="0" xfId="7" applyNumberFormat="1" applyFont="1" applyFill="1" applyAlignment="1" applyProtection="1">
      <alignment vertical="center"/>
      <protection locked="0"/>
    </xf>
    <xf numFmtId="3" fontId="12" fillId="6" borderId="0" xfId="7" applyNumberFormat="1" applyFont="1" applyFill="1" applyAlignment="1" applyProtection="1">
      <alignment vertical="center"/>
      <protection locked="0"/>
    </xf>
    <xf numFmtId="0" fontId="8" fillId="0" borderId="0" xfId="2" applyFont="1"/>
    <xf numFmtId="0" fontId="9" fillId="12" borderId="5" xfId="2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9" fillId="5" borderId="5" xfId="2" applyFont="1" applyFill="1" applyBorder="1" applyAlignment="1">
      <alignment horizontal="center" vertical="center"/>
    </xf>
    <xf numFmtId="0" fontId="9" fillId="5" borderId="5" xfId="2" applyFont="1" applyFill="1" applyBorder="1" applyAlignment="1">
      <alignment vertical="center" wrapText="1"/>
    </xf>
    <xf numFmtId="3" fontId="9" fillId="5" borderId="5" xfId="2" applyNumberFormat="1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vertical="center" wrapText="1"/>
    </xf>
    <xf numFmtId="3" fontId="8" fillId="3" borderId="5" xfId="2" applyNumberFormat="1" applyFont="1" applyFill="1" applyBorder="1" applyAlignment="1">
      <alignment vertical="center"/>
    </xf>
    <xf numFmtId="0" fontId="8" fillId="0" borderId="5" xfId="2" applyFont="1" applyBorder="1" applyAlignment="1">
      <alignment horizontal="center" vertical="center"/>
    </xf>
    <xf numFmtId="0" fontId="8" fillId="0" borderId="5" xfId="2" applyFont="1" applyBorder="1" applyAlignment="1">
      <alignment vertical="center" wrapText="1"/>
    </xf>
    <xf numFmtId="3" fontId="8" fillId="0" borderId="5" xfId="2" applyNumberFormat="1" applyFont="1" applyBorder="1" applyAlignment="1">
      <alignment vertical="center"/>
    </xf>
    <xf numFmtId="0" fontId="8" fillId="3" borderId="5" xfId="2" applyFont="1" applyFill="1" applyBorder="1" applyAlignment="1">
      <alignment horizontal="left" vertical="center"/>
    </xf>
    <xf numFmtId="3" fontId="8" fillId="3" borderId="5" xfId="2" applyNumberFormat="1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vertical="center" wrapText="1"/>
    </xf>
    <xf numFmtId="3" fontId="8" fillId="0" borderId="5" xfId="2" applyNumberFormat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5" xfId="10" applyFont="1" applyFill="1" applyBorder="1" applyAlignment="1">
      <alignment vertical="center" wrapText="1"/>
    </xf>
    <xf numFmtId="0" fontId="8" fillId="0" borderId="5" xfId="10" applyFont="1" applyBorder="1" applyAlignment="1">
      <alignment vertical="center" wrapText="1"/>
    </xf>
    <xf numFmtId="3" fontId="9" fillId="12" borderId="5" xfId="2" applyNumberFormat="1" applyFont="1" applyFill="1" applyBorder="1" applyAlignment="1">
      <alignment vertical="center"/>
    </xf>
    <xf numFmtId="0" fontId="8" fillId="0" borderId="0" xfId="2" applyFont="1" applyAlignment="1">
      <alignment horizontal="center"/>
    </xf>
    <xf numFmtId="0" fontId="49" fillId="0" borderId="0" xfId="11" applyFont="1" applyAlignment="1">
      <alignment vertical="center"/>
    </xf>
    <xf numFmtId="0" fontId="49" fillId="5" borderId="5" xfId="11" applyFont="1" applyFill="1" applyBorder="1" applyAlignment="1">
      <alignment horizontal="center" vertical="center"/>
    </xf>
    <xf numFmtId="0" fontId="49" fillId="5" borderId="5" xfId="11" applyFont="1" applyFill="1" applyBorder="1" applyAlignment="1">
      <alignment horizontal="left" vertical="center"/>
    </xf>
    <xf numFmtId="3" fontId="49" fillId="5" borderId="5" xfId="11" applyNumberFormat="1" applyFont="1" applyFill="1" applyBorder="1" applyAlignment="1">
      <alignment horizontal="right" vertical="center"/>
    </xf>
    <xf numFmtId="0" fontId="49" fillId="0" borderId="0" xfId="11" applyFont="1" applyFill="1" applyAlignment="1">
      <alignment vertical="center"/>
    </xf>
    <xf numFmtId="0" fontId="49" fillId="0" borderId="5" xfId="11" applyFont="1" applyFill="1" applyBorder="1" applyAlignment="1">
      <alignment horizontal="center" vertical="center"/>
    </xf>
    <xf numFmtId="0" fontId="42" fillId="0" borderId="5" xfId="11" applyFont="1" applyFill="1" applyBorder="1" applyAlignment="1">
      <alignment vertical="center" wrapText="1"/>
    </xf>
    <xf numFmtId="3" fontId="49" fillId="0" borderId="5" xfId="11" applyNumberFormat="1" applyFont="1" applyFill="1" applyBorder="1" applyAlignment="1">
      <alignment vertical="center"/>
    </xf>
    <xf numFmtId="0" fontId="45" fillId="0" borderId="5" xfId="7" applyFont="1" applyFill="1" applyBorder="1" applyAlignment="1">
      <alignment vertical="center"/>
    </xf>
    <xf numFmtId="3" fontId="42" fillId="0" borderId="5" xfId="7" applyNumberFormat="1" applyFont="1" applyFill="1" applyBorder="1" applyAlignment="1">
      <alignment vertical="center"/>
    </xf>
    <xf numFmtId="0" fontId="49" fillId="3" borderId="5" xfId="2" applyFont="1" applyFill="1" applyBorder="1" applyAlignment="1">
      <alignment horizontal="center" vertical="center"/>
    </xf>
    <xf numFmtId="0" fontId="49" fillId="3" borderId="5" xfId="10" applyFont="1" applyFill="1" applyBorder="1" applyAlignment="1">
      <alignment vertical="center" wrapText="1"/>
    </xf>
    <xf numFmtId="3" fontId="49" fillId="3" borderId="5" xfId="2" applyNumberFormat="1" applyFont="1" applyFill="1" applyBorder="1" applyAlignment="1">
      <alignment vertical="center"/>
    </xf>
    <xf numFmtId="0" fontId="49" fillId="0" borderId="0" xfId="2" applyFont="1" applyFill="1" applyAlignment="1">
      <alignment vertical="center"/>
    </xf>
    <xf numFmtId="0" fontId="24" fillId="0" borderId="15" xfId="7" applyFont="1" applyFill="1" applyBorder="1" applyAlignment="1" applyProtection="1">
      <alignment vertical="center" wrapText="1"/>
      <protection locked="0"/>
    </xf>
    <xf numFmtId="4" fontId="10" fillId="0" borderId="0" xfId="7" applyNumberFormat="1" applyFont="1" applyFill="1" applyAlignment="1" applyProtection="1">
      <alignment vertical="center"/>
      <protection locked="0"/>
    </xf>
    <xf numFmtId="0" fontId="23" fillId="19" borderId="14" xfId="7" applyFont="1" applyFill="1" applyBorder="1" applyAlignment="1" applyProtection="1">
      <alignment horizontal="center" vertical="center"/>
    </xf>
    <xf numFmtId="0" fontId="23" fillId="19" borderId="14" xfId="7" applyFont="1" applyFill="1" applyBorder="1" applyAlignment="1" applyProtection="1">
      <alignment horizontal="center" vertical="center" wrapText="1"/>
    </xf>
    <xf numFmtId="0" fontId="23" fillId="19" borderId="14" xfId="7" applyFont="1" applyFill="1" applyBorder="1" applyAlignment="1" applyProtection="1">
      <alignment vertical="center" wrapText="1"/>
    </xf>
    <xf numFmtId="3" fontId="23" fillId="19" borderId="14" xfId="7" applyNumberFormat="1" applyFont="1" applyFill="1" applyBorder="1" applyAlignment="1" applyProtection="1">
      <alignment vertical="center" wrapText="1"/>
    </xf>
    <xf numFmtId="0" fontId="23" fillId="19" borderId="14" xfId="7" applyFont="1" applyFill="1" applyBorder="1" applyAlignment="1" applyProtection="1">
      <alignment horizontal="right" vertical="center" wrapText="1"/>
    </xf>
    <xf numFmtId="0" fontId="35" fillId="19" borderId="14" xfId="7" applyFont="1" applyFill="1" applyBorder="1" applyAlignment="1" applyProtection="1">
      <alignment horizontal="center" vertical="center" wrapText="1"/>
    </xf>
    <xf numFmtId="0" fontId="41" fillId="19" borderId="14" xfId="7" applyFont="1" applyFill="1" applyBorder="1" applyAlignment="1" applyProtection="1">
      <alignment horizontal="center" vertical="center"/>
    </xf>
    <xf numFmtId="0" fontId="24" fillId="19" borderId="14" xfId="7" applyFont="1" applyFill="1" applyBorder="1" applyAlignment="1" applyProtection="1">
      <alignment vertical="center" wrapText="1"/>
    </xf>
    <xf numFmtId="0" fontId="40" fillId="19" borderId="14" xfId="7" applyFont="1" applyFill="1" applyBorder="1" applyAlignment="1" applyProtection="1">
      <alignment horizontal="center" vertical="center" wrapText="1"/>
    </xf>
    <xf numFmtId="0" fontId="23" fillId="19" borderId="10" xfId="7" applyFont="1" applyFill="1" applyBorder="1" applyAlignment="1" applyProtection="1">
      <alignment horizontal="center" vertical="center" wrapText="1"/>
    </xf>
    <xf numFmtId="0" fontId="23" fillId="19" borderId="0" xfId="16" applyFont="1" applyFill="1" applyAlignment="1">
      <alignment horizontal="left" vertical="center" wrapText="1"/>
    </xf>
    <xf numFmtId="0" fontId="23" fillId="19" borderId="8" xfId="7" applyFont="1" applyFill="1" applyBorder="1" applyAlignment="1" applyProtection="1">
      <alignment horizontal="center" vertical="center"/>
    </xf>
    <xf numFmtId="0" fontId="23" fillId="19" borderId="21" xfId="7" applyFont="1" applyFill="1" applyBorder="1" applyAlignment="1" applyProtection="1">
      <alignment horizontal="center" vertical="center" wrapText="1"/>
    </xf>
    <xf numFmtId="0" fontId="23" fillId="19" borderId="22" xfId="7" applyFont="1" applyFill="1" applyBorder="1" applyAlignment="1" applyProtection="1">
      <alignment horizontal="center" vertical="center" wrapText="1"/>
    </xf>
    <xf numFmtId="0" fontId="23" fillId="19" borderId="23" xfId="7" applyFont="1" applyFill="1" applyBorder="1" applyAlignment="1" applyProtection="1">
      <alignment horizontal="center" vertical="center" wrapText="1"/>
    </xf>
    <xf numFmtId="0" fontId="23" fillId="19" borderId="8" xfId="16" applyFont="1" applyFill="1" applyBorder="1" applyAlignment="1" applyProtection="1">
      <alignment vertical="center" wrapText="1"/>
    </xf>
    <xf numFmtId="3" fontId="23" fillId="19" borderId="16" xfId="7" applyNumberFormat="1" applyFont="1" applyFill="1" applyBorder="1" applyAlignment="1" applyProtection="1">
      <alignment vertical="center" wrapText="1"/>
    </xf>
    <xf numFmtId="3" fontId="23" fillId="19" borderId="14" xfId="7" applyNumberFormat="1" applyFont="1" applyFill="1" applyBorder="1" applyAlignment="1" applyProtection="1">
      <alignment vertical="center"/>
    </xf>
    <xf numFmtId="0" fontId="23" fillId="19" borderId="14" xfId="16" applyFont="1" applyFill="1" applyBorder="1" applyAlignment="1" applyProtection="1">
      <alignment vertical="center" wrapText="1"/>
    </xf>
    <xf numFmtId="3" fontId="24" fillId="19" borderId="14" xfId="7" applyNumberFormat="1" applyFont="1" applyFill="1" applyBorder="1" applyAlignment="1" applyProtection="1">
      <alignment vertical="center"/>
    </xf>
    <xf numFmtId="3" fontId="23" fillId="19" borderId="14" xfId="7" applyNumberFormat="1" applyFont="1" applyFill="1" applyBorder="1" applyAlignment="1" applyProtection="1">
      <alignment horizontal="center" vertical="center"/>
    </xf>
    <xf numFmtId="0" fontId="23" fillId="19" borderId="14" xfId="7" applyNumberFormat="1" applyFont="1" applyFill="1" applyBorder="1" applyAlignment="1" applyProtection="1">
      <alignment horizontal="center" vertical="center"/>
    </xf>
    <xf numFmtId="0" fontId="23" fillId="19" borderId="14" xfId="16" applyFont="1" applyFill="1" applyBorder="1" applyAlignment="1">
      <alignment vertical="center" wrapText="1"/>
    </xf>
    <xf numFmtId="3" fontId="23" fillId="19" borderId="14" xfId="7" applyNumberFormat="1" applyFont="1" applyFill="1" applyBorder="1" applyAlignment="1" applyProtection="1">
      <alignment horizontal="right" vertical="center" wrapText="1"/>
    </xf>
    <xf numFmtId="0" fontId="23" fillId="19" borderId="14" xfId="7" applyFont="1" applyFill="1" applyBorder="1" applyAlignment="1" applyProtection="1">
      <alignment horizontal="left" vertical="center" wrapText="1"/>
    </xf>
    <xf numFmtId="0" fontId="41" fillId="19" borderId="14" xfId="16" applyFont="1" applyFill="1" applyBorder="1" applyAlignment="1" applyProtection="1">
      <alignment vertical="center" wrapText="1"/>
    </xf>
    <xf numFmtId="0" fontId="41" fillId="19" borderId="14" xfId="7" applyFont="1" applyFill="1" applyBorder="1" applyAlignment="1" applyProtection="1">
      <alignment horizontal="center" vertical="center" wrapText="1"/>
    </xf>
    <xf numFmtId="0" fontId="41" fillId="19" borderId="14" xfId="7" applyFont="1" applyFill="1" applyBorder="1" applyAlignment="1" applyProtection="1">
      <alignment horizontal="left" vertical="center" wrapText="1"/>
    </xf>
    <xf numFmtId="3" fontId="41" fillId="19" borderId="14" xfId="7" applyNumberFormat="1" applyFont="1" applyFill="1" applyBorder="1" applyAlignment="1" applyProtection="1">
      <alignment vertical="center" wrapText="1"/>
    </xf>
    <xf numFmtId="3" fontId="41" fillId="19" borderId="14" xfId="7" applyNumberFormat="1" applyFont="1" applyFill="1" applyBorder="1" applyAlignment="1" applyProtection="1">
      <alignment vertical="center"/>
    </xf>
    <xf numFmtId="0" fontId="41" fillId="19" borderId="14" xfId="7" applyFont="1" applyFill="1" applyBorder="1" applyAlignment="1" applyProtection="1">
      <alignment vertical="center" wrapText="1"/>
    </xf>
    <xf numFmtId="0" fontId="41" fillId="19" borderId="14" xfId="7" applyFont="1" applyFill="1" applyBorder="1" applyAlignment="1" applyProtection="1">
      <alignment horizontal="right" vertical="center" wrapText="1"/>
    </xf>
    <xf numFmtId="0" fontId="48" fillId="19" borderId="14" xfId="7" applyFont="1" applyFill="1" applyBorder="1" applyAlignment="1" applyProtection="1">
      <alignment horizontal="center" vertical="center" wrapText="1"/>
    </xf>
    <xf numFmtId="3" fontId="12" fillId="0" borderId="0" xfId="7" applyNumberFormat="1" applyFont="1" applyFill="1" applyAlignment="1" applyProtection="1">
      <alignment vertical="center"/>
      <protection locked="0"/>
    </xf>
    <xf numFmtId="0" fontId="49" fillId="0" borderId="5" xfId="2" applyFont="1" applyFill="1" applyBorder="1" applyAlignment="1">
      <alignment horizontal="center" vertical="center"/>
    </xf>
    <xf numFmtId="0" fontId="49" fillId="0" borderId="5" xfId="2" applyFont="1" applyFill="1" applyBorder="1" applyAlignment="1">
      <alignment vertical="center" wrapText="1"/>
    </xf>
    <xf numFmtId="3" fontId="49" fillId="0" borderId="5" xfId="2" applyNumberFormat="1" applyFont="1" applyFill="1" applyBorder="1" applyAlignment="1">
      <alignment vertical="center"/>
    </xf>
    <xf numFmtId="0" fontId="49" fillId="0" borderId="5" xfId="10" applyFont="1" applyFill="1" applyBorder="1" applyAlignment="1">
      <alignment vertical="center" wrapText="1"/>
    </xf>
    <xf numFmtId="0" fontId="50" fillId="0" borderId="27" xfId="19" applyFont="1" applyFill="1" applyBorder="1" applyAlignment="1">
      <alignment horizontal="left" vertical="center" wrapText="1"/>
    </xf>
    <xf numFmtId="0" fontId="49" fillId="5" borderId="5" xfId="2" applyFont="1" applyFill="1" applyBorder="1" applyAlignment="1">
      <alignment horizontal="center" vertical="center"/>
    </xf>
    <xf numFmtId="0" fontId="49" fillId="5" borderId="5" xfId="10" applyFont="1" applyFill="1" applyBorder="1" applyAlignment="1">
      <alignment horizontal="left" vertical="center" wrapText="1"/>
    </xf>
    <xf numFmtId="3" fontId="49" fillId="5" borderId="5" xfId="2" applyNumberFormat="1" applyFont="1" applyFill="1" applyBorder="1" applyAlignment="1">
      <alignment vertical="center"/>
    </xf>
    <xf numFmtId="0" fontId="49" fillId="5" borderId="5" xfId="2" applyFont="1" applyFill="1" applyBorder="1" applyAlignment="1">
      <alignment horizontal="left" vertical="center"/>
    </xf>
    <xf numFmtId="3" fontId="49" fillId="5" borderId="5" xfId="2" applyNumberFormat="1" applyFont="1" applyFill="1" applyBorder="1" applyAlignment="1">
      <alignment horizontal="right" vertical="center"/>
    </xf>
    <xf numFmtId="0" fontId="49" fillId="0" borderId="0" xfId="2" applyFont="1" applyAlignment="1">
      <alignment vertical="center"/>
    </xf>
    <xf numFmtId="0" fontId="49" fillId="3" borderId="5" xfId="2" applyFont="1" applyFill="1" applyBorder="1" applyAlignment="1">
      <alignment horizontal="left" vertical="center"/>
    </xf>
    <xf numFmtId="3" fontId="49" fillId="3" borderId="5" xfId="2" applyNumberFormat="1" applyFont="1" applyFill="1" applyBorder="1" applyAlignment="1">
      <alignment horizontal="right" vertical="center"/>
    </xf>
    <xf numFmtId="1" fontId="49" fillId="3" borderId="5" xfId="2" applyNumberFormat="1" applyFont="1" applyFill="1" applyBorder="1" applyAlignment="1">
      <alignment horizontal="right" vertical="center"/>
    </xf>
    <xf numFmtId="1" fontId="49" fillId="5" borderId="5" xfId="2" applyNumberFormat="1" applyFont="1" applyFill="1" applyBorder="1" applyAlignment="1">
      <alignment horizontal="right" vertical="center"/>
    </xf>
    <xf numFmtId="0" fontId="19" fillId="8" borderId="14" xfId="7" applyFont="1" applyFill="1" applyBorder="1" applyAlignment="1" applyProtection="1">
      <alignment horizontal="center" vertical="center"/>
    </xf>
    <xf numFmtId="0" fontId="11" fillId="0" borderId="0" xfId="7" applyFont="1" applyBorder="1" applyAlignment="1" applyProtection="1">
      <alignment horizontal="center"/>
    </xf>
    <xf numFmtId="0" fontId="10" fillId="9" borderId="14" xfId="7" applyFont="1" applyFill="1" applyBorder="1" applyAlignment="1" applyProtection="1">
      <alignment horizontal="center" vertical="center"/>
    </xf>
    <xf numFmtId="0" fontId="12" fillId="9" borderId="14" xfId="7" applyFont="1" applyFill="1" applyBorder="1" applyAlignment="1" applyProtection="1">
      <alignment horizontal="center" vertical="center" wrapText="1"/>
    </xf>
    <xf numFmtId="0" fontId="12" fillId="9" borderId="10" xfId="7" applyFont="1" applyFill="1" applyBorder="1" applyAlignment="1" applyProtection="1">
      <alignment horizontal="center" vertical="center" wrapText="1"/>
    </xf>
    <xf numFmtId="0" fontId="12" fillId="9" borderId="9" xfId="7" applyFont="1" applyFill="1" applyBorder="1" applyAlignment="1" applyProtection="1">
      <alignment horizontal="center" vertical="center" wrapText="1"/>
    </xf>
    <xf numFmtId="0" fontId="12" fillId="9" borderId="12" xfId="7" applyFont="1" applyFill="1" applyBorder="1" applyAlignment="1" applyProtection="1">
      <alignment horizontal="center" vertical="center" wrapText="1"/>
    </xf>
    <xf numFmtId="0" fontId="12" fillId="9" borderId="11" xfId="7" applyFont="1" applyFill="1" applyBorder="1" applyAlignment="1" applyProtection="1">
      <alignment horizontal="center" vertical="center" wrapText="1"/>
    </xf>
    <xf numFmtId="0" fontId="12" fillId="2" borderId="10" xfId="7" applyFont="1" applyFill="1" applyBorder="1" applyAlignment="1" applyProtection="1">
      <alignment horizontal="center" vertical="center" wrapText="1"/>
      <protection locked="0"/>
    </xf>
    <xf numFmtId="0" fontId="12" fillId="2" borderId="9" xfId="7" applyFont="1" applyFill="1" applyBorder="1" applyAlignment="1" applyProtection="1">
      <alignment horizontal="center" vertical="center" wrapText="1"/>
      <protection locked="0"/>
    </xf>
    <xf numFmtId="0" fontId="19" fillId="8" borderId="18" xfId="7" applyFont="1" applyFill="1" applyBorder="1" applyAlignment="1" applyProtection="1">
      <alignment horizontal="center" vertical="center" wrapText="1"/>
    </xf>
    <xf numFmtId="0" fontId="19" fillId="8" borderId="19" xfId="7" applyFont="1" applyFill="1" applyBorder="1" applyAlignment="1" applyProtection="1">
      <alignment horizontal="center" vertical="center" wrapText="1"/>
    </xf>
    <xf numFmtId="0" fontId="19" fillId="8" borderId="20" xfId="7" applyFont="1" applyFill="1" applyBorder="1" applyAlignment="1" applyProtection="1">
      <alignment horizontal="center" vertical="center" wrapText="1"/>
    </xf>
    <xf numFmtId="0" fontId="12" fillId="2" borderId="14" xfId="7" applyFont="1" applyFill="1" applyBorder="1" applyAlignment="1" applyProtection="1">
      <alignment horizontal="center" vertical="center" wrapText="1"/>
    </xf>
    <xf numFmtId="0" fontId="19" fillId="8" borderId="12" xfId="7" applyFont="1" applyFill="1" applyBorder="1" applyAlignment="1" applyProtection="1">
      <alignment horizontal="center" vertical="center"/>
    </xf>
    <xf numFmtId="0" fontId="19" fillId="8" borderId="11" xfId="7" applyFont="1" applyFill="1" applyBorder="1" applyAlignment="1" applyProtection="1">
      <alignment horizontal="center" vertical="center"/>
    </xf>
    <xf numFmtId="0" fontId="19" fillId="8" borderId="16" xfId="7" applyFont="1" applyFill="1" applyBorder="1" applyAlignment="1" applyProtection="1">
      <alignment horizontal="center" vertical="center"/>
    </xf>
    <xf numFmtId="0" fontId="12" fillId="2" borderId="12" xfId="7" applyFont="1" applyFill="1" applyBorder="1" applyAlignment="1" applyProtection="1">
      <alignment horizontal="center" vertical="center" wrapText="1"/>
    </xf>
    <xf numFmtId="0" fontId="12" fillId="2" borderId="11" xfId="7" applyFont="1" applyFill="1" applyBorder="1" applyAlignment="1" applyProtection="1">
      <alignment horizontal="center" vertical="center" wrapText="1"/>
    </xf>
    <xf numFmtId="0" fontId="12" fillId="2" borderId="16" xfId="7" applyFont="1" applyFill="1" applyBorder="1" applyAlignment="1" applyProtection="1">
      <alignment horizontal="center" vertical="center" wrapText="1"/>
    </xf>
    <xf numFmtId="165" fontId="11" fillId="11" borderId="12" xfId="8" applyNumberFormat="1" applyFont="1" applyFill="1" applyBorder="1" applyAlignment="1" applyProtection="1">
      <alignment horizontal="center" vertical="center" wrapText="1"/>
    </xf>
    <xf numFmtId="165" fontId="11" fillId="11" borderId="11" xfId="8" applyNumberFormat="1" applyFont="1" applyFill="1" applyBorder="1" applyAlignment="1" applyProtection="1">
      <alignment horizontal="center" vertical="center" wrapText="1"/>
    </xf>
    <xf numFmtId="165" fontId="11" fillId="11" borderId="16" xfId="8" applyNumberFormat="1" applyFont="1" applyFill="1" applyBorder="1" applyAlignment="1" applyProtection="1">
      <alignment horizontal="center" vertical="center" wrapText="1"/>
    </xf>
    <xf numFmtId="0" fontId="11" fillId="0" borderId="0" xfId="9" applyFont="1" applyAlignment="1">
      <alignment horizontal="center" vertical="center"/>
    </xf>
    <xf numFmtId="0" fontId="12" fillId="4" borderId="6" xfId="9" applyFont="1" applyFill="1" applyBorder="1" applyAlignment="1">
      <alignment horizontal="center" vertical="center"/>
    </xf>
    <xf numFmtId="0" fontId="12" fillId="4" borderId="3" xfId="9" applyFont="1" applyFill="1" applyBorder="1" applyAlignment="1">
      <alignment horizontal="center" vertical="center"/>
    </xf>
    <xf numFmtId="49" fontId="17" fillId="0" borderId="0" xfId="10" applyNumberFormat="1" applyFont="1" applyAlignment="1">
      <alignment horizontal="center" vertical="center" wrapText="1"/>
    </xf>
    <xf numFmtId="0" fontId="47" fillId="12" borderId="27" xfId="19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9" fillId="12" borderId="6" xfId="2" applyFont="1" applyFill="1" applyBorder="1" applyAlignment="1">
      <alignment horizontal="center" vertical="center" wrapText="1"/>
    </xf>
    <xf numFmtId="0" fontId="9" fillId="12" borderId="2" xfId="2" applyFont="1" applyFill="1" applyBorder="1" applyAlignment="1">
      <alignment horizontal="center" vertical="center" wrapText="1"/>
    </xf>
    <xf numFmtId="0" fontId="9" fillId="12" borderId="3" xfId="2" applyFont="1" applyFill="1" applyBorder="1" applyAlignment="1">
      <alignment horizontal="center" vertical="center" wrapText="1"/>
    </xf>
    <xf numFmtId="0" fontId="17" fillId="0" borderId="0" xfId="11" applyFont="1" applyAlignment="1">
      <alignment horizontal="center" vertical="center" wrapText="1"/>
    </xf>
    <xf numFmtId="0" fontId="9" fillId="15" borderId="6" xfId="11" applyFont="1" applyFill="1" applyBorder="1" applyAlignment="1">
      <alignment horizontal="center" vertical="center" wrapText="1"/>
    </xf>
    <xf numFmtId="0" fontId="9" fillId="15" borderId="2" xfId="11" applyFont="1" applyFill="1" applyBorder="1" applyAlignment="1">
      <alignment horizontal="center" vertical="center" wrapText="1"/>
    </xf>
    <xf numFmtId="0" fontId="9" fillId="15" borderId="3" xfId="11" applyFont="1" applyFill="1" applyBorder="1" applyAlignment="1">
      <alignment horizontal="center" vertical="center" wrapText="1"/>
    </xf>
    <xf numFmtId="0" fontId="6" fillId="3" borderId="5" xfId="7" applyFont="1" applyFill="1" applyBorder="1" applyAlignment="1">
      <alignment horizontal="center" vertical="center" wrapText="1"/>
    </xf>
    <xf numFmtId="0" fontId="6" fillId="2" borderId="5" xfId="7" applyFont="1" applyFill="1" applyBorder="1" applyAlignment="1">
      <alignment horizontal="center" vertical="center"/>
    </xf>
    <xf numFmtId="44" fontId="6" fillId="2" borderId="5" xfId="12" applyFont="1" applyFill="1" applyBorder="1" applyAlignment="1">
      <alignment horizontal="center" vertical="center"/>
    </xf>
    <xf numFmtId="44" fontId="11" fillId="18" borderId="5" xfId="12" applyFont="1" applyFill="1" applyBorder="1" applyAlignment="1">
      <alignment horizontal="center"/>
    </xf>
    <xf numFmtId="0" fontId="19" fillId="0" borderId="0" xfId="7" applyFont="1" applyAlignment="1">
      <alignment horizontal="center" vertical="center" wrapText="1"/>
    </xf>
  </cellXfs>
  <cellStyles count="22">
    <cellStyle name="Normalny" xfId="0" builtinId="0"/>
    <cellStyle name="Normalny 10" xfId="3"/>
    <cellStyle name="Normalny 11" xfId="20"/>
    <cellStyle name="Normalny 12" xfId="21"/>
    <cellStyle name="Normalny 2" xfId="1"/>
    <cellStyle name="Normalny 2 2 2" xfId="7"/>
    <cellStyle name="Normalny 2 3" xfId="9"/>
    <cellStyle name="Normalny 2 4" xfId="16"/>
    <cellStyle name="Normalny 3" xfId="13"/>
    <cellStyle name="Normalny 3 2" xfId="14"/>
    <cellStyle name="Normalny 4" xfId="15"/>
    <cellStyle name="Normalny 5" xfId="17"/>
    <cellStyle name="Normalny 6" xfId="2"/>
    <cellStyle name="Normalny 6 2" xfId="11"/>
    <cellStyle name="Normalny 6 3" xfId="10"/>
    <cellStyle name="Normalny 7" xfId="18"/>
    <cellStyle name="Normalny 7 2" xfId="5"/>
    <cellStyle name="Normalny 8" xfId="19"/>
    <cellStyle name="Normalny 8 2" xfId="4"/>
    <cellStyle name="Normalny 9" xfId="6"/>
    <cellStyle name="Walutowy 3 2 2" xfId="8"/>
    <cellStyle name="Walutowy 3 3" xfId="1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13"/>
  <sheetViews>
    <sheetView zoomScaleNormal="100" workbookViewId="0">
      <pane ySplit="6" topLeftCell="A41" activePane="bottomLeft" state="frozen"/>
      <selection pane="bottomLeft" activeCell="I106" sqref="I106"/>
    </sheetView>
  </sheetViews>
  <sheetFormatPr defaultColWidth="11.6640625" defaultRowHeight="12.75"/>
  <cols>
    <col min="1" max="1" width="5.6640625" style="31" customWidth="1"/>
    <col min="2" max="2" width="6.6640625" style="31" customWidth="1"/>
    <col min="3" max="3" width="9.33203125" style="31" customWidth="1"/>
    <col min="4" max="4" width="7.33203125" style="31" customWidth="1"/>
    <col min="5" max="5" width="83.1640625" style="31" customWidth="1"/>
    <col min="6" max="9" width="14.33203125" style="31" customWidth="1"/>
    <col min="10" max="10" width="15.33203125" style="31" customWidth="1"/>
    <col min="11" max="11" width="34.33203125" style="50" customWidth="1"/>
    <col min="12" max="12" width="11.1640625" style="32" hidden="1" customWidth="1"/>
    <col min="13" max="13" width="13.83203125" style="31" bestFit="1" customWidth="1"/>
    <col min="14" max="14" width="13" style="31" bestFit="1" customWidth="1"/>
    <col min="15" max="16384" width="11.6640625" style="31"/>
  </cols>
  <sheetData>
    <row r="1" spans="1:12" ht="12" customHeight="1"/>
    <row r="2" spans="1:12" ht="15.75" customHeight="1">
      <c r="A2" s="383" t="s">
        <v>183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</row>
    <row r="3" spans="1:12" ht="15" customHeight="1" thickBot="1">
      <c r="A3" s="37"/>
      <c r="B3" s="37"/>
      <c r="C3" s="37"/>
      <c r="D3" s="37"/>
      <c r="E3" s="37"/>
      <c r="F3" s="37"/>
      <c r="G3" s="37"/>
      <c r="H3" s="37"/>
      <c r="I3" s="37"/>
      <c r="J3" s="37"/>
      <c r="K3" s="51"/>
    </row>
    <row r="4" spans="1:12" ht="19.5" customHeight="1" thickBot="1">
      <c r="A4" s="384" t="s">
        <v>6</v>
      </c>
      <c r="B4" s="385" t="s">
        <v>0</v>
      </c>
      <c r="C4" s="385" t="s">
        <v>78</v>
      </c>
      <c r="D4" s="386" t="s">
        <v>43</v>
      </c>
      <c r="E4" s="385" t="s">
        <v>44</v>
      </c>
      <c r="F4" s="385" t="s">
        <v>45</v>
      </c>
      <c r="G4" s="388" t="s">
        <v>46</v>
      </c>
      <c r="H4" s="389"/>
      <c r="I4" s="389"/>
      <c r="J4" s="389"/>
      <c r="K4" s="386" t="s">
        <v>77</v>
      </c>
      <c r="L4" s="390"/>
    </row>
    <row r="5" spans="1:12" ht="95.25" customHeight="1" thickBot="1">
      <c r="A5" s="384"/>
      <c r="B5" s="385"/>
      <c r="C5" s="385"/>
      <c r="D5" s="387"/>
      <c r="E5" s="385"/>
      <c r="F5" s="385"/>
      <c r="G5" s="202" t="s">
        <v>76</v>
      </c>
      <c r="H5" s="202" t="s">
        <v>286</v>
      </c>
      <c r="I5" s="202" t="s">
        <v>75</v>
      </c>
      <c r="J5" s="202" t="s">
        <v>74</v>
      </c>
      <c r="K5" s="387"/>
      <c r="L5" s="391"/>
    </row>
    <row r="6" spans="1:12" s="174" customFormat="1" ht="15" customHeight="1" thickBot="1">
      <c r="A6" s="171" t="s">
        <v>7</v>
      </c>
      <c r="B6" s="171" t="s">
        <v>8</v>
      </c>
      <c r="C6" s="171" t="s">
        <v>9</v>
      </c>
      <c r="D6" s="171" t="s">
        <v>10</v>
      </c>
      <c r="E6" s="172" t="s">
        <v>11</v>
      </c>
      <c r="F6" s="171" t="s">
        <v>71</v>
      </c>
      <c r="G6" s="171" t="s">
        <v>70</v>
      </c>
      <c r="H6" s="171" t="s">
        <v>69</v>
      </c>
      <c r="I6" s="171" t="s">
        <v>68</v>
      </c>
      <c r="J6" s="171" t="s">
        <v>66</v>
      </c>
      <c r="K6" s="171" t="s">
        <v>65</v>
      </c>
      <c r="L6" s="173"/>
    </row>
    <row r="7" spans="1:12" s="34" customFormat="1" ht="27.95" customHeight="1" thickBot="1">
      <c r="A7" s="382" t="s">
        <v>73</v>
      </c>
      <c r="B7" s="382"/>
      <c r="C7" s="382"/>
      <c r="D7" s="382"/>
      <c r="E7" s="382"/>
      <c r="F7" s="121">
        <f>SUM(G7:J7)</f>
        <v>506775</v>
      </c>
      <c r="G7" s="121">
        <f>SUM(G8:G11)</f>
        <v>321775</v>
      </c>
      <c r="H7" s="122"/>
      <c r="I7" s="123"/>
      <c r="J7" s="124">
        <f>65000+130000-10000</f>
        <v>185000</v>
      </c>
      <c r="K7" s="125"/>
      <c r="L7" s="126"/>
    </row>
    <row r="8" spans="1:12" s="43" customFormat="1" ht="45.75" customHeight="1" thickBot="1">
      <c r="A8" s="175" t="s">
        <v>7</v>
      </c>
      <c r="B8" s="176">
        <v>600</v>
      </c>
      <c r="C8" s="176">
        <v>60014</v>
      </c>
      <c r="D8" s="176">
        <v>6050</v>
      </c>
      <c r="E8" s="177" t="s">
        <v>136</v>
      </c>
      <c r="F8" s="58">
        <f>G8</f>
        <v>221775</v>
      </c>
      <c r="G8" s="59">
        <f>75083+280000-207483+74175</f>
        <v>221775</v>
      </c>
      <c r="H8" s="59"/>
      <c r="I8" s="60"/>
      <c r="J8" s="61" t="s">
        <v>275</v>
      </c>
      <c r="K8" s="62"/>
      <c r="L8" s="73" t="s">
        <v>49</v>
      </c>
    </row>
    <row r="9" spans="1:12" s="43" customFormat="1" ht="32.25" customHeight="1" thickBot="1">
      <c r="A9" s="99" t="s">
        <v>8</v>
      </c>
      <c r="B9" s="78">
        <v>600</v>
      </c>
      <c r="C9" s="78">
        <v>60014</v>
      </c>
      <c r="D9" s="78">
        <v>6050</v>
      </c>
      <c r="E9" s="83" t="s">
        <v>177</v>
      </c>
      <c r="F9" s="84">
        <f>G9+50000</f>
        <v>100000</v>
      </c>
      <c r="G9" s="79">
        <v>50000</v>
      </c>
      <c r="H9" s="79"/>
      <c r="I9" s="80"/>
      <c r="J9" s="81" t="s">
        <v>122</v>
      </c>
      <c r="K9" s="82"/>
      <c r="L9" s="127" t="s">
        <v>49</v>
      </c>
    </row>
    <row r="10" spans="1:12" s="43" customFormat="1" ht="45" customHeight="1" thickBot="1">
      <c r="A10" s="98" t="s">
        <v>9</v>
      </c>
      <c r="B10" s="78">
        <v>600</v>
      </c>
      <c r="C10" s="78">
        <v>60014</v>
      </c>
      <c r="D10" s="78">
        <v>6050</v>
      </c>
      <c r="E10" s="83" t="s">
        <v>181</v>
      </c>
      <c r="F10" s="84">
        <f>G10+15000</f>
        <v>55000</v>
      </c>
      <c r="G10" s="79">
        <v>40000</v>
      </c>
      <c r="H10" s="79"/>
      <c r="I10" s="80"/>
      <c r="J10" s="81" t="s">
        <v>123</v>
      </c>
      <c r="K10" s="82"/>
      <c r="L10" s="74"/>
    </row>
    <row r="11" spans="1:12" s="45" customFormat="1" ht="30.6" customHeight="1" thickBot="1">
      <c r="A11" s="344" t="s">
        <v>10</v>
      </c>
      <c r="B11" s="345">
        <v>600</v>
      </c>
      <c r="C11" s="346">
        <v>60014</v>
      </c>
      <c r="D11" s="347">
        <v>6050</v>
      </c>
      <c r="E11" s="348" t="s">
        <v>182</v>
      </c>
      <c r="F11" s="349">
        <f>120000+G11</f>
        <v>130000</v>
      </c>
      <c r="G11" s="350">
        <v>10000</v>
      </c>
      <c r="H11" s="350"/>
      <c r="I11" s="335"/>
      <c r="J11" s="337" t="s">
        <v>303</v>
      </c>
      <c r="K11" s="338"/>
      <c r="L11" s="142"/>
    </row>
    <row r="12" spans="1:12" s="43" customFormat="1" ht="27.95" customHeight="1" thickBot="1">
      <c r="A12" s="392" t="s">
        <v>114</v>
      </c>
      <c r="B12" s="393"/>
      <c r="C12" s="393"/>
      <c r="D12" s="393"/>
      <c r="E12" s="394"/>
      <c r="F12" s="124">
        <f>SUM(G12:J12)</f>
        <v>385000</v>
      </c>
      <c r="G12" s="124">
        <f>SUM(G13:G18)</f>
        <v>0</v>
      </c>
      <c r="H12" s="125"/>
      <c r="I12" s="125"/>
      <c r="J12" s="124">
        <f>150000+50000+30000+25000+60000+70000</f>
        <v>385000</v>
      </c>
      <c r="K12" s="125"/>
      <c r="L12" s="74"/>
    </row>
    <row r="13" spans="1:12" s="43" customFormat="1" ht="51.75" customHeight="1" thickBot="1">
      <c r="A13" s="55" t="s">
        <v>11</v>
      </c>
      <c r="B13" s="56">
        <v>600</v>
      </c>
      <c r="C13" s="56">
        <v>60014</v>
      </c>
      <c r="D13" s="56">
        <v>6050</v>
      </c>
      <c r="E13" s="133" t="s">
        <v>121</v>
      </c>
      <c r="F13" s="58">
        <v>150000</v>
      </c>
      <c r="G13" s="59">
        <v>0</v>
      </c>
      <c r="H13" s="59"/>
      <c r="I13" s="60"/>
      <c r="J13" s="61" t="s">
        <v>297</v>
      </c>
      <c r="K13" s="62"/>
      <c r="L13" s="73"/>
    </row>
    <row r="14" spans="1:12" s="43" customFormat="1" ht="42.75" customHeight="1" thickBot="1">
      <c r="A14" s="92" t="s">
        <v>71</v>
      </c>
      <c r="B14" s="85">
        <v>600</v>
      </c>
      <c r="C14" s="85">
        <v>60014</v>
      </c>
      <c r="D14" s="85">
        <v>6050</v>
      </c>
      <c r="E14" s="86" t="s">
        <v>144</v>
      </c>
      <c r="F14" s="87">
        <v>50000</v>
      </c>
      <c r="G14" s="79">
        <v>0</v>
      </c>
      <c r="H14" s="79"/>
      <c r="I14" s="80"/>
      <c r="J14" s="81" t="s">
        <v>298</v>
      </c>
      <c r="K14" s="82"/>
      <c r="L14" s="73"/>
    </row>
    <row r="15" spans="1:12" s="43" customFormat="1" ht="51.75" customHeight="1" thickBot="1">
      <c r="A15" s="92" t="s">
        <v>70</v>
      </c>
      <c r="B15" s="85">
        <v>600</v>
      </c>
      <c r="C15" s="85">
        <v>60014</v>
      </c>
      <c r="D15" s="85">
        <v>6050</v>
      </c>
      <c r="E15" s="86" t="s">
        <v>138</v>
      </c>
      <c r="F15" s="87">
        <v>30000</v>
      </c>
      <c r="G15" s="79">
        <v>0</v>
      </c>
      <c r="H15" s="79"/>
      <c r="I15" s="80"/>
      <c r="J15" s="81" t="s">
        <v>299</v>
      </c>
      <c r="K15" s="82"/>
      <c r="L15" s="73"/>
    </row>
    <row r="16" spans="1:12" s="43" customFormat="1" ht="25.5" customHeight="1" thickBot="1">
      <c r="A16" s="92" t="s">
        <v>69</v>
      </c>
      <c r="B16" s="85">
        <v>600</v>
      </c>
      <c r="C16" s="85">
        <v>60014</v>
      </c>
      <c r="D16" s="85">
        <v>6050</v>
      </c>
      <c r="E16" s="86" t="s">
        <v>137</v>
      </c>
      <c r="F16" s="87">
        <v>25000</v>
      </c>
      <c r="G16" s="79">
        <v>0</v>
      </c>
      <c r="H16" s="79"/>
      <c r="I16" s="80"/>
      <c r="J16" s="81" t="s">
        <v>300</v>
      </c>
      <c r="K16" s="82"/>
      <c r="L16" s="73"/>
    </row>
    <row r="17" spans="1:14" s="43" customFormat="1" ht="30" customHeight="1" thickBot="1">
      <c r="A17" s="92" t="s">
        <v>68</v>
      </c>
      <c r="B17" s="85">
        <v>600</v>
      </c>
      <c r="C17" s="85">
        <v>60014</v>
      </c>
      <c r="D17" s="85">
        <v>6050</v>
      </c>
      <c r="E17" s="86" t="s">
        <v>124</v>
      </c>
      <c r="F17" s="87">
        <v>60000</v>
      </c>
      <c r="G17" s="79">
        <v>0</v>
      </c>
      <c r="H17" s="79"/>
      <c r="I17" s="80"/>
      <c r="J17" s="81" t="s">
        <v>301</v>
      </c>
      <c r="K17" s="82"/>
      <c r="L17" s="73"/>
    </row>
    <row r="18" spans="1:14" s="43" customFormat="1" ht="27" customHeight="1" thickBot="1">
      <c r="A18" s="92" t="s">
        <v>66</v>
      </c>
      <c r="B18" s="85">
        <v>600</v>
      </c>
      <c r="C18" s="85">
        <v>60014</v>
      </c>
      <c r="D18" s="85">
        <v>6050</v>
      </c>
      <c r="E18" s="86" t="s">
        <v>125</v>
      </c>
      <c r="F18" s="87">
        <v>70000</v>
      </c>
      <c r="G18" s="79">
        <v>0</v>
      </c>
      <c r="H18" s="79"/>
      <c r="I18" s="80"/>
      <c r="J18" s="81" t="s">
        <v>302</v>
      </c>
      <c r="K18" s="82"/>
      <c r="L18" s="73"/>
    </row>
    <row r="19" spans="1:14" s="47" customFormat="1" ht="27.95" customHeight="1" thickBot="1">
      <c r="A19" s="382" t="s">
        <v>72</v>
      </c>
      <c r="B19" s="382"/>
      <c r="C19" s="382"/>
      <c r="D19" s="382"/>
      <c r="E19" s="382"/>
      <c r="F19" s="121">
        <f>SUM(G19:J19)</f>
        <v>5540602</v>
      </c>
      <c r="G19" s="121">
        <f>SUM(G20:G24)</f>
        <v>1087929</v>
      </c>
      <c r="H19" s="121">
        <f>SUM(H20:H24)</f>
        <v>1558673</v>
      </c>
      <c r="I19" s="128"/>
      <c r="J19" s="129">
        <f>1924000+120000+850000</f>
        <v>2894000</v>
      </c>
      <c r="K19" s="130"/>
      <c r="L19" s="131"/>
    </row>
    <row r="20" spans="1:14" s="47" customFormat="1" ht="34.5" customHeight="1" thickBot="1">
      <c r="A20" s="333" t="s">
        <v>65</v>
      </c>
      <c r="B20" s="334">
        <v>600</v>
      </c>
      <c r="C20" s="334">
        <v>60014</v>
      </c>
      <c r="D20" s="334">
        <v>6050</v>
      </c>
      <c r="E20" s="351" t="s">
        <v>79</v>
      </c>
      <c r="F20" s="336">
        <f>SUM(G20:H20)+850000</f>
        <v>1573252</v>
      </c>
      <c r="G20" s="350">
        <v>723252</v>
      </c>
      <c r="H20" s="352"/>
      <c r="I20" s="340"/>
      <c r="J20" s="337" t="s">
        <v>310</v>
      </c>
      <c r="K20" s="341"/>
      <c r="L20" s="127" t="s">
        <v>49</v>
      </c>
    </row>
    <row r="21" spans="1:14" s="36" customFormat="1" ht="34.5" customHeight="1" thickBot="1">
      <c r="A21" s="55" t="s">
        <v>100</v>
      </c>
      <c r="B21" s="56">
        <v>600</v>
      </c>
      <c r="C21" s="56">
        <v>60014</v>
      </c>
      <c r="D21" s="56">
        <v>6050</v>
      </c>
      <c r="E21" s="57" t="s">
        <v>80</v>
      </c>
      <c r="F21" s="58">
        <f>SUM(G21:H21)+1924000</f>
        <v>3139000</v>
      </c>
      <c r="G21" s="59"/>
      <c r="H21" s="59">
        <v>1215000</v>
      </c>
      <c r="I21" s="64"/>
      <c r="J21" s="170" t="s">
        <v>186</v>
      </c>
      <c r="K21" s="65"/>
      <c r="L21" s="76" t="s">
        <v>49</v>
      </c>
    </row>
    <row r="22" spans="1:14" s="36" customFormat="1" ht="34.5" customHeight="1" thickBot="1">
      <c r="A22" s="55" t="s">
        <v>101</v>
      </c>
      <c r="B22" s="56">
        <v>600</v>
      </c>
      <c r="C22" s="56">
        <v>60014</v>
      </c>
      <c r="D22" s="56">
        <v>6050</v>
      </c>
      <c r="E22" s="57" t="s">
        <v>178</v>
      </c>
      <c r="F22" s="58">
        <f t="shared" ref="F22:F24" si="0">SUM(G22:H22)</f>
        <v>178350</v>
      </c>
      <c r="G22" s="59">
        <f>150000+28350</f>
        <v>178350</v>
      </c>
      <c r="H22" s="59"/>
      <c r="I22" s="64"/>
      <c r="J22" s="132"/>
      <c r="K22" s="65"/>
      <c r="L22" s="73"/>
    </row>
    <row r="23" spans="1:14" s="36" customFormat="1" ht="39" customHeight="1" thickBot="1">
      <c r="A23" s="55" t="s">
        <v>102</v>
      </c>
      <c r="B23" s="56">
        <v>600</v>
      </c>
      <c r="C23" s="56">
        <v>60014</v>
      </c>
      <c r="D23" s="56">
        <v>6050</v>
      </c>
      <c r="E23" s="86" t="s">
        <v>139</v>
      </c>
      <c r="F23" s="58">
        <v>120000</v>
      </c>
      <c r="G23" s="79">
        <v>0</v>
      </c>
      <c r="H23" s="79"/>
      <c r="I23" s="88"/>
      <c r="J23" s="81" t="s">
        <v>303</v>
      </c>
      <c r="K23" s="90"/>
      <c r="L23" s="91"/>
    </row>
    <row r="24" spans="1:14" s="36" customFormat="1" ht="39.75" customHeight="1" thickBot="1">
      <c r="A24" s="55" t="s">
        <v>103</v>
      </c>
      <c r="B24" s="56">
        <v>600</v>
      </c>
      <c r="C24" s="56">
        <v>60014</v>
      </c>
      <c r="D24" s="56">
        <v>6050</v>
      </c>
      <c r="E24" s="86" t="s">
        <v>130</v>
      </c>
      <c r="F24" s="58">
        <f t="shared" si="0"/>
        <v>530000</v>
      </c>
      <c r="G24" s="79">
        <f>266327-80000</f>
        <v>186327</v>
      </c>
      <c r="H24" s="79">
        <f>263673+80000</f>
        <v>343673</v>
      </c>
      <c r="I24" s="88"/>
      <c r="J24" s="89"/>
      <c r="K24" s="90"/>
      <c r="L24" s="91"/>
    </row>
    <row r="25" spans="1:14" s="35" customFormat="1" ht="27.95" customHeight="1" thickBot="1">
      <c r="A25" s="382" t="s">
        <v>67</v>
      </c>
      <c r="B25" s="382"/>
      <c r="C25" s="382"/>
      <c r="D25" s="382"/>
      <c r="E25" s="382"/>
      <c r="F25" s="121">
        <f>SUM(G25:J25)</f>
        <v>3804156</v>
      </c>
      <c r="G25" s="121">
        <f>SUM(G26:G30)</f>
        <v>19931</v>
      </c>
      <c r="H25" s="121">
        <f>SUM(H26:H30)</f>
        <v>628446</v>
      </c>
      <c r="I25" s="121">
        <f>SUM(I26:I30)</f>
        <v>0</v>
      </c>
      <c r="J25" s="129">
        <f>474500+850694+2658600+50000+100000+70000+25000-2658600+1585585</f>
        <v>3155779</v>
      </c>
      <c r="K25" s="125"/>
      <c r="L25" s="139"/>
    </row>
    <row r="26" spans="1:14" s="43" customFormat="1" ht="50.25" customHeight="1" thickBot="1">
      <c r="A26" s="55" t="s">
        <v>104</v>
      </c>
      <c r="B26" s="56">
        <v>600</v>
      </c>
      <c r="C26" s="56">
        <v>60014</v>
      </c>
      <c r="D26" s="56">
        <v>6050</v>
      </c>
      <c r="E26" s="133" t="s">
        <v>185</v>
      </c>
      <c r="F26" s="58">
        <f>628446+474500+G26+850694</f>
        <v>1953640</v>
      </c>
      <c r="G26" s="59"/>
      <c r="H26" s="59">
        <v>628446</v>
      </c>
      <c r="I26" s="60"/>
      <c r="J26" s="61" t="s">
        <v>187</v>
      </c>
      <c r="K26" s="65"/>
      <c r="L26" s="76" t="s">
        <v>49</v>
      </c>
    </row>
    <row r="27" spans="1:14" s="43" customFormat="1" ht="30" customHeight="1" thickBot="1">
      <c r="A27" s="333" t="s">
        <v>105</v>
      </c>
      <c r="B27" s="353">
        <v>600</v>
      </c>
      <c r="C27" s="354">
        <v>60014</v>
      </c>
      <c r="D27" s="354">
        <v>6050</v>
      </c>
      <c r="E27" s="355" t="s">
        <v>81</v>
      </c>
      <c r="F27" s="356">
        <f>G27+1585585</f>
        <v>1587585</v>
      </c>
      <c r="G27" s="350">
        <v>2000</v>
      </c>
      <c r="H27" s="350"/>
      <c r="I27" s="335"/>
      <c r="J27" s="337" t="s">
        <v>442</v>
      </c>
      <c r="K27" s="338"/>
      <c r="L27" s="73"/>
      <c r="M27" s="332"/>
      <c r="N27" s="291"/>
    </row>
    <row r="28" spans="1:14" s="43" customFormat="1" ht="40.5" customHeight="1" thickBot="1">
      <c r="A28" s="55" t="s">
        <v>106</v>
      </c>
      <c r="B28" s="178">
        <v>600</v>
      </c>
      <c r="C28" s="179">
        <v>60014</v>
      </c>
      <c r="D28" s="179">
        <v>6050</v>
      </c>
      <c r="E28" s="180" t="s">
        <v>142</v>
      </c>
      <c r="F28" s="58">
        <f>50000+70000+17931</f>
        <v>137931</v>
      </c>
      <c r="G28" s="59">
        <v>17931</v>
      </c>
      <c r="H28" s="59"/>
      <c r="I28" s="60"/>
      <c r="J28" s="61" t="s">
        <v>316</v>
      </c>
      <c r="K28" s="65"/>
      <c r="L28" s="73"/>
    </row>
    <row r="29" spans="1:14" s="49" customFormat="1" ht="30.75" customHeight="1" thickBot="1">
      <c r="A29" s="55" t="s">
        <v>107</v>
      </c>
      <c r="B29" s="134">
        <v>600</v>
      </c>
      <c r="C29" s="135">
        <v>60014</v>
      </c>
      <c r="D29" s="135">
        <v>6050</v>
      </c>
      <c r="E29" s="181" t="s">
        <v>145</v>
      </c>
      <c r="F29" s="87">
        <v>100000</v>
      </c>
      <c r="G29" s="79">
        <v>0</v>
      </c>
      <c r="H29" s="79"/>
      <c r="I29" s="80"/>
      <c r="J29" s="81" t="s">
        <v>304</v>
      </c>
      <c r="K29" s="90"/>
      <c r="L29" s="73"/>
    </row>
    <row r="30" spans="1:14" s="49" customFormat="1" ht="40.5" customHeight="1" thickBot="1">
      <c r="A30" s="333" t="s">
        <v>108</v>
      </c>
      <c r="B30" s="353">
        <v>600</v>
      </c>
      <c r="C30" s="354">
        <v>60014</v>
      </c>
      <c r="D30" s="354">
        <v>6050</v>
      </c>
      <c r="E30" s="355" t="s">
        <v>126</v>
      </c>
      <c r="F30" s="336">
        <v>25000</v>
      </c>
      <c r="G30" s="350"/>
      <c r="H30" s="350"/>
      <c r="I30" s="335"/>
      <c r="J30" s="337" t="s">
        <v>300</v>
      </c>
      <c r="K30" s="341"/>
      <c r="L30" s="73"/>
    </row>
    <row r="31" spans="1:14" s="48" customFormat="1" ht="27.95" customHeight="1" thickBot="1">
      <c r="A31" s="382" t="s">
        <v>64</v>
      </c>
      <c r="B31" s="382"/>
      <c r="C31" s="382"/>
      <c r="D31" s="382"/>
      <c r="E31" s="382"/>
      <c r="F31" s="121">
        <f>SUM(G31:J31)</f>
        <v>400000</v>
      </c>
      <c r="G31" s="121">
        <f>SUM(G32:G35)</f>
        <v>140166</v>
      </c>
      <c r="H31" s="121">
        <f t="shared" ref="H31:I31" si="1">SUM(H32:H35)</f>
        <v>0</v>
      </c>
      <c r="I31" s="121">
        <f t="shared" si="1"/>
        <v>0</v>
      </c>
      <c r="J31" s="129">
        <f>100000+75000+84834</f>
        <v>259834</v>
      </c>
      <c r="K31" s="136"/>
      <c r="L31" s="74"/>
    </row>
    <row r="32" spans="1:14" s="36" customFormat="1" ht="30" customHeight="1" thickBot="1">
      <c r="A32" s="55" t="s">
        <v>109</v>
      </c>
      <c r="B32" s="55">
        <v>600</v>
      </c>
      <c r="C32" s="55">
        <v>60014</v>
      </c>
      <c r="D32" s="55">
        <v>6050</v>
      </c>
      <c r="E32" s="66" t="s">
        <v>89</v>
      </c>
      <c r="F32" s="58">
        <f>G32</f>
        <v>100000</v>
      </c>
      <c r="G32" s="59">
        <v>100000</v>
      </c>
      <c r="H32" s="59"/>
      <c r="I32" s="60"/>
      <c r="J32" s="61" t="s">
        <v>276</v>
      </c>
      <c r="K32" s="65"/>
      <c r="L32" s="73" t="s">
        <v>49</v>
      </c>
    </row>
    <row r="33" spans="1:12" s="40" customFormat="1" ht="30" customHeight="1" thickBot="1">
      <c r="A33" s="55" t="s">
        <v>110</v>
      </c>
      <c r="B33" s="55">
        <v>600</v>
      </c>
      <c r="C33" s="55">
        <v>60014</v>
      </c>
      <c r="D33" s="55">
        <v>6050</v>
      </c>
      <c r="E33" s="66" t="s">
        <v>115</v>
      </c>
      <c r="F33" s="58">
        <v>100000</v>
      </c>
      <c r="G33" s="59">
        <v>0</v>
      </c>
      <c r="H33" s="59"/>
      <c r="I33" s="60"/>
      <c r="J33" s="61" t="s">
        <v>304</v>
      </c>
      <c r="K33" s="65"/>
      <c r="L33" s="76" t="s">
        <v>49</v>
      </c>
    </row>
    <row r="34" spans="1:12" s="40" customFormat="1" ht="66.75" customHeight="1" thickBot="1">
      <c r="A34" s="333" t="s">
        <v>111</v>
      </c>
      <c r="B34" s="333">
        <v>600</v>
      </c>
      <c r="C34" s="333">
        <v>60014</v>
      </c>
      <c r="D34" s="333">
        <v>6050</v>
      </c>
      <c r="E34" s="357" t="s">
        <v>143</v>
      </c>
      <c r="F34" s="336">
        <f>25000+75000</f>
        <v>100000</v>
      </c>
      <c r="G34" s="350">
        <v>25000</v>
      </c>
      <c r="H34" s="350"/>
      <c r="I34" s="335"/>
      <c r="J34" s="337" t="s">
        <v>311</v>
      </c>
      <c r="K34" s="341"/>
      <c r="L34" s="73"/>
    </row>
    <row r="35" spans="1:12" s="40" customFormat="1" ht="30" customHeight="1" thickBot="1">
      <c r="A35" s="333" t="s">
        <v>112</v>
      </c>
      <c r="B35" s="333">
        <v>600</v>
      </c>
      <c r="C35" s="333">
        <v>60014</v>
      </c>
      <c r="D35" s="333">
        <v>6050</v>
      </c>
      <c r="E35" s="357" t="s">
        <v>127</v>
      </c>
      <c r="F35" s="336">
        <f>G35+84834</f>
        <v>100000</v>
      </c>
      <c r="G35" s="350">
        <v>15166</v>
      </c>
      <c r="H35" s="350"/>
      <c r="I35" s="335"/>
      <c r="J35" s="337" t="s">
        <v>312</v>
      </c>
      <c r="K35" s="341"/>
      <c r="L35" s="76" t="s">
        <v>49</v>
      </c>
    </row>
    <row r="36" spans="1:12" s="40" customFormat="1" ht="27.95" customHeight="1" thickBot="1">
      <c r="A36" s="382" t="s">
        <v>116</v>
      </c>
      <c r="B36" s="382"/>
      <c r="C36" s="382"/>
      <c r="D36" s="382"/>
      <c r="E36" s="382"/>
      <c r="F36" s="129">
        <f>SUM(G36:J36)</f>
        <v>395000</v>
      </c>
      <c r="G36" s="129">
        <f>SUM(G37:G41)</f>
        <v>195000</v>
      </c>
      <c r="H36" s="163">
        <f t="shared" ref="H36:I36" si="2">SUM(H37:H41)</f>
        <v>0</v>
      </c>
      <c r="I36" s="163">
        <f t="shared" si="2"/>
        <v>0</v>
      </c>
      <c r="J36" s="129">
        <f>50000+25000+20000+25000+100000-20000</f>
        <v>200000</v>
      </c>
      <c r="K36" s="136"/>
      <c r="L36" s="73"/>
    </row>
    <row r="37" spans="1:12" s="40" customFormat="1" ht="30" customHeight="1" thickBot="1">
      <c r="A37" s="55" t="s">
        <v>113</v>
      </c>
      <c r="B37" s="92">
        <v>600</v>
      </c>
      <c r="C37" s="92">
        <v>60014</v>
      </c>
      <c r="D37" s="92">
        <v>6050</v>
      </c>
      <c r="E37" s="93" t="s">
        <v>117</v>
      </c>
      <c r="F37" s="87">
        <f>G37+50000</f>
        <v>200000</v>
      </c>
      <c r="G37" s="79">
        <f>100000+50000</f>
        <v>150000</v>
      </c>
      <c r="H37" s="79"/>
      <c r="I37" s="80"/>
      <c r="J37" s="81" t="s">
        <v>122</v>
      </c>
      <c r="K37" s="90"/>
      <c r="L37" s="76" t="s">
        <v>49</v>
      </c>
    </row>
    <row r="38" spans="1:12" s="40" customFormat="1" ht="36" customHeight="1" thickBot="1">
      <c r="A38" s="55" t="s">
        <v>118</v>
      </c>
      <c r="B38" s="92">
        <v>600</v>
      </c>
      <c r="C38" s="92">
        <v>60014</v>
      </c>
      <c r="D38" s="92">
        <v>6050</v>
      </c>
      <c r="E38" s="93" t="s">
        <v>140</v>
      </c>
      <c r="F38" s="87">
        <f>G38+25000</f>
        <v>50000</v>
      </c>
      <c r="G38" s="79">
        <v>25000</v>
      </c>
      <c r="H38" s="79"/>
      <c r="I38" s="80"/>
      <c r="J38" s="81" t="s">
        <v>128</v>
      </c>
      <c r="K38" s="90"/>
      <c r="L38" s="73"/>
    </row>
    <row r="39" spans="1:12" s="40" customFormat="1" ht="30" customHeight="1" thickBot="1">
      <c r="A39" s="333" t="s">
        <v>119</v>
      </c>
      <c r="B39" s="333">
        <v>600</v>
      </c>
      <c r="C39" s="333">
        <v>60014</v>
      </c>
      <c r="D39" s="333">
        <v>6050</v>
      </c>
      <c r="E39" s="357" t="s">
        <v>146</v>
      </c>
      <c r="F39" s="336">
        <v>20000</v>
      </c>
      <c r="G39" s="350">
        <v>20000</v>
      </c>
      <c r="H39" s="350"/>
      <c r="I39" s="335"/>
      <c r="J39" s="337" t="s">
        <v>313</v>
      </c>
      <c r="K39" s="341"/>
      <c r="L39" s="73"/>
    </row>
    <row r="40" spans="1:12" s="40" customFormat="1" ht="32.25" customHeight="1" thickBot="1">
      <c r="A40" s="55" t="s">
        <v>120</v>
      </c>
      <c r="B40" s="92">
        <v>600</v>
      </c>
      <c r="C40" s="92">
        <v>60014</v>
      </c>
      <c r="D40" s="92">
        <v>6050</v>
      </c>
      <c r="E40" s="93" t="s">
        <v>141</v>
      </c>
      <c r="F40" s="87">
        <v>25000</v>
      </c>
      <c r="G40" s="79">
        <v>0</v>
      </c>
      <c r="H40" s="79"/>
      <c r="I40" s="80"/>
      <c r="J40" s="81" t="s">
        <v>300</v>
      </c>
      <c r="K40" s="90"/>
      <c r="L40" s="73"/>
    </row>
    <row r="41" spans="1:12" s="40" customFormat="1" ht="30" customHeight="1" thickBot="1">
      <c r="A41" s="55" t="s">
        <v>147</v>
      </c>
      <c r="B41" s="92">
        <v>600</v>
      </c>
      <c r="C41" s="92">
        <v>60014</v>
      </c>
      <c r="D41" s="92">
        <v>6050</v>
      </c>
      <c r="E41" s="93" t="s">
        <v>129</v>
      </c>
      <c r="F41" s="87">
        <v>100000</v>
      </c>
      <c r="G41" s="79">
        <v>0</v>
      </c>
      <c r="H41" s="79"/>
      <c r="I41" s="80"/>
      <c r="J41" s="81" t="s">
        <v>304</v>
      </c>
      <c r="K41" s="90"/>
      <c r="L41" s="73"/>
    </row>
    <row r="42" spans="1:12" s="40" customFormat="1" ht="27.95" customHeight="1" thickBot="1">
      <c r="A42" s="382" t="s">
        <v>63</v>
      </c>
      <c r="B42" s="382"/>
      <c r="C42" s="382"/>
      <c r="D42" s="382"/>
      <c r="E42" s="382"/>
      <c r="F42" s="121">
        <f>SUM(G42:J42)</f>
        <v>650000</v>
      </c>
      <c r="G42" s="121">
        <f>SUM(G43:G47)</f>
        <v>150000</v>
      </c>
      <c r="H42" s="121">
        <f t="shared" ref="H42:I42" si="3">SUM(H43:H47)</f>
        <v>0</v>
      </c>
      <c r="I42" s="121">
        <f t="shared" si="3"/>
        <v>0</v>
      </c>
      <c r="J42" s="129">
        <f>400000+100000+50000-50000</f>
        <v>500000</v>
      </c>
      <c r="K42" s="137"/>
      <c r="L42" s="138"/>
    </row>
    <row r="43" spans="1:12" s="36" customFormat="1" ht="39" customHeight="1" thickBot="1">
      <c r="A43" s="55" t="s">
        <v>148</v>
      </c>
      <c r="B43" s="55">
        <v>600</v>
      </c>
      <c r="C43" s="55">
        <v>60014</v>
      </c>
      <c r="D43" s="55">
        <v>6050</v>
      </c>
      <c r="E43" s="182" t="s">
        <v>131</v>
      </c>
      <c r="F43" s="58">
        <v>100000</v>
      </c>
      <c r="G43" s="59">
        <v>0</v>
      </c>
      <c r="H43" s="59"/>
      <c r="I43" s="60"/>
      <c r="J43" s="61" t="s">
        <v>304</v>
      </c>
      <c r="K43" s="65"/>
      <c r="L43" s="73" t="s">
        <v>49</v>
      </c>
    </row>
    <row r="44" spans="1:12" s="36" customFormat="1" ht="39" customHeight="1" thickBot="1">
      <c r="A44" s="55" t="s">
        <v>149</v>
      </c>
      <c r="B44" s="55">
        <v>600</v>
      </c>
      <c r="C44" s="55">
        <v>60014</v>
      </c>
      <c r="D44" s="55">
        <v>6050</v>
      </c>
      <c r="E44" s="195" t="s">
        <v>132</v>
      </c>
      <c r="F44" s="58">
        <f>G44</f>
        <v>100000</v>
      </c>
      <c r="G44" s="59">
        <v>100000</v>
      </c>
      <c r="H44" s="59"/>
      <c r="I44" s="60"/>
      <c r="J44" s="61" t="s">
        <v>279</v>
      </c>
      <c r="K44" s="65"/>
      <c r="L44" s="73"/>
    </row>
    <row r="45" spans="1:12" s="36" customFormat="1" ht="51.75" customHeight="1" thickBot="1">
      <c r="A45" s="333" t="s">
        <v>150</v>
      </c>
      <c r="B45" s="333">
        <v>600</v>
      </c>
      <c r="C45" s="333">
        <v>60014</v>
      </c>
      <c r="D45" s="333">
        <v>6050</v>
      </c>
      <c r="E45" s="357" t="s">
        <v>248</v>
      </c>
      <c r="F45" s="336">
        <f>G45</f>
        <v>50000</v>
      </c>
      <c r="G45" s="350">
        <v>50000</v>
      </c>
      <c r="H45" s="350"/>
      <c r="I45" s="335"/>
      <c r="J45" s="337" t="s">
        <v>422</v>
      </c>
      <c r="K45" s="341"/>
      <c r="L45" s="73"/>
    </row>
    <row r="46" spans="1:12" s="36" customFormat="1" ht="36.75" customHeight="1" thickBot="1">
      <c r="A46" s="55" t="s">
        <v>151</v>
      </c>
      <c r="B46" s="55">
        <v>600</v>
      </c>
      <c r="C46" s="55">
        <v>60014</v>
      </c>
      <c r="D46" s="55">
        <v>6050</v>
      </c>
      <c r="E46" s="66" t="s">
        <v>264</v>
      </c>
      <c r="F46" s="58">
        <v>200000</v>
      </c>
      <c r="G46" s="59"/>
      <c r="H46" s="59"/>
      <c r="I46" s="60"/>
      <c r="J46" s="61" t="s">
        <v>266</v>
      </c>
      <c r="K46" s="65"/>
      <c r="L46" s="76" t="s">
        <v>49</v>
      </c>
    </row>
    <row r="47" spans="1:12" s="36" customFormat="1" ht="39" customHeight="1" thickBot="1">
      <c r="A47" s="55" t="s">
        <v>152</v>
      </c>
      <c r="B47" s="55">
        <v>600</v>
      </c>
      <c r="C47" s="55">
        <v>60014</v>
      </c>
      <c r="D47" s="55">
        <v>6050</v>
      </c>
      <c r="E47" s="183" t="s">
        <v>265</v>
      </c>
      <c r="F47" s="58">
        <v>200000</v>
      </c>
      <c r="G47" s="59"/>
      <c r="H47" s="59"/>
      <c r="I47" s="60"/>
      <c r="J47" s="61" t="s">
        <v>266</v>
      </c>
      <c r="K47" s="65"/>
      <c r="L47" s="76" t="s">
        <v>49</v>
      </c>
    </row>
    <row r="48" spans="1:12" s="36" customFormat="1" ht="27.95" customHeight="1" thickBot="1">
      <c r="A48" s="382" t="s">
        <v>62</v>
      </c>
      <c r="B48" s="382"/>
      <c r="C48" s="382"/>
      <c r="D48" s="382"/>
      <c r="E48" s="382"/>
      <c r="F48" s="121">
        <f>SUM(G48:J48)</f>
        <v>955331</v>
      </c>
      <c r="G48" s="121">
        <f>SUM(G49:G58)</f>
        <v>207710</v>
      </c>
      <c r="H48" s="121">
        <f t="shared" ref="H48:I48" si="4">SUM(H49:H58)</f>
        <v>0</v>
      </c>
      <c r="I48" s="121">
        <f t="shared" si="4"/>
        <v>0</v>
      </c>
      <c r="J48" s="129">
        <f>60000+20000+20000+100000+100000+150000+40000+148000-30000+40000+99621</f>
        <v>747621</v>
      </c>
      <c r="K48" s="130"/>
      <c r="L48" s="139"/>
    </row>
    <row r="49" spans="1:15" s="36" customFormat="1" ht="51" customHeight="1" thickBot="1">
      <c r="A49" s="55" t="s">
        <v>153</v>
      </c>
      <c r="B49" s="56">
        <v>600</v>
      </c>
      <c r="C49" s="56">
        <v>60014</v>
      </c>
      <c r="D49" s="56">
        <v>6050</v>
      </c>
      <c r="E49" s="66" t="s">
        <v>94</v>
      </c>
      <c r="F49" s="58">
        <f>G49</f>
        <v>0</v>
      </c>
      <c r="G49" s="59">
        <f>338000-150000-188000</f>
        <v>0</v>
      </c>
      <c r="H49" s="63"/>
      <c r="I49" s="64"/>
      <c r="J49" s="61" t="s">
        <v>275</v>
      </c>
      <c r="K49" s="65"/>
      <c r="L49" s="73" t="s">
        <v>49</v>
      </c>
    </row>
    <row r="50" spans="1:15" s="36" customFormat="1" ht="40.5" customHeight="1" thickBot="1">
      <c r="A50" s="55" t="s">
        <v>154</v>
      </c>
      <c r="B50" s="56">
        <v>600</v>
      </c>
      <c r="C50" s="56">
        <v>60014</v>
      </c>
      <c r="D50" s="56">
        <v>6050</v>
      </c>
      <c r="E50" s="141" t="s">
        <v>93</v>
      </c>
      <c r="F50" s="58">
        <f>70000-10000</f>
        <v>60000</v>
      </c>
      <c r="G50" s="59"/>
      <c r="H50" s="63"/>
      <c r="I50" s="64"/>
      <c r="J50" s="61" t="s">
        <v>256</v>
      </c>
      <c r="K50" s="65"/>
      <c r="L50" s="76" t="s">
        <v>49</v>
      </c>
    </row>
    <row r="51" spans="1:15" s="36" customFormat="1" ht="50.25" customHeight="1" thickBot="1">
      <c r="A51" s="55" t="s">
        <v>155</v>
      </c>
      <c r="B51" s="56">
        <v>600</v>
      </c>
      <c r="C51" s="56">
        <v>60014</v>
      </c>
      <c r="D51" s="56">
        <v>6050</v>
      </c>
      <c r="E51" s="184" t="s">
        <v>294</v>
      </c>
      <c r="F51" s="58">
        <f>G51+20000</f>
        <v>104550</v>
      </c>
      <c r="G51" s="59">
        <f>80000+4550</f>
        <v>84550</v>
      </c>
      <c r="H51" s="63"/>
      <c r="I51" s="64"/>
      <c r="J51" s="61" t="s">
        <v>133</v>
      </c>
      <c r="K51" s="65"/>
      <c r="L51" s="73"/>
    </row>
    <row r="52" spans="1:15" s="36" customFormat="1" ht="57" customHeight="1" thickBot="1">
      <c r="A52" s="55" t="s">
        <v>156</v>
      </c>
      <c r="B52" s="56">
        <v>600</v>
      </c>
      <c r="C52" s="56">
        <v>60014</v>
      </c>
      <c r="D52" s="56">
        <v>6050</v>
      </c>
      <c r="E52" s="184" t="s">
        <v>251</v>
      </c>
      <c r="F52" s="58">
        <f>G52+20000</f>
        <v>113160</v>
      </c>
      <c r="G52" s="59">
        <f>80000+13160</f>
        <v>93160</v>
      </c>
      <c r="H52" s="63"/>
      <c r="I52" s="64"/>
      <c r="J52" s="61" t="s">
        <v>133</v>
      </c>
      <c r="K52" s="65"/>
      <c r="L52" s="73"/>
    </row>
    <row r="53" spans="1:15" s="36" customFormat="1" ht="47.25" customHeight="1" thickBot="1">
      <c r="A53" s="55" t="s">
        <v>157</v>
      </c>
      <c r="B53" s="56">
        <v>600</v>
      </c>
      <c r="C53" s="56">
        <v>60014</v>
      </c>
      <c r="D53" s="56">
        <v>6050</v>
      </c>
      <c r="E53" s="185" t="s">
        <v>317</v>
      </c>
      <c r="F53" s="58">
        <f>G53</f>
        <v>0</v>
      </c>
      <c r="G53" s="59">
        <v>0</v>
      </c>
      <c r="H53" s="63"/>
      <c r="I53" s="64"/>
      <c r="J53" s="61"/>
      <c r="K53" s="61"/>
      <c r="L53" s="73"/>
    </row>
    <row r="54" spans="1:15" s="36" customFormat="1" ht="29.25" customHeight="1" thickBot="1">
      <c r="A54" s="333" t="s">
        <v>159</v>
      </c>
      <c r="B54" s="334">
        <v>600</v>
      </c>
      <c r="C54" s="334">
        <v>60014</v>
      </c>
      <c r="D54" s="334">
        <v>6050</v>
      </c>
      <c r="E54" s="358" t="s">
        <v>134</v>
      </c>
      <c r="F54" s="336">
        <f>G54+70000</f>
        <v>100000</v>
      </c>
      <c r="G54" s="350">
        <v>30000</v>
      </c>
      <c r="H54" s="352"/>
      <c r="I54" s="340"/>
      <c r="J54" s="337" t="s">
        <v>302</v>
      </c>
      <c r="K54" s="341"/>
      <c r="L54" s="73" t="s">
        <v>49</v>
      </c>
    </row>
    <row r="55" spans="1:15" s="36" customFormat="1" ht="36.75" customHeight="1" thickBot="1">
      <c r="A55" s="55" t="s">
        <v>160</v>
      </c>
      <c r="B55" s="56">
        <v>600</v>
      </c>
      <c r="C55" s="56">
        <v>60014</v>
      </c>
      <c r="D55" s="56">
        <v>6050</v>
      </c>
      <c r="E55" s="141" t="s">
        <v>308</v>
      </c>
      <c r="F55" s="58">
        <v>100000</v>
      </c>
      <c r="G55" s="59">
        <v>0</v>
      </c>
      <c r="H55" s="63"/>
      <c r="I55" s="64"/>
      <c r="J55" s="61" t="s">
        <v>304</v>
      </c>
      <c r="K55" s="65"/>
      <c r="L55" s="73"/>
    </row>
    <row r="56" spans="1:15" s="36" customFormat="1" ht="36.75" customHeight="1" thickBot="1">
      <c r="A56" s="55" t="s">
        <v>161</v>
      </c>
      <c r="B56" s="56">
        <v>600</v>
      </c>
      <c r="C56" s="56">
        <v>60014</v>
      </c>
      <c r="D56" s="56">
        <v>6050</v>
      </c>
      <c r="E56" s="186" t="s">
        <v>283</v>
      </c>
      <c r="F56" s="58">
        <v>150000</v>
      </c>
      <c r="G56" s="59"/>
      <c r="H56" s="63"/>
      <c r="I56" s="64"/>
      <c r="J56" s="61" t="s">
        <v>297</v>
      </c>
      <c r="K56" s="65"/>
      <c r="L56" s="73"/>
    </row>
    <row r="57" spans="1:15" s="46" customFormat="1" ht="45.75" customHeight="1" thickBot="1">
      <c r="A57" s="333" t="s">
        <v>162</v>
      </c>
      <c r="B57" s="359">
        <v>600</v>
      </c>
      <c r="C57" s="359">
        <v>60014</v>
      </c>
      <c r="D57" s="359">
        <v>6050</v>
      </c>
      <c r="E57" s="360" t="s">
        <v>282</v>
      </c>
      <c r="F57" s="361">
        <f>40000+40000+99621</f>
        <v>179621</v>
      </c>
      <c r="G57" s="362">
        <v>0</v>
      </c>
      <c r="H57" s="362"/>
      <c r="I57" s="363"/>
      <c r="J57" s="364" t="s">
        <v>423</v>
      </c>
      <c r="K57" s="365"/>
      <c r="L57" s="142"/>
    </row>
    <row r="58" spans="1:15" s="36" customFormat="1" ht="52.5" customHeight="1" thickBot="1">
      <c r="A58" s="55" t="s">
        <v>163</v>
      </c>
      <c r="B58" s="187">
        <v>600</v>
      </c>
      <c r="C58" s="187">
        <v>60014</v>
      </c>
      <c r="D58" s="187">
        <v>6050</v>
      </c>
      <c r="E58" s="188" t="s">
        <v>284</v>
      </c>
      <c r="F58" s="189">
        <v>148000</v>
      </c>
      <c r="G58" s="190">
        <v>0</v>
      </c>
      <c r="H58" s="190"/>
      <c r="I58" s="191"/>
      <c r="J58" s="170" t="s">
        <v>305</v>
      </c>
      <c r="K58" s="192"/>
      <c r="L58" s="73"/>
    </row>
    <row r="59" spans="1:15" s="49" customFormat="1" ht="27.95" customHeight="1" thickBot="1">
      <c r="A59" s="396"/>
      <c r="B59" s="397"/>
      <c r="C59" s="397"/>
      <c r="D59" s="397"/>
      <c r="E59" s="398"/>
      <c r="F59" s="121">
        <f>SUM(G59:J59)</f>
        <v>729650</v>
      </c>
      <c r="G59" s="121">
        <f>SUM(G60:G63)</f>
        <v>729650</v>
      </c>
      <c r="H59" s="121">
        <f t="shared" ref="H59:I59" si="5">SUM(H60:H63)</f>
        <v>0</v>
      </c>
      <c r="I59" s="121">
        <f t="shared" si="5"/>
        <v>0</v>
      </c>
      <c r="J59" s="121">
        <f t="shared" ref="J59" si="6">SUM(J61:J63)</f>
        <v>0</v>
      </c>
      <c r="K59" s="130"/>
      <c r="L59" s="142"/>
    </row>
    <row r="60" spans="1:15" s="43" customFormat="1" ht="35.25" customHeight="1" thickBot="1">
      <c r="A60" s="55" t="s">
        <v>164</v>
      </c>
      <c r="B60" s="56">
        <v>600</v>
      </c>
      <c r="C60" s="56">
        <v>60014</v>
      </c>
      <c r="D60" s="56">
        <v>6050</v>
      </c>
      <c r="E60" s="66" t="s">
        <v>295</v>
      </c>
      <c r="F60" s="58">
        <f>SUM(G60:H60)</f>
        <v>54650</v>
      </c>
      <c r="G60" s="58">
        <v>54650</v>
      </c>
      <c r="H60" s="58"/>
      <c r="I60" s="58"/>
      <c r="J60" s="58"/>
      <c r="K60" s="65"/>
      <c r="L60" s="193" t="s">
        <v>49</v>
      </c>
    </row>
    <row r="61" spans="1:15" s="40" customFormat="1" ht="27" customHeight="1" thickBot="1">
      <c r="A61" s="55" t="s">
        <v>165</v>
      </c>
      <c r="B61" s="143">
        <v>600</v>
      </c>
      <c r="C61" s="143">
        <v>60014</v>
      </c>
      <c r="D61" s="143">
        <v>6060</v>
      </c>
      <c r="E61" s="144" t="s">
        <v>61</v>
      </c>
      <c r="F61" s="140">
        <f>SUM(G61:H61)</f>
        <v>150000</v>
      </c>
      <c r="G61" s="140">
        <v>150000</v>
      </c>
      <c r="H61" s="145"/>
      <c r="I61" s="146"/>
      <c r="J61" s="146"/>
      <c r="K61" s="147"/>
      <c r="L61" s="77"/>
    </row>
    <row r="62" spans="1:15" s="40" customFormat="1" ht="39" customHeight="1" thickBot="1">
      <c r="A62" s="55" t="s">
        <v>166</v>
      </c>
      <c r="B62" s="85">
        <v>600</v>
      </c>
      <c r="C62" s="85">
        <v>60014</v>
      </c>
      <c r="D62" s="85">
        <v>6060</v>
      </c>
      <c r="E62" s="86" t="s">
        <v>158</v>
      </c>
      <c r="F62" s="87">
        <f>G62</f>
        <v>25000</v>
      </c>
      <c r="G62" s="87">
        <v>25000</v>
      </c>
      <c r="H62" s="94"/>
      <c r="I62" s="88"/>
      <c r="J62" s="88"/>
      <c r="K62" s="90"/>
      <c r="L62" s="114"/>
    </row>
    <row r="63" spans="1:15" s="40" customFormat="1" ht="91.5" customHeight="1" thickBot="1">
      <c r="A63" s="55" t="s">
        <v>167</v>
      </c>
      <c r="B63" s="85">
        <v>600</v>
      </c>
      <c r="C63" s="85">
        <v>60014</v>
      </c>
      <c r="D63" s="85">
        <v>6610</v>
      </c>
      <c r="E63" s="93" t="s">
        <v>180</v>
      </c>
      <c r="F63" s="87">
        <f>SUM(G63:H63)</f>
        <v>500000</v>
      </c>
      <c r="G63" s="87">
        <v>500000</v>
      </c>
      <c r="H63" s="87"/>
      <c r="I63" s="88"/>
      <c r="J63" s="88"/>
      <c r="K63" s="90"/>
      <c r="L63" s="115" t="s">
        <v>49</v>
      </c>
    </row>
    <row r="64" spans="1:15" s="47" customFormat="1" ht="35.1" customHeight="1" thickBot="1">
      <c r="A64" s="395" t="s">
        <v>60</v>
      </c>
      <c r="B64" s="395"/>
      <c r="C64" s="395"/>
      <c r="D64" s="395"/>
      <c r="E64" s="395"/>
      <c r="F64" s="67">
        <f>SUM(F7,F12,F19,F25,F31,F36,F42,F48,F59)</f>
        <v>13366514</v>
      </c>
      <c r="G64" s="67">
        <f>SUM(G7,G12,G19,G25,G31,G36,G42,G48,G59)</f>
        <v>2852161</v>
      </c>
      <c r="H64" s="67">
        <f>SUM(H7,H12,H19,H25,H31,H36,H42,H48,H59)</f>
        <v>2187119</v>
      </c>
      <c r="I64" s="67">
        <f>SUM(I7,I12,I19,I25,I31,I36,I42,I48,I59)</f>
        <v>0</v>
      </c>
      <c r="J64" s="67">
        <f>SUM(J7,J12,J19,J25,J31,J36,J42,J48,J59)</f>
        <v>8327234</v>
      </c>
      <c r="K64" s="69"/>
      <c r="L64" s="148"/>
      <c r="N64" s="292"/>
      <c r="O64" s="292"/>
    </row>
    <row r="65" spans="1:12" s="46" customFormat="1" ht="28.5" customHeight="1" thickBot="1">
      <c r="A65" s="56" t="s">
        <v>168</v>
      </c>
      <c r="B65" s="56">
        <v>710</v>
      </c>
      <c r="C65" s="56">
        <v>71012</v>
      </c>
      <c r="D65" s="56">
        <v>6060</v>
      </c>
      <c r="E65" s="60" t="s">
        <v>86</v>
      </c>
      <c r="F65" s="58">
        <f>G65</f>
        <v>40000</v>
      </c>
      <c r="G65" s="58">
        <v>40000</v>
      </c>
      <c r="H65" s="58"/>
      <c r="I65" s="60"/>
      <c r="J65" s="60"/>
      <c r="K65" s="62"/>
      <c r="L65" s="75"/>
    </row>
    <row r="66" spans="1:12" s="36" customFormat="1" ht="35.1" customHeight="1" thickBot="1">
      <c r="A66" s="395" t="s">
        <v>85</v>
      </c>
      <c r="B66" s="395"/>
      <c r="C66" s="395"/>
      <c r="D66" s="395"/>
      <c r="E66" s="395"/>
      <c r="F66" s="67">
        <f>SUM(F65:F65)</f>
        <v>40000</v>
      </c>
      <c r="G66" s="67">
        <f>SUM(G65:G65)</f>
        <v>40000</v>
      </c>
      <c r="H66" s="67">
        <f>H65</f>
        <v>0</v>
      </c>
      <c r="I66" s="67"/>
      <c r="J66" s="67"/>
      <c r="K66" s="69"/>
      <c r="L66" s="149"/>
    </row>
    <row r="67" spans="1:12" s="36" customFormat="1" ht="45" customHeight="1" thickBot="1">
      <c r="A67" s="56" t="s">
        <v>169</v>
      </c>
      <c r="B67" s="56">
        <v>710</v>
      </c>
      <c r="C67" s="56">
        <v>71095</v>
      </c>
      <c r="D67" s="56">
        <v>6639</v>
      </c>
      <c r="E67" s="66" t="s">
        <v>252</v>
      </c>
      <c r="F67" s="58">
        <f>G67</f>
        <v>13255</v>
      </c>
      <c r="G67" s="58">
        <f>22770-14800+5285</f>
        <v>13255</v>
      </c>
      <c r="H67" s="58"/>
      <c r="I67" s="58"/>
      <c r="J67" s="58"/>
      <c r="K67" s="62"/>
      <c r="L67" s="120"/>
    </row>
    <row r="68" spans="1:12" s="36" customFormat="1" ht="35.1" customHeight="1" thickBot="1">
      <c r="A68" s="399" t="s">
        <v>253</v>
      </c>
      <c r="B68" s="400"/>
      <c r="C68" s="400"/>
      <c r="D68" s="400"/>
      <c r="E68" s="401"/>
      <c r="F68" s="67">
        <f>SUM(F67)</f>
        <v>13255</v>
      </c>
      <c r="G68" s="67">
        <f>SUM(G67)</f>
        <v>13255</v>
      </c>
      <c r="H68" s="67"/>
      <c r="I68" s="67"/>
      <c r="J68" s="67"/>
      <c r="K68" s="69"/>
      <c r="L68" s="116"/>
    </row>
    <row r="69" spans="1:12" s="43" customFormat="1" ht="51" customHeight="1" thickBot="1">
      <c r="A69" s="56" t="s">
        <v>170</v>
      </c>
      <c r="B69" s="56">
        <v>750</v>
      </c>
      <c r="C69" s="56">
        <v>75020</v>
      </c>
      <c r="D69" s="56">
        <v>6050</v>
      </c>
      <c r="E69" s="66" t="s">
        <v>59</v>
      </c>
      <c r="F69" s="58">
        <f>G69</f>
        <v>184715</v>
      </c>
      <c r="G69" s="58">
        <f>772000-272000-310000-5285</f>
        <v>184715</v>
      </c>
      <c r="H69" s="58"/>
      <c r="I69" s="60"/>
      <c r="J69" s="60"/>
      <c r="K69" s="65"/>
      <c r="L69" s="194" t="s">
        <v>49</v>
      </c>
    </row>
    <row r="70" spans="1:12" s="43" customFormat="1" ht="46.9" customHeight="1" thickBot="1">
      <c r="A70" s="56" t="s">
        <v>171</v>
      </c>
      <c r="B70" s="56">
        <v>750</v>
      </c>
      <c r="C70" s="56">
        <v>75020</v>
      </c>
      <c r="D70" s="56">
        <v>6050</v>
      </c>
      <c r="E70" s="66" t="s">
        <v>135</v>
      </c>
      <c r="F70" s="58">
        <f>G70</f>
        <v>50000</v>
      </c>
      <c r="G70" s="58">
        <v>50000</v>
      </c>
      <c r="H70" s="58"/>
      <c r="I70" s="60"/>
      <c r="J70" s="60"/>
      <c r="K70" s="65"/>
      <c r="L70" s="194"/>
    </row>
    <row r="71" spans="1:12" s="43" customFormat="1" ht="46.9" customHeight="1" thickBot="1">
      <c r="A71" s="56" t="s">
        <v>172</v>
      </c>
      <c r="B71" s="56">
        <v>750</v>
      </c>
      <c r="C71" s="56">
        <v>75020</v>
      </c>
      <c r="D71" s="56">
        <v>6050</v>
      </c>
      <c r="E71" s="66" t="s">
        <v>293</v>
      </c>
      <c r="F71" s="58">
        <f>G71</f>
        <v>100000</v>
      </c>
      <c r="G71" s="58">
        <v>100000</v>
      </c>
      <c r="H71" s="58"/>
      <c r="I71" s="60"/>
      <c r="J71" s="60"/>
      <c r="K71" s="62" t="s">
        <v>292</v>
      </c>
      <c r="L71" s="194"/>
    </row>
    <row r="72" spans="1:12" s="46" customFormat="1" ht="35.25" customHeight="1" thickBot="1">
      <c r="A72" s="395" t="s">
        <v>58</v>
      </c>
      <c r="B72" s="395"/>
      <c r="C72" s="395"/>
      <c r="D72" s="395"/>
      <c r="E72" s="395"/>
      <c r="F72" s="67">
        <f>SUM(F69:F71)</f>
        <v>334715</v>
      </c>
      <c r="G72" s="67">
        <f>SUM(G69:G71)</f>
        <v>334715</v>
      </c>
      <c r="H72" s="67">
        <f>SUM(H69:H69)</f>
        <v>0</v>
      </c>
      <c r="I72" s="68"/>
      <c r="J72" s="68"/>
      <c r="K72" s="69"/>
      <c r="L72" s="151"/>
    </row>
    <row r="73" spans="1:12" s="36" customFormat="1" ht="51.75" customHeight="1" thickBot="1">
      <c r="A73" s="55" t="s">
        <v>173</v>
      </c>
      <c r="B73" s="56">
        <v>754</v>
      </c>
      <c r="C73" s="56">
        <v>75404</v>
      </c>
      <c r="D73" s="56">
        <v>6170</v>
      </c>
      <c r="E73" s="60" t="s">
        <v>82</v>
      </c>
      <c r="F73" s="58">
        <f>SUM(G73:H73)</f>
        <v>50000</v>
      </c>
      <c r="G73" s="58">
        <f>45000+5000</f>
        <v>50000</v>
      </c>
      <c r="H73" s="58"/>
      <c r="I73" s="60"/>
      <c r="J73" s="60"/>
      <c r="K73" s="62"/>
      <c r="L73" s="72"/>
    </row>
    <row r="74" spans="1:12" s="46" customFormat="1" ht="42" customHeight="1" thickBot="1">
      <c r="A74" s="333" t="s">
        <v>174</v>
      </c>
      <c r="B74" s="334">
        <v>754</v>
      </c>
      <c r="C74" s="334">
        <v>75404</v>
      </c>
      <c r="D74" s="334">
        <v>6170</v>
      </c>
      <c r="E74" s="335" t="s">
        <v>90</v>
      </c>
      <c r="F74" s="336">
        <f>SUM(G74:H74)</f>
        <v>131610</v>
      </c>
      <c r="G74" s="336">
        <f>350000-218390</f>
        <v>131610</v>
      </c>
      <c r="H74" s="336"/>
      <c r="I74" s="335"/>
      <c r="J74" s="335"/>
      <c r="K74" s="338"/>
      <c r="L74" s="72"/>
    </row>
    <row r="75" spans="1:12" s="46" customFormat="1" ht="42" customHeight="1" thickBot="1">
      <c r="A75" s="333" t="s">
        <v>175</v>
      </c>
      <c r="B75" s="334">
        <v>754</v>
      </c>
      <c r="C75" s="334">
        <v>75404</v>
      </c>
      <c r="D75" s="334">
        <v>6170</v>
      </c>
      <c r="E75" s="335" t="s">
        <v>424</v>
      </c>
      <c r="F75" s="336">
        <f t="shared" ref="F75:F80" si="7">SUM(G75:H75)</f>
        <v>50754</v>
      </c>
      <c r="G75" s="336">
        <v>50754</v>
      </c>
      <c r="H75" s="336"/>
      <c r="I75" s="335"/>
      <c r="J75" s="335"/>
      <c r="K75" s="338"/>
      <c r="L75" s="72"/>
    </row>
    <row r="76" spans="1:12" s="46" customFormat="1" ht="42" customHeight="1" thickBot="1">
      <c r="A76" s="333" t="s">
        <v>249</v>
      </c>
      <c r="B76" s="334">
        <v>754</v>
      </c>
      <c r="C76" s="334">
        <v>75404</v>
      </c>
      <c r="D76" s="334">
        <v>6170</v>
      </c>
      <c r="E76" s="335" t="s">
        <v>441</v>
      </c>
      <c r="F76" s="336">
        <f t="shared" si="7"/>
        <v>60000</v>
      </c>
      <c r="G76" s="336">
        <v>60000</v>
      </c>
      <c r="H76" s="336"/>
      <c r="I76" s="335"/>
      <c r="J76" s="335"/>
      <c r="K76" s="338"/>
      <c r="L76" s="72"/>
    </row>
    <row r="77" spans="1:12" s="46" customFormat="1" ht="42" customHeight="1" thickBot="1">
      <c r="A77" s="333" t="s">
        <v>250</v>
      </c>
      <c r="B77" s="334">
        <v>754</v>
      </c>
      <c r="C77" s="334">
        <v>75404</v>
      </c>
      <c r="D77" s="334">
        <v>6170</v>
      </c>
      <c r="E77" s="335" t="s">
        <v>425</v>
      </c>
      <c r="F77" s="336">
        <f t="shared" si="7"/>
        <v>25000</v>
      </c>
      <c r="G77" s="336">
        <v>25000</v>
      </c>
      <c r="H77" s="336"/>
      <c r="I77" s="335"/>
      <c r="J77" s="335"/>
      <c r="K77" s="338"/>
      <c r="L77" s="72"/>
    </row>
    <row r="78" spans="1:12" s="46" customFormat="1" ht="42" customHeight="1" thickBot="1">
      <c r="A78" s="333" t="s">
        <v>254</v>
      </c>
      <c r="B78" s="334">
        <v>754</v>
      </c>
      <c r="C78" s="334">
        <v>75404</v>
      </c>
      <c r="D78" s="334">
        <v>6170</v>
      </c>
      <c r="E78" s="335" t="s">
        <v>426</v>
      </c>
      <c r="F78" s="336">
        <f t="shared" si="7"/>
        <v>75000</v>
      </c>
      <c r="G78" s="336">
        <v>75000</v>
      </c>
      <c r="H78" s="336"/>
      <c r="I78" s="335"/>
      <c r="J78" s="335"/>
      <c r="K78" s="338"/>
      <c r="L78" s="72"/>
    </row>
    <row r="79" spans="1:12" s="46" customFormat="1" ht="42" customHeight="1" thickBot="1">
      <c r="A79" s="333" t="s">
        <v>260</v>
      </c>
      <c r="B79" s="334">
        <v>754</v>
      </c>
      <c r="C79" s="334">
        <v>75404</v>
      </c>
      <c r="D79" s="334">
        <v>6170</v>
      </c>
      <c r="E79" s="335" t="s">
        <v>427</v>
      </c>
      <c r="F79" s="336">
        <f t="shared" si="7"/>
        <v>7636</v>
      </c>
      <c r="G79" s="336">
        <v>7636</v>
      </c>
      <c r="H79" s="336"/>
      <c r="I79" s="335"/>
      <c r="J79" s="335"/>
      <c r="K79" s="338"/>
      <c r="L79" s="72"/>
    </row>
    <row r="80" spans="1:12" s="46" customFormat="1" ht="42" customHeight="1" thickBot="1">
      <c r="A80" s="55" t="s">
        <v>267</v>
      </c>
      <c r="B80" s="56">
        <v>754</v>
      </c>
      <c r="C80" s="56">
        <v>75404</v>
      </c>
      <c r="D80" s="56">
        <v>6170</v>
      </c>
      <c r="E80" s="60" t="s">
        <v>179</v>
      </c>
      <c r="F80" s="58">
        <f t="shared" si="7"/>
        <v>8000</v>
      </c>
      <c r="G80" s="58">
        <v>8000</v>
      </c>
      <c r="H80" s="58"/>
      <c r="I80" s="60"/>
      <c r="J80" s="60"/>
      <c r="K80" s="62"/>
      <c r="L80" s="72"/>
    </row>
    <row r="81" spans="1:14" s="46" customFormat="1" ht="35.1" customHeight="1" thickBot="1">
      <c r="A81" s="395" t="s">
        <v>57</v>
      </c>
      <c r="B81" s="395"/>
      <c r="C81" s="395"/>
      <c r="D81" s="395"/>
      <c r="E81" s="395"/>
      <c r="F81" s="67">
        <f>SUM(F73:F80)</f>
        <v>408000</v>
      </c>
      <c r="G81" s="67">
        <f>SUM(G73:G80)</f>
        <v>408000</v>
      </c>
      <c r="H81" s="67">
        <f>SUM(H73:H74)</f>
        <v>0</v>
      </c>
      <c r="I81" s="68"/>
      <c r="J81" s="68"/>
      <c r="K81" s="69"/>
      <c r="L81" s="151"/>
    </row>
    <row r="82" spans="1:14" s="165" customFormat="1" ht="34.5" customHeight="1" thickBot="1">
      <c r="A82" s="56" t="s">
        <v>268</v>
      </c>
      <c r="B82" s="56">
        <v>758</v>
      </c>
      <c r="C82" s="56">
        <v>75818</v>
      </c>
      <c r="D82" s="56">
        <v>6800</v>
      </c>
      <c r="E82" s="66" t="s">
        <v>95</v>
      </c>
      <c r="F82" s="58">
        <f>G82</f>
        <v>325529</v>
      </c>
      <c r="G82" s="58">
        <f>250000+167290-22770-5000-28350-17710-17931</f>
        <v>325529</v>
      </c>
      <c r="H82" s="58"/>
      <c r="I82" s="60"/>
      <c r="J82" s="60"/>
      <c r="K82" s="62"/>
      <c r="L82" s="72"/>
    </row>
    <row r="83" spans="1:14" s="36" customFormat="1" ht="35.1" customHeight="1" thickBot="1">
      <c r="A83" s="395" t="s">
        <v>56</v>
      </c>
      <c r="B83" s="395"/>
      <c r="C83" s="395"/>
      <c r="D83" s="395"/>
      <c r="E83" s="395"/>
      <c r="F83" s="67">
        <f>SUM(F82)</f>
        <v>325529</v>
      </c>
      <c r="G83" s="67">
        <f>SUM(G82)</f>
        <v>325529</v>
      </c>
      <c r="H83" s="67">
        <f>SUM(H82)</f>
        <v>0</v>
      </c>
      <c r="I83" s="68"/>
      <c r="J83" s="68"/>
      <c r="K83" s="69"/>
      <c r="L83" s="54"/>
    </row>
    <row r="84" spans="1:14" s="45" customFormat="1" ht="37.5" customHeight="1" thickBot="1">
      <c r="A84" s="333" t="s">
        <v>269</v>
      </c>
      <c r="B84" s="334">
        <v>801</v>
      </c>
      <c r="C84" s="334">
        <v>80115</v>
      </c>
      <c r="D84" s="334">
        <v>6050</v>
      </c>
      <c r="E84" s="335" t="s">
        <v>55</v>
      </c>
      <c r="F84" s="336">
        <f>SUM(G84:H84)+2193770</f>
        <v>2500000</v>
      </c>
      <c r="G84" s="336">
        <v>306230</v>
      </c>
      <c r="H84" s="336">
        <v>0</v>
      </c>
      <c r="I84" s="335"/>
      <c r="J84" s="337" t="s">
        <v>315</v>
      </c>
      <c r="K84" s="338"/>
      <c r="L84" s="150" t="s">
        <v>49</v>
      </c>
    </row>
    <row r="85" spans="1:14" s="46" customFormat="1" ht="35.1" customHeight="1" thickBot="1">
      <c r="A85" s="395" t="s">
        <v>54</v>
      </c>
      <c r="B85" s="395"/>
      <c r="C85" s="395"/>
      <c r="D85" s="395"/>
      <c r="E85" s="395"/>
      <c r="F85" s="67">
        <f>SUM(F84:F84)</f>
        <v>2500000</v>
      </c>
      <c r="G85" s="67">
        <f>SUM(G84:G84)</f>
        <v>306230</v>
      </c>
      <c r="H85" s="67">
        <f>SUM(H84:H84)</f>
        <v>0</v>
      </c>
      <c r="I85" s="67">
        <f>SUM(I84:I84)</f>
        <v>0</v>
      </c>
      <c r="J85" s="67">
        <v>2193770</v>
      </c>
      <c r="K85" s="69"/>
      <c r="L85" s="151"/>
    </row>
    <row r="86" spans="1:14" s="45" customFormat="1" ht="33" customHeight="1" thickBot="1">
      <c r="A86" s="333" t="s">
        <v>280</v>
      </c>
      <c r="B86" s="334">
        <v>801</v>
      </c>
      <c r="C86" s="334">
        <v>80120</v>
      </c>
      <c r="D86" s="334">
        <v>6050</v>
      </c>
      <c r="E86" s="335" t="s">
        <v>53</v>
      </c>
      <c r="F86" s="336">
        <f>SUM(G86:H86)+700000</f>
        <v>1644000</v>
      </c>
      <c r="G86" s="336">
        <v>944000</v>
      </c>
      <c r="H86" s="336">
        <v>0</v>
      </c>
      <c r="I86" s="335"/>
      <c r="J86" s="337" t="s">
        <v>314</v>
      </c>
      <c r="K86" s="338"/>
      <c r="L86" s="150" t="s">
        <v>49</v>
      </c>
    </row>
    <row r="87" spans="1:14" s="43" customFormat="1" ht="33" customHeight="1" thickBot="1">
      <c r="A87" s="55" t="s">
        <v>281</v>
      </c>
      <c r="B87" s="56">
        <v>801</v>
      </c>
      <c r="C87" s="56">
        <v>80120</v>
      </c>
      <c r="D87" s="56">
        <v>6580</v>
      </c>
      <c r="E87" s="60" t="s">
        <v>83</v>
      </c>
      <c r="F87" s="58">
        <v>500000</v>
      </c>
      <c r="G87" s="58"/>
      <c r="H87" s="58">
        <v>0</v>
      </c>
      <c r="I87" s="60"/>
      <c r="J87" s="61" t="s">
        <v>306</v>
      </c>
      <c r="K87" s="62"/>
      <c r="L87" s="194"/>
    </row>
    <row r="88" spans="1:14" s="43" customFormat="1" ht="33" customHeight="1" thickBot="1">
      <c r="A88" s="333" t="s">
        <v>285</v>
      </c>
      <c r="B88" s="334">
        <v>801</v>
      </c>
      <c r="C88" s="334">
        <v>80120</v>
      </c>
      <c r="D88" s="334">
        <v>6580</v>
      </c>
      <c r="E88" s="335" t="s">
        <v>176</v>
      </c>
      <c r="F88" s="336">
        <f>SUM(G88:H88)</f>
        <v>0</v>
      </c>
      <c r="G88" s="336">
        <v>0</v>
      </c>
      <c r="H88" s="336"/>
      <c r="I88" s="335"/>
      <c r="J88" s="337"/>
      <c r="K88" s="338"/>
      <c r="L88" s="194"/>
    </row>
    <row r="89" spans="1:14" s="43" customFormat="1" ht="33" customHeight="1" thickBot="1">
      <c r="A89" s="55" t="s">
        <v>287</v>
      </c>
      <c r="B89" s="56">
        <v>801</v>
      </c>
      <c r="C89" s="56">
        <v>80120</v>
      </c>
      <c r="D89" s="56">
        <v>6580</v>
      </c>
      <c r="E89" s="60" t="s">
        <v>84</v>
      </c>
      <c r="F89" s="58">
        <v>200000</v>
      </c>
      <c r="G89" s="58">
        <v>0</v>
      </c>
      <c r="H89" s="58">
        <v>0</v>
      </c>
      <c r="I89" s="60"/>
      <c r="J89" s="61" t="s">
        <v>307</v>
      </c>
      <c r="K89" s="62"/>
      <c r="L89" s="194"/>
    </row>
    <row r="90" spans="1:14" s="44" customFormat="1" ht="35.1" customHeight="1" thickBot="1">
      <c r="A90" s="395" t="s">
        <v>52</v>
      </c>
      <c r="B90" s="395"/>
      <c r="C90" s="395"/>
      <c r="D90" s="395"/>
      <c r="E90" s="395"/>
      <c r="F90" s="67">
        <f>SUM(F86:F89)</f>
        <v>2344000</v>
      </c>
      <c r="G90" s="67">
        <f t="shared" ref="G90" si="8">SUM(G86:G89)</f>
        <v>944000</v>
      </c>
      <c r="H90" s="67">
        <f>SUM(H86:H89)</f>
        <v>0</v>
      </c>
      <c r="I90" s="68"/>
      <c r="J90" s="67">
        <f>500000+200000+700000</f>
        <v>1400000</v>
      </c>
      <c r="K90" s="69"/>
      <c r="L90" s="70"/>
    </row>
    <row r="91" spans="1:14" s="45" customFormat="1" ht="41.25" customHeight="1" thickBot="1">
      <c r="A91" s="339" t="s">
        <v>296</v>
      </c>
      <c r="B91" s="334">
        <v>851</v>
      </c>
      <c r="C91" s="334">
        <v>85111</v>
      </c>
      <c r="D91" s="334">
        <v>6010</v>
      </c>
      <c r="E91" s="335" t="s">
        <v>51</v>
      </c>
      <c r="F91" s="336">
        <f>SUM(G91:H91)</f>
        <v>7005350</v>
      </c>
      <c r="G91" s="336">
        <f>2440737-50000+180950</f>
        <v>2571687</v>
      </c>
      <c r="H91" s="336">
        <f>4383663+50000</f>
        <v>4433663</v>
      </c>
      <c r="I91" s="340"/>
      <c r="J91" s="340"/>
      <c r="K91" s="341"/>
      <c r="L91" s="331"/>
    </row>
    <row r="92" spans="1:14" s="43" customFormat="1" ht="37.5" customHeight="1" thickBot="1">
      <c r="A92" s="152" t="s">
        <v>428</v>
      </c>
      <c r="B92" s="56">
        <v>851</v>
      </c>
      <c r="C92" s="56">
        <v>85111</v>
      </c>
      <c r="D92" s="56">
        <v>6230</v>
      </c>
      <c r="E92" s="60" t="s">
        <v>257</v>
      </c>
      <c r="F92" s="58">
        <f>SUM(G92:H92)</f>
        <v>0</v>
      </c>
      <c r="G92" s="58">
        <v>0</v>
      </c>
      <c r="H92" s="58">
        <v>0</v>
      </c>
      <c r="I92" s="64"/>
      <c r="J92" s="64"/>
      <c r="K92" s="65"/>
      <c r="L92" s="118"/>
    </row>
    <row r="93" spans="1:14" s="43" customFormat="1" ht="42.6" customHeight="1" thickBot="1">
      <c r="A93" s="333" t="s">
        <v>429</v>
      </c>
      <c r="B93" s="334">
        <v>851</v>
      </c>
      <c r="C93" s="342">
        <v>85111</v>
      </c>
      <c r="D93" s="342">
        <v>6230</v>
      </c>
      <c r="E93" s="335" t="s">
        <v>259</v>
      </c>
      <c r="F93" s="336">
        <f t="shared" ref="F93:F94" si="9">SUM(G93:H93)</f>
        <v>527000</v>
      </c>
      <c r="G93" s="336">
        <f>527000</f>
        <v>527000</v>
      </c>
      <c r="H93" s="336"/>
      <c r="I93" s="335"/>
      <c r="J93" s="337" t="s">
        <v>313</v>
      </c>
      <c r="K93" s="338"/>
      <c r="L93" s="72"/>
    </row>
    <row r="94" spans="1:14" s="43" customFormat="1" ht="51.75" customHeight="1" thickBot="1">
      <c r="A94" s="333" t="s">
        <v>430</v>
      </c>
      <c r="B94" s="334">
        <v>851</v>
      </c>
      <c r="C94" s="334">
        <v>85111</v>
      </c>
      <c r="D94" s="334">
        <v>6030</v>
      </c>
      <c r="E94" s="343" t="s">
        <v>258</v>
      </c>
      <c r="F94" s="336">
        <f t="shared" si="9"/>
        <v>1370050</v>
      </c>
      <c r="G94" s="336">
        <v>1370050</v>
      </c>
      <c r="H94" s="336">
        <v>0</v>
      </c>
      <c r="I94" s="335"/>
      <c r="J94" s="337" t="s">
        <v>313</v>
      </c>
      <c r="K94" s="338"/>
      <c r="L94" s="72"/>
    </row>
    <row r="95" spans="1:14" s="44" customFormat="1" ht="35.1" customHeight="1" thickBot="1">
      <c r="A95" s="395" t="s">
        <v>50</v>
      </c>
      <c r="B95" s="395"/>
      <c r="C95" s="395"/>
      <c r="D95" s="395"/>
      <c r="E95" s="395"/>
      <c r="F95" s="67">
        <f>SUM(F91:F94)</f>
        <v>8902400</v>
      </c>
      <c r="G95" s="67">
        <f t="shared" ref="G95:K95" si="10">SUM(G91:G94)</f>
        <v>4468737</v>
      </c>
      <c r="H95" s="67">
        <f t="shared" si="10"/>
        <v>4433663</v>
      </c>
      <c r="I95" s="67">
        <f t="shared" si="10"/>
        <v>0</v>
      </c>
      <c r="J95" s="67">
        <v>0</v>
      </c>
      <c r="K95" s="67">
        <f t="shared" si="10"/>
        <v>0</v>
      </c>
      <c r="L95" s="70"/>
      <c r="N95" s="293"/>
    </row>
    <row r="96" spans="1:14" s="42" customFormat="1" ht="42" hidden="1" customHeight="1">
      <c r="A96" s="56"/>
      <c r="B96" s="56">
        <v>851</v>
      </c>
      <c r="C96" s="56">
        <v>85149</v>
      </c>
      <c r="D96" s="56">
        <v>6230</v>
      </c>
      <c r="E96" s="66" t="s">
        <v>91</v>
      </c>
      <c r="F96" s="153">
        <f>G96</f>
        <v>0</v>
      </c>
      <c r="G96" s="153">
        <v>0</v>
      </c>
      <c r="H96" s="58"/>
      <c r="I96" s="60"/>
      <c r="J96" s="60"/>
      <c r="K96" s="62"/>
      <c r="L96" s="72"/>
    </row>
    <row r="97" spans="1:14" s="44" customFormat="1" ht="42" hidden="1" customHeight="1">
      <c r="A97" s="395" t="s">
        <v>92</v>
      </c>
      <c r="B97" s="395"/>
      <c r="C97" s="395"/>
      <c r="D97" s="395"/>
      <c r="E97" s="395"/>
      <c r="F97" s="67">
        <f>F96</f>
        <v>0</v>
      </c>
      <c r="G97" s="67">
        <f>G96</f>
        <v>0</v>
      </c>
      <c r="H97" s="67"/>
      <c r="I97" s="68"/>
      <c r="J97" s="68"/>
      <c r="K97" s="69"/>
      <c r="L97" s="70"/>
    </row>
    <row r="98" spans="1:14" s="35" customFormat="1" ht="38.25" customHeight="1" thickBot="1">
      <c r="A98" s="85" t="s">
        <v>431</v>
      </c>
      <c r="B98" s="85">
        <v>852</v>
      </c>
      <c r="C98" s="85">
        <v>85203</v>
      </c>
      <c r="D98" s="85">
        <v>6060</v>
      </c>
      <c r="E98" s="93" t="s">
        <v>88</v>
      </c>
      <c r="F98" s="87">
        <f>G98</f>
        <v>50000</v>
      </c>
      <c r="G98" s="87">
        <f>70000-20000</f>
        <v>50000</v>
      </c>
      <c r="H98" s="95"/>
      <c r="I98" s="96"/>
      <c r="J98" s="96"/>
      <c r="K98" s="97"/>
      <c r="L98" s="70"/>
    </row>
    <row r="99" spans="1:14" s="35" customFormat="1" ht="35.1" customHeight="1" thickBot="1">
      <c r="A99" s="399" t="s">
        <v>87</v>
      </c>
      <c r="B99" s="400"/>
      <c r="C99" s="400"/>
      <c r="D99" s="400"/>
      <c r="E99" s="401"/>
      <c r="F99" s="67">
        <f>SUM(F98:F98)</f>
        <v>50000</v>
      </c>
      <c r="G99" s="67">
        <f>SUM(G98:G98)</f>
        <v>50000</v>
      </c>
      <c r="H99" s="67">
        <f>SUM(H98:H98)</f>
        <v>0</v>
      </c>
      <c r="I99" s="68"/>
      <c r="J99" s="68"/>
      <c r="K99" s="69"/>
      <c r="L99" s="70"/>
    </row>
    <row r="100" spans="1:14" s="43" customFormat="1" ht="35.1" customHeight="1" thickBot="1">
      <c r="A100" s="56" t="s">
        <v>432</v>
      </c>
      <c r="B100" s="56">
        <v>854</v>
      </c>
      <c r="C100" s="56">
        <v>85403</v>
      </c>
      <c r="D100" s="56">
        <v>6060</v>
      </c>
      <c r="E100" s="66" t="s">
        <v>271</v>
      </c>
      <c r="F100" s="58">
        <f>G100</f>
        <v>4700</v>
      </c>
      <c r="G100" s="58">
        <v>4700</v>
      </c>
      <c r="H100" s="58"/>
      <c r="I100" s="60"/>
      <c r="J100" s="60"/>
      <c r="K100" s="62"/>
      <c r="L100" s="160"/>
    </row>
    <row r="101" spans="1:14" s="35" customFormat="1" ht="35.1" customHeight="1" thickBot="1">
      <c r="A101" s="399" t="s">
        <v>270</v>
      </c>
      <c r="B101" s="400"/>
      <c r="C101" s="400"/>
      <c r="D101" s="400"/>
      <c r="E101" s="401"/>
      <c r="F101" s="67">
        <f>F100</f>
        <v>4700</v>
      </c>
      <c r="G101" s="67">
        <f>G100</f>
        <v>4700</v>
      </c>
      <c r="H101" s="67"/>
      <c r="I101" s="68"/>
      <c r="J101" s="68"/>
      <c r="K101" s="69"/>
      <c r="L101" s="149"/>
    </row>
    <row r="102" spans="1:14" s="41" customFormat="1" ht="36" customHeight="1" thickBot="1">
      <c r="A102" s="402" t="s">
        <v>47</v>
      </c>
      <c r="B102" s="403"/>
      <c r="C102" s="403"/>
      <c r="D102" s="403"/>
      <c r="E102" s="404"/>
      <c r="F102" s="154">
        <f>F64+F66+F68+F72+F81+F83+F85+F90+F95+F97+F99+F101</f>
        <v>28289113</v>
      </c>
      <c r="G102" s="154">
        <f t="shared" ref="G102:J102" si="11">G64+G66+G68+G72+G81+G83+G85+G90+G95+G97+G99+G101</f>
        <v>9747327</v>
      </c>
      <c r="H102" s="154">
        <f t="shared" si="11"/>
        <v>6620782</v>
      </c>
      <c r="I102" s="154">
        <f t="shared" si="11"/>
        <v>0</v>
      </c>
      <c r="J102" s="154">
        <f t="shared" si="11"/>
        <v>11921004</v>
      </c>
      <c r="K102" s="155"/>
      <c r="L102" s="71"/>
    </row>
    <row r="103" spans="1:14" s="35" customFormat="1" ht="27" customHeight="1">
      <c r="A103" s="100" t="s">
        <v>433</v>
      </c>
      <c r="B103" s="38"/>
      <c r="C103" s="38"/>
      <c r="D103" s="38"/>
      <c r="E103" s="37"/>
      <c r="F103" s="39"/>
      <c r="G103" s="39"/>
      <c r="H103" s="39"/>
      <c r="I103" s="38"/>
      <c r="J103" s="38"/>
      <c r="K103" s="53"/>
      <c r="L103" s="52"/>
      <c r="N103" s="366"/>
    </row>
    <row r="104" spans="1:14" s="40" customFormat="1" ht="20.25" customHeight="1">
      <c r="A104" s="100" t="s">
        <v>48</v>
      </c>
      <c r="B104" s="38"/>
      <c r="C104" s="38"/>
      <c r="D104" s="38"/>
      <c r="E104" s="37"/>
      <c r="F104" s="38"/>
      <c r="G104" s="38"/>
      <c r="H104" s="38"/>
      <c r="I104" s="39"/>
      <c r="J104" s="38"/>
      <c r="K104" s="53"/>
      <c r="L104" s="52"/>
    </row>
    <row r="105" spans="1:14" s="35" customFormat="1" ht="21" customHeight="1">
      <c r="A105" s="100" t="s">
        <v>309</v>
      </c>
      <c r="B105" s="38"/>
      <c r="C105" s="38"/>
      <c r="D105" s="38"/>
      <c r="E105" s="37"/>
      <c r="F105" s="39"/>
      <c r="G105" s="39"/>
      <c r="H105" s="39"/>
      <c r="I105" s="38"/>
      <c r="J105" s="38"/>
      <c r="K105" s="53"/>
      <c r="L105" s="52"/>
    </row>
    <row r="106" spans="1:14" s="35" customFormat="1" ht="27" customHeight="1">
      <c r="A106" s="37"/>
      <c r="B106" s="37"/>
      <c r="C106" s="37"/>
      <c r="D106" s="37"/>
      <c r="E106" s="37"/>
      <c r="F106" s="37"/>
      <c r="G106" s="37"/>
      <c r="H106" s="37"/>
      <c r="I106" s="166"/>
      <c r="J106" s="166"/>
      <c r="K106" s="51"/>
      <c r="L106" s="32"/>
    </row>
    <row r="107" spans="1:14" s="36" customFormat="1" ht="28.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51"/>
      <c r="L107" s="32"/>
    </row>
    <row r="108" spans="1:14" s="35" customFormat="1" ht="30" customHeight="1">
      <c r="A108" s="31"/>
      <c r="B108" s="31"/>
      <c r="C108" s="31"/>
      <c r="D108" s="31"/>
      <c r="E108" s="31"/>
      <c r="F108" s="31"/>
      <c r="G108" s="31"/>
      <c r="H108" s="164"/>
      <c r="I108" s="31"/>
      <c r="J108" s="164"/>
      <c r="K108" s="50"/>
      <c r="L108" s="32"/>
    </row>
    <row r="109" spans="1:14" s="34" customFormat="1" ht="27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50"/>
      <c r="L109" s="32"/>
    </row>
    <row r="111" spans="1:14" s="33" customFormat="1" ht="12.7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50"/>
      <c r="L111" s="32"/>
    </row>
    <row r="112" spans="1:14" s="33" customFormat="1" ht="12.7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50"/>
      <c r="L112" s="32"/>
    </row>
    <row r="113" spans="1:12" s="33" customFormat="1" ht="12.7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50"/>
      <c r="L113" s="32"/>
    </row>
  </sheetData>
  <sheetProtection algorithmName="SHA-512" hashValue="PbgWGOKzwsdP8CdieHCzKc60/XnuSMBj53x/uwPkxzt4ELCdgEWxDQJ1akBse3P9vjUffcl7At967eOA4pQL7w==" saltValue="bKN8Irlvfdp8lOlm07KDOQ==" spinCount="100000" sheet="1" objects="1" scenarios="1"/>
  <mergeCells count="32">
    <mergeCell ref="A95:E95"/>
    <mergeCell ref="A97:E97"/>
    <mergeCell ref="A99:E99"/>
    <mergeCell ref="A101:E101"/>
    <mergeCell ref="A102:E102"/>
    <mergeCell ref="A90:E90"/>
    <mergeCell ref="A36:E36"/>
    <mergeCell ref="A42:E42"/>
    <mergeCell ref="A48:E48"/>
    <mergeCell ref="A59:E59"/>
    <mergeCell ref="A64:E64"/>
    <mergeCell ref="A66:E66"/>
    <mergeCell ref="A68:E68"/>
    <mergeCell ref="A72:E72"/>
    <mergeCell ref="A81:E81"/>
    <mergeCell ref="A83:E83"/>
    <mergeCell ref="A85:E85"/>
    <mergeCell ref="L4:L5"/>
    <mergeCell ref="A7:E7"/>
    <mergeCell ref="A12:E12"/>
    <mergeCell ref="A19:E19"/>
    <mergeCell ref="A25:E25"/>
    <mergeCell ref="A31:E31"/>
    <mergeCell ref="A2:K2"/>
    <mergeCell ref="A4:A5"/>
    <mergeCell ref="B4:B5"/>
    <mergeCell ref="C4:C5"/>
    <mergeCell ref="D4:D5"/>
    <mergeCell ref="E4:E5"/>
    <mergeCell ref="F4:F5"/>
    <mergeCell ref="G4:J4"/>
    <mergeCell ref="K4:K5"/>
  </mergeCells>
  <pageMargins left="0.39370078740157483" right="0.15748031496062992" top="0.94488188976377963" bottom="0.31496062992125984" header="0.51181102362204722" footer="0.31496062992125984"/>
  <pageSetup paperSize="9" scale="80" fitToHeight="0" orientation="landscape" horizontalDpi="4294967294" verticalDpi="0" r:id="rId1"/>
  <headerFooter differentOddEven="1" differentFirst="1" alignWithMargins="0">
    <oddFooter>&amp;C&amp;P</oddFooter>
    <evenFooter>&amp;C&amp;P</evenFooter>
    <firstHeader>&amp;R&amp;9Tabela Nr 2a
do uchwały Nr ..............
Rady  Powiatu  Otwockiego
   z dnia  .................................</firstHeader>
    <firstFooter>&amp;C&amp;P</firstFooter>
  </headerFooter>
  <rowBreaks count="5" manualBreakCount="5">
    <brk id="20" max="10" man="1"/>
    <brk id="38" max="10" man="1"/>
    <brk id="55" max="10" man="1"/>
    <brk id="71" max="10" man="1"/>
    <brk id="8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K29"/>
  <sheetViews>
    <sheetView showGridLines="0" workbookViewId="0">
      <selection activeCell="D10" sqref="D10"/>
    </sheetView>
  </sheetViews>
  <sheetFormatPr defaultColWidth="9.33203125" defaultRowHeight="12.75"/>
  <cols>
    <col min="1" max="1" width="5.83203125" style="2" customWidth="1"/>
    <col min="2" max="2" width="62.83203125" style="2" customWidth="1"/>
    <col min="3" max="3" width="15.33203125" style="2" customWidth="1"/>
    <col min="4" max="4" width="18" style="2" customWidth="1"/>
    <col min="5" max="5" width="9.33203125" style="2"/>
    <col min="6" max="6" width="10.6640625" style="2" bestFit="1" customWidth="1"/>
    <col min="7" max="7" width="9.33203125" style="2"/>
    <col min="8" max="8" width="13" style="2" bestFit="1" customWidth="1"/>
    <col min="9" max="10" width="9.33203125" style="2"/>
    <col min="11" max="11" width="13" style="2" bestFit="1" customWidth="1"/>
    <col min="12" max="16384" width="9.33203125" style="2"/>
  </cols>
  <sheetData>
    <row r="3" spans="1:8" s="1" customFormat="1" ht="15" customHeight="1">
      <c r="A3" s="405" t="s">
        <v>184</v>
      </c>
      <c r="B3" s="405"/>
      <c r="C3" s="405"/>
      <c r="D3" s="405"/>
    </row>
    <row r="4" spans="1:8">
      <c r="D4" s="3"/>
    </row>
    <row r="5" spans="1:8" ht="54" customHeight="1">
      <c r="A5" s="4" t="s">
        <v>6</v>
      </c>
      <c r="B5" s="4" t="s">
        <v>12</v>
      </c>
      <c r="C5" s="5" t="s">
        <v>13</v>
      </c>
      <c r="D5" s="5" t="s">
        <v>14</v>
      </c>
    </row>
    <row r="6" spans="1:8" s="25" customFormat="1" ht="16.5" customHeight="1">
      <c r="A6" s="27">
        <v>1</v>
      </c>
      <c r="B6" s="27">
        <v>2</v>
      </c>
      <c r="C6" s="27">
        <v>3</v>
      </c>
      <c r="D6" s="28">
        <v>4</v>
      </c>
    </row>
    <row r="7" spans="1:8" s="8" customFormat="1" ht="24.75" customHeight="1">
      <c r="A7" s="6" t="s">
        <v>7</v>
      </c>
      <c r="B7" s="7" t="s">
        <v>15</v>
      </c>
      <c r="C7" s="6"/>
      <c r="D7" s="196">
        <f>SUM(D8:D9)</f>
        <v>159351400.5</v>
      </c>
    </row>
    <row r="8" spans="1:8" s="11" customFormat="1" ht="24.75" customHeight="1">
      <c r="A8" s="9"/>
      <c r="B8" s="10" t="s">
        <v>16</v>
      </c>
      <c r="C8" s="9"/>
      <c r="D8" s="197">
        <v>146688368.5</v>
      </c>
    </row>
    <row r="9" spans="1:8" s="11" customFormat="1" ht="24.75" customHeight="1">
      <c r="A9" s="9"/>
      <c r="B9" s="10" t="s">
        <v>17</v>
      </c>
      <c r="C9" s="9"/>
      <c r="D9" s="198">
        <v>12663032</v>
      </c>
    </row>
    <row r="10" spans="1:8" s="8" customFormat="1" ht="24.75" customHeight="1">
      <c r="A10" s="6" t="s">
        <v>8</v>
      </c>
      <c r="B10" s="7" t="s">
        <v>18</v>
      </c>
      <c r="C10" s="6"/>
      <c r="D10" s="199">
        <f>SUM(D11,D12)</f>
        <v>170964084.5</v>
      </c>
    </row>
    <row r="11" spans="1:8" s="11" customFormat="1" ht="24.75" customHeight="1">
      <c r="A11" s="9"/>
      <c r="B11" s="10" t="s">
        <v>36</v>
      </c>
      <c r="C11" s="9"/>
      <c r="D11" s="200">
        <v>142674971.5</v>
      </c>
    </row>
    <row r="12" spans="1:8" s="11" customFormat="1" ht="24.75" customHeight="1">
      <c r="A12" s="9"/>
      <c r="B12" s="10" t="s">
        <v>19</v>
      </c>
      <c r="C12" s="9"/>
      <c r="D12" s="201">
        <v>28289113</v>
      </c>
    </row>
    <row r="13" spans="1:8" s="8" customFormat="1" ht="24.75" customHeight="1">
      <c r="A13" s="6" t="s">
        <v>9</v>
      </c>
      <c r="B13" s="7" t="s">
        <v>20</v>
      </c>
      <c r="C13" s="13"/>
      <c r="D13" s="196">
        <f>D7-D10</f>
        <v>-11612684</v>
      </c>
    </row>
    <row r="14" spans="1:8" ht="24.75" customHeight="1">
      <c r="A14" s="406" t="s">
        <v>21</v>
      </c>
      <c r="B14" s="407"/>
      <c r="C14" s="14"/>
      <c r="D14" s="15">
        <f>SUM(D15:D21)</f>
        <v>16867296</v>
      </c>
      <c r="H14" s="162"/>
    </row>
    <row r="15" spans="1:8" ht="81.75" customHeight="1">
      <c r="A15" s="117" t="s">
        <v>7</v>
      </c>
      <c r="B15" s="167" t="s">
        <v>98</v>
      </c>
      <c r="C15" s="16" t="s">
        <v>97</v>
      </c>
      <c r="D15" s="119">
        <f>2774694+850000</f>
        <v>3624694</v>
      </c>
      <c r="F15" s="162"/>
      <c r="H15" s="162"/>
    </row>
    <row r="16" spans="1:8" ht="72" customHeight="1">
      <c r="A16" s="117" t="s">
        <v>8</v>
      </c>
      <c r="B16" s="168" t="s">
        <v>99</v>
      </c>
      <c r="C16" s="16" t="s">
        <v>96</v>
      </c>
      <c r="D16" s="119">
        <f>944317+104925+137951+316903-136888</f>
        <v>1367208</v>
      </c>
      <c r="F16" s="162"/>
    </row>
    <row r="17" spans="1:11" ht="32.25" customHeight="1">
      <c r="A17" s="117" t="s">
        <v>9</v>
      </c>
      <c r="B17" s="169" t="s">
        <v>277</v>
      </c>
      <c r="C17" s="161" t="s">
        <v>278</v>
      </c>
      <c r="D17" s="119">
        <v>8000000</v>
      </c>
      <c r="K17" s="162"/>
    </row>
    <row r="18" spans="1:11" ht="31.5" customHeight="1">
      <c r="A18" s="117" t="s">
        <v>10</v>
      </c>
      <c r="B18" s="19" t="s">
        <v>33</v>
      </c>
      <c r="C18" s="16" t="s">
        <v>23</v>
      </c>
      <c r="D18" s="12">
        <v>3875394</v>
      </c>
      <c r="K18" s="162"/>
    </row>
    <row r="19" spans="1:11" ht="32.25" customHeight="1">
      <c r="A19" s="117" t="s">
        <v>11</v>
      </c>
      <c r="B19" s="29" t="s">
        <v>39</v>
      </c>
      <c r="C19" s="16" t="s">
        <v>40</v>
      </c>
      <c r="D19" s="18">
        <v>0</v>
      </c>
    </row>
    <row r="20" spans="1:11" ht="24.75" customHeight="1">
      <c r="A20" s="117" t="s">
        <v>71</v>
      </c>
      <c r="B20" s="17" t="s">
        <v>31</v>
      </c>
      <c r="C20" s="16" t="s">
        <v>22</v>
      </c>
      <c r="D20" s="12">
        <f>7000000-7000000</f>
        <v>0</v>
      </c>
    </row>
    <row r="21" spans="1:11" ht="27" customHeight="1">
      <c r="A21" s="117" t="s">
        <v>70</v>
      </c>
      <c r="B21" s="19" t="s">
        <v>32</v>
      </c>
      <c r="C21" s="16" t="s">
        <v>22</v>
      </c>
      <c r="D21" s="20">
        <v>0</v>
      </c>
    </row>
    <row r="22" spans="1:11" ht="24.75" customHeight="1">
      <c r="A22" s="406" t="s">
        <v>24</v>
      </c>
      <c r="B22" s="407"/>
      <c r="C22" s="21"/>
      <c r="D22" s="15">
        <f>SUM(D23:D25)</f>
        <v>5254612</v>
      </c>
    </row>
    <row r="23" spans="1:11" s="30" customFormat="1" ht="24.75" customHeight="1">
      <c r="A23" s="6" t="s">
        <v>7</v>
      </c>
      <c r="B23" s="19" t="s">
        <v>42</v>
      </c>
      <c r="C23" s="16" t="s">
        <v>41</v>
      </c>
      <c r="D23" s="18">
        <v>0</v>
      </c>
    </row>
    <row r="24" spans="1:11" ht="24.75" customHeight="1">
      <c r="A24" s="6" t="s">
        <v>8</v>
      </c>
      <c r="B24" s="19" t="s">
        <v>34</v>
      </c>
      <c r="C24" s="16" t="s">
        <v>25</v>
      </c>
      <c r="D24" s="12">
        <v>5254612</v>
      </c>
    </row>
    <row r="25" spans="1:11" ht="24.75" customHeight="1">
      <c r="A25" s="6" t="s">
        <v>9</v>
      </c>
      <c r="B25" s="19" t="s">
        <v>35</v>
      </c>
      <c r="C25" s="16" t="s">
        <v>25</v>
      </c>
      <c r="D25" s="18">
        <v>0</v>
      </c>
    </row>
    <row r="26" spans="1:11" ht="21.75" customHeight="1">
      <c r="A26" s="22"/>
      <c r="B26" s="23"/>
      <c r="C26" s="22"/>
      <c r="D26" s="24"/>
    </row>
    <row r="27" spans="1:11" ht="24.75" customHeight="1"/>
    <row r="28" spans="1:11" ht="24.75" customHeight="1"/>
    <row r="29" spans="1:11" ht="24.75" customHeight="1"/>
  </sheetData>
  <sheetProtection algorithmName="SHA-512" hashValue="JKNHHVlhpRxEAilLxdsuH56R3k3x2mgE8MVXLY1GBRuEd6bHPgz7k54+vESKW9vbmHMQqxQ5UN7+LJHRr+IGxg==" saltValue="cXqH0Gy4XyxGYYwZtD3qLQ==" spinCount="100000" sheet="1" objects="1" scenarios="1" formatColumns="0" formatRows="0"/>
  <mergeCells count="3">
    <mergeCell ref="A3:D3"/>
    <mergeCell ref="A14:B14"/>
    <mergeCell ref="A22:B22"/>
  </mergeCells>
  <printOptions horizontalCentered="1"/>
  <pageMargins left="0.27559055118110237" right="0.43307086614173229" top="1.6535433070866143" bottom="0.59055118110236227" header="0.86614173228346458" footer="0.51181102362204722"/>
  <pageSetup paperSize="9" fitToHeight="0" orientation="portrait" horizontalDpi="4294967295" verticalDpi="300" r:id="rId1"/>
  <headerFooter alignWithMargins="0">
    <oddHeader>&amp;R&amp;10Tabela Nr 3 
do uchwały Nr ................
Rady  Powiatu  Otwockiego
z dnia .........................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87"/>
  <sheetViews>
    <sheetView zoomScaleNormal="100" workbookViewId="0">
      <pane ySplit="4" topLeftCell="A125" activePane="bottomLeft" state="frozen"/>
      <selection activeCell="A22" sqref="A22:XFD25"/>
      <selection pane="bottomLeft" activeCell="K182" sqref="K182"/>
    </sheetView>
  </sheetViews>
  <sheetFormatPr defaultColWidth="9.33203125" defaultRowHeight="12"/>
  <cols>
    <col min="1" max="1" width="6.33203125" style="101" customWidth="1"/>
    <col min="2" max="2" width="9.5" style="101" customWidth="1"/>
    <col min="3" max="3" width="10.1640625" style="102" customWidth="1"/>
    <col min="4" max="4" width="63.6640625" style="103" customWidth="1"/>
    <col min="5" max="5" width="17.83203125" style="103" customWidth="1"/>
    <col min="6" max="6" width="17.83203125" style="156" customWidth="1"/>
    <col min="7" max="7" width="9.33203125" style="104" customWidth="1"/>
    <col min="8" max="16384" width="9.33203125" style="104"/>
  </cols>
  <sheetData>
    <row r="1" spans="1:6" ht="12.75" customHeight="1"/>
    <row r="2" spans="1:6" ht="30.75" customHeight="1">
      <c r="A2" s="408" t="s">
        <v>247</v>
      </c>
      <c r="B2" s="408"/>
      <c r="C2" s="408"/>
      <c r="D2" s="408"/>
      <c r="E2" s="408"/>
      <c r="F2" s="408"/>
    </row>
    <row r="3" spans="1:6" ht="9.75" customHeight="1"/>
    <row r="4" spans="1:6" s="102" customFormat="1" ht="25.5" customHeight="1">
      <c r="A4" s="105" t="s">
        <v>0</v>
      </c>
      <c r="B4" s="105" t="s">
        <v>1</v>
      </c>
      <c r="C4" s="106" t="s">
        <v>26</v>
      </c>
      <c r="D4" s="107" t="s">
        <v>27</v>
      </c>
      <c r="E4" s="157" t="s">
        <v>28</v>
      </c>
      <c r="F4" s="157" t="s">
        <v>29</v>
      </c>
    </row>
    <row r="5" spans="1:6" s="109" customFormat="1" ht="17.25" customHeight="1">
      <c r="A5" s="108" t="s">
        <v>2</v>
      </c>
      <c r="B5" s="288" t="s">
        <v>362</v>
      </c>
      <c r="C5" s="288" t="s">
        <v>362</v>
      </c>
      <c r="D5" s="289" t="s">
        <v>188</v>
      </c>
      <c r="E5" s="290">
        <v>11000</v>
      </c>
      <c r="F5" s="290">
        <v>11000</v>
      </c>
    </row>
    <row r="6" spans="1:6" s="109" customFormat="1" ht="17.25" customHeight="1">
      <c r="A6" s="287" t="s">
        <v>362</v>
      </c>
      <c r="B6" s="283" t="s">
        <v>189</v>
      </c>
      <c r="C6" s="283" t="s">
        <v>362</v>
      </c>
      <c r="D6" s="284" t="s">
        <v>190</v>
      </c>
      <c r="E6" s="285">
        <v>11000</v>
      </c>
      <c r="F6" s="285">
        <v>11000</v>
      </c>
    </row>
    <row r="7" spans="1:6" s="109" customFormat="1" ht="42" customHeight="1">
      <c r="A7" s="282" t="s">
        <v>362</v>
      </c>
      <c r="B7" s="279" t="s">
        <v>362</v>
      </c>
      <c r="C7" s="279" t="s">
        <v>363</v>
      </c>
      <c r="D7" s="280" t="s">
        <v>191</v>
      </c>
      <c r="E7" s="281">
        <v>11000</v>
      </c>
      <c r="F7" s="281">
        <v>0</v>
      </c>
    </row>
    <row r="8" spans="1:6" s="109" customFormat="1" ht="15.75" customHeight="1">
      <c r="A8" s="282" t="s">
        <v>362</v>
      </c>
      <c r="B8" s="279" t="s">
        <v>362</v>
      </c>
      <c r="C8" s="279" t="s">
        <v>364</v>
      </c>
      <c r="D8" s="280" t="s">
        <v>192</v>
      </c>
      <c r="E8" s="281">
        <v>0</v>
      </c>
      <c r="F8" s="281">
        <v>11000</v>
      </c>
    </row>
    <row r="9" spans="1:6" s="109" customFormat="1" ht="17.25" customHeight="1">
      <c r="A9" s="288" t="s">
        <v>365</v>
      </c>
      <c r="B9" s="288" t="s">
        <v>362</v>
      </c>
      <c r="C9" s="288" t="s">
        <v>362</v>
      </c>
      <c r="D9" s="289" t="s">
        <v>193</v>
      </c>
      <c r="E9" s="290">
        <v>292257</v>
      </c>
      <c r="F9" s="290">
        <v>292257</v>
      </c>
    </row>
    <row r="10" spans="1:6" s="109" customFormat="1" ht="17.25" customHeight="1">
      <c r="A10" s="287" t="s">
        <v>362</v>
      </c>
      <c r="B10" s="283" t="s">
        <v>366</v>
      </c>
      <c r="C10" s="283" t="s">
        <v>362</v>
      </c>
      <c r="D10" s="284" t="s">
        <v>194</v>
      </c>
      <c r="E10" s="285">
        <v>292257</v>
      </c>
      <c r="F10" s="285">
        <v>292257</v>
      </c>
    </row>
    <row r="11" spans="1:6" s="109" customFormat="1" ht="42.75" customHeight="1">
      <c r="A11" s="282" t="s">
        <v>362</v>
      </c>
      <c r="B11" s="279" t="s">
        <v>362</v>
      </c>
      <c r="C11" s="279" t="s">
        <v>363</v>
      </c>
      <c r="D11" s="280" t="s">
        <v>191</v>
      </c>
      <c r="E11" s="281">
        <v>292257</v>
      </c>
      <c r="F11" s="281">
        <v>0</v>
      </c>
    </row>
    <row r="12" spans="1:6" s="110" customFormat="1" ht="15.75" customHeight="1">
      <c r="A12" s="282" t="s">
        <v>362</v>
      </c>
      <c r="B12" s="279" t="s">
        <v>362</v>
      </c>
      <c r="C12" s="279" t="s">
        <v>367</v>
      </c>
      <c r="D12" s="280" t="s">
        <v>195</v>
      </c>
      <c r="E12" s="281">
        <v>0</v>
      </c>
      <c r="F12" s="281">
        <v>43890</v>
      </c>
    </row>
    <row r="13" spans="1:6" s="110" customFormat="1" ht="15.75" customHeight="1">
      <c r="A13" s="282" t="s">
        <v>362</v>
      </c>
      <c r="B13" s="279" t="s">
        <v>362</v>
      </c>
      <c r="C13" s="279" t="s">
        <v>368</v>
      </c>
      <c r="D13" s="280" t="s">
        <v>196</v>
      </c>
      <c r="E13" s="281">
        <v>0</v>
      </c>
      <c r="F13" s="281">
        <v>7545</v>
      </c>
    </row>
    <row r="14" spans="1:6" s="110" customFormat="1" ht="31.15" customHeight="1">
      <c r="A14" s="282" t="s">
        <v>362</v>
      </c>
      <c r="B14" s="279" t="s">
        <v>362</v>
      </c>
      <c r="C14" s="279" t="s">
        <v>369</v>
      </c>
      <c r="D14" s="280" t="s">
        <v>370</v>
      </c>
      <c r="E14" s="281">
        <v>0</v>
      </c>
      <c r="F14" s="281">
        <v>1075</v>
      </c>
    </row>
    <row r="15" spans="1:6" s="110" customFormat="1" ht="15.75" customHeight="1">
      <c r="A15" s="282" t="s">
        <v>362</v>
      </c>
      <c r="B15" s="279" t="s">
        <v>362</v>
      </c>
      <c r="C15" s="279" t="s">
        <v>371</v>
      </c>
      <c r="D15" s="280" t="s">
        <v>197</v>
      </c>
      <c r="E15" s="281">
        <v>0</v>
      </c>
      <c r="F15" s="281">
        <v>2000</v>
      </c>
    </row>
    <row r="16" spans="1:6" s="110" customFormat="1" ht="15.75" customHeight="1">
      <c r="A16" s="282" t="s">
        <v>362</v>
      </c>
      <c r="B16" s="279" t="s">
        <v>362</v>
      </c>
      <c r="C16" s="279" t="s">
        <v>372</v>
      </c>
      <c r="D16" s="280" t="s">
        <v>198</v>
      </c>
      <c r="E16" s="281">
        <v>0</v>
      </c>
      <c r="F16" s="281">
        <v>435</v>
      </c>
    </row>
    <row r="17" spans="1:6" s="110" customFormat="1" ht="15.75" customHeight="1">
      <c r="A17" s="282" t="s">
        <v>362</v>
      </c>
      <c r="B17" s="279" t="s">
        <v>362</v>
      </c>
      <c r="C17" s="279" t="s">
        <v>373</v>
      </c>
      <c r="D17" s="280" t="s">
        <v>199</v>
      </c>
      <c r="E17" s="281">
        <v>0</v>
      </c>
      <c r="F17" s="281">
        <v>10000</v>
      </c>
    </row>
    <row r="18" spans="1:6" s="110" customFormat="1" ht="15.75" customHeight="1">
      <c r="A18" s="282" t="s">
        <v>362</v>
      </c>
      <c r="B18" s="279" t="s">
        <v>362</v>
      </c>
      <c r="C18" s="279" t="s">
        <v>374</v>
      </c>
      <c r="D18" s="280" t="s">
        <v>200</v>
      </c>
      <c r="E18" s="281">
        <v>0</v>
      </c>
      <c r="F18" s="281">
        <v>25000</v>
      </c>
    </row>
    <row r="19" spans="1:6" s="110" customFormat="1" ht="15.75" customHeight="1">
      <c r="A19" s="282" t="s">
        <v>362</v>
      </c>
      <c r="B19" s="279" t="s">
        <v>362</v>
      </c>
      <c r="C19" s="279" t="s">
        <v>364</v>
      </c>
      <c r="D19" s="280" t="s">
        <v>192</v>
      </c>
      <c r="E19" s="281">
        <v>0</v>
      </c>
      <c r="F19" s="281">
        <v>60000</v>
      </c>
    </row>
    <row r="20" spans="1:6" s="110" customFormat="1" ht="15.75" customHeight="1">
      <c r="A20" s="282" t="s">
        <v>362</v>
      </c>
      <c r="B20" s="279" t="s">
        <v>362</v>
      </c>
      <c r="C20" s="279" t="s">
        <v>375</v>
      </c>
      <c r="D20" s="280" t="s">
        <v>201</v>
      </c>
      <c r="E20" s="281">
        <v>0</v>
      </c>
      <c r="F20" s="281">
        <v>40000</v>
      </c>
    </row>
    <row r="21" spans="1:6" s="110" customFormat="1" ht="15.75" customHeight="1">
      <c r="A21" s="282" t="s">
        <v>362</v>
      </c>
      <c r="B21" s="279" t="s">
        <v>362</v>
      </c>
      <c r="C21" s="279" t="s">
        <v>376</v>
      </c>
      <c r="D21" s="280" t="s">
        <v>202</v>
      </c>
      <c r="E21" s="281">
        <v>0</v>
      </c>
      <c r="F21" s="281">
        <v>4100</v>
      </c>
    </row>
    <row r="22" spans="1:6" s="110" customFormat="1" ht="15.75" customHeight="1">
      <c r="A22" s="282" t="s">
        <v>362</v>
      </c>
      <c r="B22" s="279" t="s">
        <v>362</v>
      </c>
      <c r="C22" s="279" t="s">
        <v>377</v>
      </c>
      <c r="D22" s="280" t="s">
        <v>203</v>
      </c>
      <c r="E22" s="281">
        <v>0</v>
      </c>
      <c r="F22" s="281">
        <v>46900</v>
      </c>
    </row>
    <row r="23" spans="1:6" s="110" customFormat="1" ht="15.75" customHeight="1">
      <c r="A23" s="282" t="s">
        <v>362</v>
      </c>
      <c r="B23" s="279" t="s">
        <v>362</v>
      </c>
      <c r="C23" s="279" t="s">
        <v>378</v>
      </c>
      <c r="D23" s="280" t="s">
        <v>204</v>
      </c>
      <c r="E23" s="281">
        <v>0</v>
      </c>
      <c r="F23" s="281">
        <v>10000</v>
      </c>
    </row>
    <row r="24" spans="1:6" s="110" customFormat="1" ht="15.75" customHeight="1">
      <c r="A24" s="282" t="s">
        <v>362</v>
      </c>
      <c r="B24" s="279" t="s">
        <v>362</v>
      </c>
      <c r="C24" s="279" t="s">
        <v>379</v>
      </c>
      <c r="D24" s="280" t="s">
        <v>205</v>
      </c>
      <c r="E24" s="281">
        <v>0</v>
      </c>
      <c r="F24" s="281">
        <v>3955</v>
      </c>
    </row>
    <row r="25" spans="1:6" s="110" customFormat="1" ht="15.75" customHeight="1">
      <c r="A25" s="282" t="s">
        <v>362</v>
      </c>
      <c r="B25" s="279" t="s">
        <v>362</v>
      </c>
      <c r="C25" s="279" t="s">
        <v>380</v>
      </c>
      <c r="D25" s="280" t="s">
        <v>206</v>
      </c>
      <c r="E25" s="281">
        <v>0</v>
      </c>
      <c r="F25" s="281">
        <v>20357</v>
      </c>
    </row>
    <row r="26" spans="1:6" s="110" customFormat="1" ht="15.75" customHeight="1">
      <c r="A26" s="282" t="s">
        <v>362</v>
      </c>
      <c r="B26" s="279" t="s">
        <v>362</v>
      </c>
      <c r="C26" s="279" t="s">
        <v>381</v>
      </c>
      <c r="D26" s="280" t="s">
        <v>207</v>
      </c>
      <c r="E26" s="281">
        <v>0</v>
      </c>
      <c r="F26" s="281">
        <v>17000</v>
      </c>
    </row>
    <row r="27" spans="1:6" s="109" customFormat="1" ht="17.25" customHeight="1">
      <c r="A27" s="288" t="s">
        <v>382</v>
      </c>
      <c r="B27" s="288" t="s">
        <v>362</v>
      </c>
      <c r="C27" s="288" t="s">
        <v>362</v>
      </c>
      <c r="D27" s="289" t="s">
        <v>5</v>
      </c>
      <c r="E27" s="290">
        <v>1305424</v>
      </c>
      <c r="F27" s="290">
        <v>1305424</v>
      </c>
    </row>
    <row r="28" spans="1:6" s="109" customFormat="1" ht="17.25" customHeight="1">
      <c r="A28" s="287" t="s">
        <v>362</v>
      </c>
      <c r="B28" s="283" t="s">
        <v>208</v>
      </c>
      <c r="C28" s="283" t="s">
        <v>362</v>
      </c>
      <c r="D28" s="284" t="s">
        <v>209</v>
      </c>
      <c r="E28" s="285">
        <v>365000</v>
      </c>
      <c r="F28" s="285">
        <v>365000</v>
      </c>
    </row>
    <row r="29" spans="1:6" s="109" customFormat="1" ht="42.75" customHeight="1">
      <c r="A29" s="282" t="s">
        <v>362</v>
      </c>
      <c r="B29" s="279" t="s">
        <v>362</v>
      </c>
      <c r="C29" s="279" t="s">
        <v>363</v>
      </c>
      <c r="D29" s="280" t="s">
        <v>191</v>
      </c>
      <c r="E29" s="281">
        <v>365000</v>
      </c>
      <c r="F29" s="281">
        <v>0</v>
      </c>
    </row>
    <row r="30" spans="1:6" s="110" customFormat="1" ht="15.75" customHeight="1">
      <c r="A30" s="282" t="s">
        <v>362</v>
      </c>
      <c r="B30" s="279" t="s">
        <v>362</v>
      </c>
      <c r="C30" s="279" t="s">
        <v>367</v>
      </c>
      <c r="D30" s="280" t="s">
        <v>195</v>
      </c>
      <c r="E30" s="281">
        <v>0</v>
      </c>
      <c r="F30" s="281">
        <v>226067</v>
      </c>
    </row>
    <row r="31" spans="1:6" s="110" customFormat="1" ht="15.75" customHeight="1">
      <c r="A31" s="282" t="s">
        <v>362</v>
      </c>
      <c r="B31" s="279" t="s">
        <v>362</v>
      </c>
      <c r="C31" s="279" t="s">
        <v>368</v>
      </c>
      <c r="D31" s="280" t="s">
        <v>196</v>
      </c>
      <c r="E31" s="281">
        <v>0</v>
      </c>
      <c r="F31" s="281">
        <v>38860</v>
      </c>
    </row>
    <row r="32" spans="1:6" s="110" customFormat="1" ht="27.6" customHeight="1">
      <c r="A32" s="282" t="s">
        <v>362</v>
      </c>
      <c r="B32" s="279" t="s">
        <v>362</v>
      </c>
      <c r="C32" s="279" t="s">
        <v>369</v>
      </c>
      <c r="D32" s="280" t="s">
        <v>370</v>
      </c>
      <c r="E32" s="281">
        <v>0</v>
      </c>
      <c r="F32" s="281">
        <v>5538</v>
      </c>
    </row>
    <row r="33" spans="1:6" s="110" customFormat="1" ht="15.75" customHeight="1">
      <c r="A33" s="282" t="s">
        <v>362</v>
      </c>
      <c r="B33" s="279" t="s">
        <v>362</v>
      </c>
      <c r="C33" s="279" t="s">
        <v>364</v>
      </c>
      <c r="D33" s="280" t="s">
        <v>192</v>
      </c>
      <c r="E33" s="281">
        <v>0</v>
      </c>
      <c r="F33" s="281">
        <v>94535</v>
      </c>
    </row>
    <row r="34" spans="1:6" s="109" customFormat="1" ht="17.25" customHeight="1">
      <c r="A34" s="287" t="s">
        <v>362</v>
      </c>
      <c r="B34" s="283" t="s">
        <v>383</v>
      </c>
      <c r="C34" s="283" t="s">
        <v>362</v>
      </c>
      <c r="D34" s="284" t="s">
        <v>210</v>
      </c>
      <c r="E34" s="285">
        <v>940424</v>
      </c>
      <c r="F34" s="285">
        <v>940424</v>
      </c>
    </row>
    <row r="35" spans="1:6" s="109" customFormat="1" ht="42.75" customHeight="1">
      <c r="A35" s="282" t="s">
        <v>362</v>
      </c>
      <c r="B35" s="279" t="s">
        <v>362</v>
      </c>
      <c r="C35" s="279" t="s">
        <v>363</v>
      </c>
      <c r="D35" s="280" t="s">
        <v>191</v>
      </c>
      <c r="E35" s="281">
        <v>940424</v>
      </c>
      <c r="F35" s="281">
        <v>0</v>
      </c>
    </row>
    <row r="36" spans="1:6" s="109" customFormat="1" ht="15.75" customHeight="1">
      <c r="A36" s="282" t="s">
        <v>362</v>
      </c>
      <c r="B36" s="279" t="s">
        <v>362</v>
      </c>
      <c r="C36" s="279" t="s">
        <v>384</v>
      </c>
      <c r="D36" s="280" t="s">
        <v>211</v>
      </c>
      <c r="E36" s="281">
        <v>0</v>
      </c>
      <c r="F36" s="281">
        <v>459</v>
      </c>
    </row>
    <row r="37" spans="1:6" s="109" customFormat="1" ht="15.75" customHeight="1">
      <c r="A37" s="282" t="s">
        <v>362</v>
      </c>
      <c r="B37" s="279" t="s">
        <v>362</v>
      </c>
      <c r="C37" s="279" t="s">
        <v>367</v>
      </c>
      <c r="D37" s="280" t="s">
        <v>195</v>
      </c>
      <c r="E37" s="281">
        <v>0</v>
      </c>
      <c r="F37" s="281">
        <v>155669</v>
      </c>
    </row>
    <row r="38" spans="1:6" s="109" customFormat="1" ht="15.75" customHeight="1">
      <c r="A38" s="282" t="s">
        <v>362</v>
      </c>
      <c r="B38" s="279" t="s">
        <v>362</v>
      </c>
      <c r="C38" s="279" t="s">
        <v>385</v>
      </c>
      <c r="D38" s="280" t="s">
        <v>212</v>
      </c>
      <c r="E38" s="281">
        <v>0</v>
      </c>
      <c r="F38" s="281">
        <v>463406</v>
      </c>
    </row>
    <row r="39" spans="1:6" s="109" customFormat="1" ht="15.75" customHeight="1">
      <c r="A39" s="282" t="s">
        <v>362</v>
      </c>
      <c r="B39" s="279" t="s">
        <v>362</v>
      </c>
      <c r="C39" s="279" t="s">
        <v>386</v>
      </c>
      <c r="D39" s="280" t="s">
        <v>213</v>
      </c>
      <c r="E39" s="281">
        <v>0</v>
      </c>
      <c r="F39" s="281">
        <v>38690</v>
      </c>
    </row>
    <row r="40" spans="1:6" s="109" customFormat="1" ht="15.75" customHeight="1">
      <c r="A40" s="282" t="s">
        <v>362</v>
      </c>
      <c r="B40" s="279" t="s">
        <v>362</v>
      </c>
      <c r="C40" s="279" t="s">
        <v>368</v>
      </c>
      <c r="D40" s="280" t="s">
        <v>196</v>
      </c>
      <c r="E40" s="281">
        <v>0</v>
      </c>
      <c r="F40" s="281">
        <v>108050</v>
      </c>
    </row>
    <row r="41" spans="1:6" s="109" customFormat="1" ht="25.5" customHeight="1">
      <c r="A41" s="282" t="s">
        <v>362</v>
      </c>
      <c r="B41" s="279" t="s">
        <v>362</v>
      </c>
      <c r="C41" s="279" t="s">
        <v>369</v>
      </c>
      <c r="D41" s="280" t="s">
        <v>370</v>
      </c>
      <c r="E41" s="281">
        <v>0</v>
      </c>
      <c r="F41" s="281">
        <v>15481</v>
      </c>
    </row>
    <row r="42" spans="1:6" s="109" customFormat="1" ht="15.75" customHeight="1">
      <c r="A42" s="282" t="s">
        <v>362</v>
      </c>
      <c r="B42" s="279" t="s">
        <v>362</v>
      </c>
      <c r="C42" s="279" t="s">
        <v>371</v>
      </c>
      <c r="D42" s="280" t="s">
        <v>197</v>
      </c>
      <c r="E42" s="281">
        <v>0</v>
      </c>
      <c r="F42" s="281">
        <v>8081</v>
      </c>
    </row>
    <row r="43" spans="1:6" s="109" customFormat="1" ht="15.75" customHeight="1">
      <c r="A43" s="282" t="s">
        <v>362</v>
      </c>
      <c r="B43" s="279" t="s">
        <v>362</v>
      </c>
      <c r="C43" s="279" t="s">
        <v>372</v>
      </c>
      <c r="D43" s="280" t="s">
        <v>198</v>
      </c>
      <c r="E43" s="281">
        <v>0</v>
      </c>
      <c r="F43" s="281">
        <v>22583</v>
      </c>
    </row>
    <row r="44" spans="1:6" s="109" customFormat="1" ht="15.75" customHeight="1">
      <c r="A44" s="282" t="s">
        <v>362</v>
      </c>
      <c r="B44" s="279" t="s">
        <v>362</v>
      </c>
      <c r="C44" s="279" t="s">
        <v>373</v>
      </c>
      <c r="D44" s="280" t="s">
        <v>199</v>
      </c>
      <c r="E44" s="281">
        <v>0</v>
      </c>
      <c r="F44" s="281">
        <v>14839</v>
      </c>
    </row>
    <row r="45" spans="1:6" s="109" customFormat="1" ht="15.75" customHeight="1">
      <c r="A45" s="282" t="s">
        <v>362</v>
      </c>
      <c r="B45" s="279" t="s">
        <v>362</v>
      </c>
      <c r="C45" s="279" t="s">
        <v>374</v>
      </c>
      <c r="D45" s="280" t="s">
        <v>200</v>
      </c>
      <c r="E45" s="281">
        <v>0</v>
      </c>
      <c r="F45" s="281">
        <v>5822</v>
      </c>
    </row>
    <row r="46" spans="1:6" s="109" customFormat="1" ht="15.75" customHeight="1">
      <c r="A46" s="282" t="s">
        <v>362</v>
      </c>
      <c r="B46" s="279" t="s">
        <v>362</v>
      </c>
      <c r="C46" s="279" t="s">
        <v>387</v>
      </c>
      <c r="D46" s="280" t="s">
        <v>214</v>
      </c>
      <c r="E46" s="281">
        <v>0</v>
      </c>
      <c r="F46" s="281">
        <v>924</v>
      </c>
    </row>
    <row r="47" spans="1:6" s="109" customFormat="1" ht="15.75" customHeight="1">
      <c r="A47" s="282" t="s">
        <v>362</v>
      </c>
      <c r="B47" s="279" t="s">
        <v>362</v>
      </c>
      <c r="C47" s="279" t="s">
        <v>364</v>
      </c>
      <c r="D47" s="280" t="s">
        <v>192</v>
      </c>
      <c r="E47" s="281">
        <v>0</v>
      </c>
      <c r="F47" s="281">
        <v>73725</v>
      </c>
    </row>
    <row r="48" spans="1:6" s="109" customFormat="1" ht="15.75" customHeight="1">
      <c r="A48" s="282" t="s">
        <v>362</v>
      </c>
      <c r="B48" s="279" t="s">
        <v>362</v>
      </c>
      <c r="C48" s="279" t="s">
        <v>388</v>
      </c>
      <c r="D48" s="280" t="s">
        <v>389</v>
      </c>
      <c r="E48" s="281">
        <v>0</v>
      </c>
      <c r="F48" s="281">
        <v>3288</v>
      </c>
    </row>
    <row r="49" spans="1:6" s="109" customFormat="1" ht="15.75" customHeight="1">
      <c r="A49" s="282" t="s">
        <v>362</v>
      </c>
      <c r="B49" s="279" t="s">
        <v>362</v>
      </c>
      <c r="C49" s="279" t="s">
        <v>390</v>
      </c>
      <c r="D49" s="280" t="s">
        <v>215</v>
      </c>
      <c r="E49" s="281">
        <v>0</v>
      </c>
      <c r="F49" s="281">
        <v>3254</v>
      </c>
    </row>
    <row r="50" spans="1:6" s="109" customFormat="1" ht="15.75" customHeight="1">
      <c r="A50" s="282" t="s">
        <v>362</v>
      </c>
      <c r="B50" s="279" t="s">
        <v>362</v>
      </c>
      <c r="C50" s="279" t="s">
        <v>376</v>
      </c>
      <c r="D50" s="280" t="s">
        <v>202</v>
      </c>
      <c r="E50" s="281">
        <v>0</v>
      </c>
      <c r="F50" s="281">
        <v>4596</v>
      </c>
    </row>
    <row r="51" spans="1:6" s="109" customFormat="1" ht="15.75" customHeight="1">
      <c r="A51" s="282" t="s">
        <v>362</v>
      </c>
      <c r="B51" s="279" t="s">
        <v>362</v>
      </c>
      <c r="C51" s="279" t="s">
        <v>391</v>
      </c>
      <c r="D51" s="280" t="s">
        <v>216</v>
      </c>
      <c r="E51" s="281">
        <v>0</v>
      </c>
      <c r="F51" s="281">
        <v>16278</v>
      </c>
    </row>
    <row r="52" spans="1:6" s="109" customFormat="1" ht="15.75" customHeight="1">
      <c r="A52" s="282" t="s">
        <v>362</v>
      </c>
      <c r="B52" s="279" t="s">
        <v>362</v>
      </c>
      <c r="C52" s="279" t="s">
        <v>377</v>
      </c>
      <c r="D52" s="280" t="s">
        <v>203</v>
      </c>
      <c r="E52" s="281">
        <v>0</v>
      </c>
      <c r="F52" s="281">
        <v>1271</v>
      </c>
    </row>
    <row r="53" spans="1:6" s="109" customFormat="1" ht="15.75" customHeight="1">
      <c r="A53" s="282" t="s">
        <v>362</v>
      </c>
      <c r="B53" s="279" t="s">
        <v>362</v>
      </c>
      <c r="C53" s="279" t="s">
        <v>392</v>
      </c>
      <c r="D53" s="280" t="s">
        <v>217</v>
      </c>
      <c r="E53" s="281">
        <v>0</v>
      </c>
      <c r="F53" s="281">
        <v>1122</v>
      </c>
    </row>
    <row r="54" spans="1:6" s="109" customFormat="1" ht="15.75" customHeight="1">
      <c r="A54" s="282" t="s">
        <v>362</v>
      </c>
      <c r="B54" s="279" t="s">
        <v>362</v>
      </c>
      <c r="C54" s="279" t="s">
        <v>381</v>
      </c>
      <c r="D54" s="280" t="s">
        <v>207</v>
      </c>
      <c r="E54" s="281">
        <v>0</v>
      </c>
      <c r="F54" s="281">
        <v>1764</v>
      </c>
    </row>
    <row r="55" spans="1:6" s="109" customFormat="1" ht="27.75" customHeight="1">
      <c r="A55" s="282" t="s">
        <v>362</v>
      </c>
      <c r="B55" s="279" t="s">
        <v>362</v>
      </c>
      <c r="C55" s="279" t="s">
        <v>393</v>
      </c>
      <c r="D55" s="280" t="s">
        <v>218</v>
      </c>
      <c r="E55" s="281">
        <v>0</v>
      </c>
      <c r="F55" s="281">
        <v>1122</v>
      </c>
    </row>
    <row r="56" spans="1:6" s="109" customFormat="1" ht="16.5" customHeight="1">
      <c r="A56" s="288" t="s">
        <v>394</v>
      </c>
      <c r="B56" s="288" t="s">
        <v>362</v>
      </c>
      <c r="C56" s="288" t="s">
        <v>362</v>
      </c>
      <c r="D56" s="289" t="s">
        <v>219</v>
      </c>
      <c r="E56" s="290">
        <v>49847</v>
      </c>
      <c r="F56" s="290">
        <v>49847</v>
      </c>
    </row>
    <row r="57" spans="1:6" s="109" customFormat="1" ht="17.25" customHeight="1">
      <c r="A57" s="287" t="s">
        <v>362</v>
      </c>
      <c r="B57" s="283" t="s">
        <v>395</v>
      </c>
      <c r="C57" s="283" t="s">
        <v>362</v>
      </c>
      <c r="D57" s="284" t="s">
        <v>220</v>
      </c>
      <c r="E57" s="285">
        <v>36326</v>
      </c>
      <c r="F57" s="285">
        <v>36326</v>
      </c>
    </row>
    <row r="58" spans="1:6" s="109" customFormat="1" ht="42.75" customHeight="1">
      <c r="A58" s="282" t="s">
        <v>362</v>
      </c>
      <c r="B58" s="279" t="s">
        <v>362</v>
      </c>
      <c r="C58" s="279" t="s">
        <v>363</v>
      </c>
      <c r="D58" s="280" t="s">
        <v>191</v>
      </c>
      <c r="E58" s="281">
        <v>36326</v>
      </c>
      <c r="F58" s="281">
        <v>0</v>
      </c>
    </row>
    <row r="59" spans="1:6" s="110" customFormat="1" ht="15.75" customHeight="1">
      <c r="A59" s="282" t="s">
        <v>362</v>
      </c>
      <c r="B59" s="279" t="s">
        <v>362</v>
      </c>
      <c r="C59" s="279" t="s">
        <v>367</v>
      </c>
      <c r="D59" s="280" t="s">
        <v>195</v>
      </c>
      <c r="E59" s="281">
        <v>0</v>
      </c>
      <c r="F59" s="281">
        <v>30362</v>
      </c>
    </row>
    <row r="60" spans="1:6" s="110" customFormat="1" ht="15.75" customHeight="1">
      <c r="A60" s="282" t="s">
        <v>362</v>
      </c>
      <c r="B60" s="279" t="s">
        <v>362</v>
      </c>
      <c r="C60" s="279" t="s">
        <v>368</v>
      </c>
      <c r="D60" s="280" t="s">
        <v>196</v>
      </c>
      <c r="E60" s="281">
        <v>0</v>
      </c>
      <c r="F60" s="281">
        <v>5220</v>
      </c>
    </row>
    <row r="61" spans="1:6" s="110" customFormat="1" ht="25.15" customHeight="1">
      <c r="A61" s="282" t="s">
        <v>362</v>
      </c>
      <c r="B61" s="279" t="s">
        <v>362</v>
      </c>
      <c r="C61" s="279" t="s">
        <v>369</v>
      </c>
      <c r="D61" s="280" t="s">
        <v>370</v>
      </c>
      <c r="E61" s="281">
        <v>0</v>
      </c>
      <c r="F61" s="281">
        <v>744</v>
      </c>
    </row>
    <row r="62" spans="1:6" s="109" customFormat="1" ht="17.25" customHeight="1">
      <c r="A62" s="287" t="s">
        <v>362</v>
      </c>
      <c r="B62" s="283" t="s">
        <v>396</v>
      </c>
      <c r="C62" s="283" t="s">
        <v>362</v>
      </c>
      <c r="D62" s="284" t="s">
        <v>221</v>
      </c>
      <c r="E62" s="285">
        <v>13521</v>
      </c>
      <c r="F62" s="285">
        <v>13521</v>
      </c>
    </row>
    <row r="63" spans="1:6" s="109" customFormat="1" ht="42.75" customHeight="1">
      <c r="A63" s="282" t="s">
        <v>362</v>
      </c>
      <c r="B63" s="279" t="s">
        <v>362</v>
      </c>
      <c r="C63" s="279" t="s">
        <v>363</v>
      </c>
      <c r="D63" s="280" t="s">
        <v>191</v>
      </c>
      <c r="E63" s="281">
        <v>13521</v>
      </c>
      <c r="F63" s="281">
        <v>0</v>
      </c>
    </row>
    <row r="64" spans="1:6" s="110" customFormat="1" ht="15.75" customHeight="1">
      <c r="A64" s="282" t="s">
        <v>362</v>
      </c>
      <c r="B64" s="279" t="s">
        <v>362</v>
      </c>
      <c r="C64" s="279" t="s">
        <v>368</v>
      </c>
      <c r="D64" s="280" t="s">
        <v>196</v>
      </c>
      <c r="E64" s="281">
        <v>0</v>
      </c>
      <c r="F64" s="281">
        <v>1599</v>
      </c>
    </row>
    <row r="65" spans="1:6" s="110" customFormat="1" ht="25.9" customHeight="1">
      <c r="A65" s="282" t="s">
        <v>362</v>
      </c>
      <c r="B65" s="279" t="s">
        <v>362</v>
      </c>
      <c r="C65" s="279" t="s">
        <v>369</v>
      </c>
      <c r="D65" s="280" t="s">
        <v>370</v>
      </c>
      <c r="E65" s="281">
        <v>0</v>
      </c>
      <c r="F65" s="281">
        <v>187</v>
      </c>
    </row>
    <row r="66" spans="1:6" s="110" customFormat="1" ht="15.75" customHeight="1">
      <c r="A66" s="282" t="s">
        <v>362</v>
      </c>
      <c r="B66" s="279" t="s">
        <v>362</v>
      </c>
      <c r="C66" s="279" t="s">
        <v>371</v>
      </c>
      <c r="D66" s="280" t="s">
        <v>197</v>
      </c>
      <c r="E66" s="281">
        <v>0</v>
      </c>
      <c r="F66" s="281">
        <v>11400</v>
      </c>
    </row>
    <row r="67" spans="1:6" s="110" customFormat="1" ht="15.75" customHeight="1">
      <c r="A67" s="282" t="s">
        <v>362</v>
      </c>
      <c r="B67" s="279" t="s">
        <v>362</v>
      </c>
      <c r="C67" s="279" t="s">
        <v>372</v>
      </c>
      <c r="D67" s="280" t="s">
        <v>198</v>
      </c>
      <c r="E67" s="281">
        <v>0</v>
      </c>
      <c r="F67" s="281">
        <v>335</v>
      </c>
    </row>
    <row r="68" spans="1:6" s="110" customFormat="1" ht="15.75" customHeight="1">
      <c r="A68" s="282" t="s">
        <v>362</v>
      </c>
      <c r="B68" s="279" t="s">
        <v>362</v>
      </c>
      <c r="C68" s="279" t="s">
        <v>364</v>
      </c>
      <c r="D68" s="280" t="s">
        <v>192</v>
      </c>
      <c r="E68" s="281">
        <v>0</v>
      </c>
      <c r="F68" s="281">
        <v>0</v>
      </c>
    </row>
    <row r="69" spans="1:6" s="110" customFormat="1" ht="15.75" customHeight="1">
      <c r="A69" s="288" t="s">
        <v>262</v>
      </c>
      <c r="B69" s="288" t="s">
        <v>362</v>
      </c>
      <c r="C69" s="288" t="s">
        <v>362</v>
      </c>
      <c r="D69" s="289" t="s">
        <v>397</v>
      </c>
      <c r="E69" s="290">
        <v>84674</v>
      </c>
      <c r="F69" s="290">
        <v>84674</v>
      </c>
    </row>
    <row r="70" spans="1:6" s="110" customFormat="1" ht="15.75" customHeight="1">
      <c r="A70" s="287" t="s">
        <v>362</v>
      </c>
      <c r="B70" s="283" t="s">
        <v>263</v>
      </c>
      <c r="C70" s="283" t="s">
        <v>362</v>
      </c>
      <c r="D70" s="284" t="s">
        <v>261</v>
      </c>
      <c r="E70" s="285">
        <v>84674</v>
      </c>
      <c r="F70" s="285">
        <v>84674</v>
      </c>
    </row>
    <row r="71" spans="1:6" s="110" customFormat="1" ht="41.25" customHeight="1">
      <c r="A71" s="282" t="s">
        <v>362</v>
      </c>
      <c r="B71" s="279" t="s">
        <v>362</v>
      </c>
      <c r="C71" s="279" t="s">
        <v>363</v>
      </c>
      <c r="D71" s="280" t="s">
        <v>191</v>
      </c>
      <c r="E71" s="281">
        <v>84674</v>
      </c>
      <c r="F71" s="281">
        <v>0</v>
      </c>
    </row>
    <row r="72" spans="1:6" s="110" customFormat="1" ht="15.75" customHeight="1">
      <c r="A72" s="282" t="s">
        <v>362</v>
      </c>
      <c r="B72" s="279" t="s">
        <v>362</v>
      </c>
      <c r="C72" s="279" t="s">
        <v>372</v>
      </c>
      <c r="D72" s="280" t="s">
        <v>198</v>
      </c>
      <c r="E72" s="281">
        <v>0</v>
      </c>
      <c r="F72" s="281">
        <v>84674</v>
      </c>
    </row>
    <row r="73" spans="1:6" s="109" customFormat="1" ht="18" customHeight="1">
      <c r="A73" s="288" t="s">
        <v>398</v>
      </c>
      <c r="B73" s="288" t="s">
        <v>362</v>
      </c>
      <c r="C73" s="288" t="s">
        <v>362</v>
      </c>
      <c r="D73" s="289" t="s">
        <v>222</v>
      </c>
      <c r="E73" s="290">
        <v>8250570</v>
      </c>
      <c r="F73" s="290">
        <v>8250570</v>
      </c>
    </row>
    <row r="74" spans="1:6" s="109" customFormat="1" ht="17.25" customHeight="1">
      <c r="A74" s="287" t="s">
        <v>362</v>
      </c>
      <c r="B74" s="283" t="s">
        <v>399</v>
      </c>
      <c r="C74" s="283" t="s">
        <v>362</v>
      </c>
      <c r="D74" s="284" t="s">
        <v>223</v>
      </c>
      <c r="E74" s="285">
        <v>8250570</v>
      </c>
      <c r="F74" s="285">
        <v>8250570</v>
      </c>
    </row>
    <row r="75" spans="1:6" s="109" customFormat="1" ht="42.75" customHeight="1">
      <c r="A75" s="282" t="s">
        <v>362</v>
      </c>
      <c r="B75" s="279" t="s">
        <v>362</v>
      </c>
      <c r="C75" s="279" t="s">
        <v>363</v>
      </c>
      <c r="D75" s="280" t="s">
        <v>191</v>
      </c>
      <c r="E75" s="281">
        <v>8250570</v>
      </c>
      <c r="F75" s="281">
        <v>0</v>
      </c>
    </row>
    <row r="76" spans="1:6" s="109" customFormat="1" ht="28.5" customHeight="1">
      <c r="A76" s="282" t="s">
        <v>362</v>
      </c>
      <c r="B76" s="279" t="s">
        <v>362</v>
      </c>
      <c r="C76" s="279" t="s">
        <v>400</v>
      </c>
      <c r="D76" s="280" t="s">
        <v>224</v>
      </c>
      <c r="E76" s="281">
        <v>0</v>
      </c>
      <c r="F76" s="281">
        <v>310017</v>
      </c>
    </row>
    <row r="77" spans="1:6" s="109" customFormat="1" ht="15.75" customHeight="1">
      <c r="A77" s="282" t="s">
        <v>362</v>
      </c>
      <c r="B77" s="279" t="s">
        <v>362</v>
      </c>
      <c r="C77" s="279" t="s">
        <v>367</v>
      </c>
      <c r="D77" s="280" t="s">
        <v>195</v>
      </c>
      <c r="E77" s="281">
        <v>0</v>
      </c>
      <c r="F77" s="281">
        <v>51378</v>
      </c>
    </row>
    <row r="78" spans="1:6" s="109" customFormat="1" ht="15.75" customHeight="1">
      <c r="A78" s="282" t="s">
        <v>362</v>
      </c>
      <c r="B78" s="279" t="s">
        <v>362</v>
      </c>
      <c r="C78" s="279" t="s">
        <v>385</v>
      </c>
      <c r="D78" s="280" t="s">
        <v>212</v>
      </c>
      <c r="E78" s="281">
        <v>0</v>
      </c>
      <c r="F78" s="281">
        <v>131123</v>
      </c>
    </row>
    <row r="79" spans="1:6" s="109" customFormat="1" ht="15.75" customHeight="1">
      <c r="A79" s="282" t="s">
        <v>362</v>
      </c>
      <c r="B79" s="279" t="s">
        <v>362</v>
      </c>
      <c r="C79" s="279" t="s">
        <v>386</v>
      </c>
      <c r="D79" s="280" t="s">
        <v>213</v>
      </c>
      <c r="E79" s="281">
        <v>0</v>
      </c>
      <c r="F79" s="281">
        <v>8941</v>
      </c>
    </row>
    <row r="80" spans="1:6" s="109" customFormat="1" ht="15.75" customHeight="1">
      <c r="A80" s="282" t="s">
        <v>362</v>
      </c>
      <c r="B80" s="279" t="s">
        <v>362</v>
      </c>
      <c r="C80" s="279" t="s">
        <v>401</v>
      </c>
      <c r="D80" s="280" t="s">
        <v>225</v>
      </c>
      <c r="E80" s="281">
        <v>0</v>
      </c>
      <c r="F80" s="281">
        <v>5752237</v>
      </c>
    </row>
    <row r="81" spans="1:6" s="109" customFormat="1" ht="29.25" customHeight="1">
      <c r="A81" s="282" t="s">
        <v>362</v>
      </c>
      <c r="B81" s="279" t="s">
        <v>362</v>
      </c>
      <c r="C81" s="279" t="s">
        <v>402</v>
      </c>
      <c r="D81" s="280" t="s">
        <v>226</v>
      </c>
      <c r="E81" s="281">
        <v>0</v>
      </c>
      <c r="F81" s="281">
        <v>138312</v>
      </c>
    </row>
    <row r="82" spans="1:6" s="109" customFormat="1" ht="29.25" customHeight="1">
      <c r="A82" s="282" t="s">
        <v>362</v>
      </c>
      <c r="B82" s="279" t="s">
        <v>362</v>
      </c>
      <c r="C82" s="279" t="s">
        <v>403</v>
      </c>
      <c r="D82" s="280" t="s">
        <v>227</v>
      </c>
      <c r="E82" s="281">
        <v>0</v>
      </c>
      <c r="F82" s="281">
        <v>441418</v>
      </c>
    </row>
    <row r="83" spans="1:6" s="109" customFormat="1" ht="29.25" customHeight="1">
      <c r="A83" s="282" t="s">
        <v>362</v>
      </c>
      <c r="B83" s="279" t="s">
        <v>362</v>
      </c>
      <c r="C83" s="279" t="s">
        <v>404</v>
      </c>
      <c r="D83" s="280" t="s">
        <v>274</v>
      </c>
      <c r="E83" s="281">
        <v>0</v>
      </c>
      <c r="F83" s="281">
        <v>78677</v>
      </c>
    </row>
    <row r="84" spans="1:6" s="109" customFormat="1" ht="15.75" customHeight="1">
      <c r="A84" s="282" t="s">
        <v>362</v>
      </c>
      <c r="B84" s="279" t="s">
        <v>362</v>
      </c>
      <c r="C84" s="279" t="s">
        <v>368</v>
      </c>
      <c r="D84" s="280" t="s">
        <v>196</v>
      </c>
      <c r="E84" s="281">
        <v>0</v>
      </c>
      <c r="F84" s="281">
        <v>32957</v>
      </c>
    </row>
    <row r="85" spans="1:6" s="109" customFormat="1" ht="25.15" customHeight="1">
      <c r="A85" s="282" t="s">
        <v>362</v>
      </c>
      <c r="B85" s="279" t="s">
        <v>362</v>
      </c>
      <c r="C85" s="279" t="s">
        <v>369</v>
      </c>
      <c r="D85" s="280" t="s">
        <v>370</v>
      </c>
      <c r="E85" s="281">
        <v>0</v>
      </c>
      <c r="F85" s="281">
        <v>4454</v>
      </c>
    </row>
    <row r="86" spans="1:6" s="109" customFormat="1" ht="15.75" customHeight="1">
      <c r="A86" s="282" t="s">
        <v>362</v>
      </c>
      <c r="B86" s="279" t="s">
        <v>362</v>
      </c>
      <c r="C86" s="279" t="s">
        <v>371</v>
      </c>
      <c r="D86" s="280" t="s">
        <v>197</v>
      </c>
      <c r="E86" s="281">
        <v>0</v>
      </c>
      <c r="F86" s="281">
        <v>26842</v>
      </c>
    </row>
    <row r="87" spans="1:6" s="109" customFormat="1" ht="29.25" customHeight="1">
      <c r="A87" s="282" t="s">
        <v>362</v>
      </c>
      <c r="B87" s="279" t="s">
        <v>362</v>
      </c>
      <c r="C87" s="279" t="s">
        <v>405</v>
      </c>
      <c r="D87" s="280" t="s">
        <v>406</v>
      </c>
      <c r="E87" s="281">
        <v>0</v>
      </c>
      <c r="F87" s="281">
        <v>682751</v>
      </c>
    </row>
    <row r="88" spans="1:6" s="109" customFormat="1" ht="15.75" customHeight="1">
      <c r="A88" s="282" t="s">
        <v>362</v>
      </c>
      <c r="B88" s="279" t="s">
        <v>362</v>
      </c>
      <c r="C88" s="279" t="s">
        <v>372</v>
      </c>
      <c r="D88" s="280" t="s">
        <v>198</v>
      </c>
      <c r="E88" s="281">
        <v>0</v>
      </c>
      <c r="F88" s="281">
        <v>202662</v>
      </c>
    </row>
    <row r="89" spans="1:6" s="109" customFormat="1" ht="15.75" customHeight="1">
      <c r="A89" s="282" t="s">
        <v>362</v>
      </c>
      <c r="B89" s="279" t="s">
        <v>362</v>
      </c>
      <c r="C89" s="279" t="s">
        <v>407</v>
      </c>
      <c r="D89" s="280" t="s">
        <v>228</v>
      </c>
      <c r="E89" s="281">
        <v>0</v>
      </c>
      <c r="F89" s="281">
        <v>16000</v>
      </c>
    </row>
    <row r="90" spans="1:6" s="109" customFormat="1" ht="15.75" customHeight="1">
      <c r="A90" s="282" t="s">
        <v>362</v>
      </c>
      <c r="B90" s="279" t="s">
        <v>362</v>
      </c>
      <c r="C90" s="279" t="s">
        <v>408</v>
      </c>
      <c r="D90" s="280" t="s">
        <v>229</v>
      </c>
      <c r="E90" s="281">
        <v>0</v>
      </c>
      <c r="F90" s="281">
        <v>8000</v>
      </c>
    </row>
    <row r="91" spans="1:6" s="109" customFormat="1" ht="15.75" customHeight="1">
      <c r="A91" s="282" t="s">
        <v>362</v>
      </c>
      <c r="B91" s="279" t="s">
        <v>362</v>
      </c>
      <c r="C91" s="279" t="s">
        <v>409</v>
      </c>
      <c r="D91" s="280" t="s">
        <v>230</v>
      </c>
      <c r="E91" s="281">
        <v>0</v>
      </c>
      <c r="F91" s="281">
        <v>12000</v>
      </c>
    </row>
    <row r="92" spans="1:6" s="109" customFormat="1" ht="15.75" customHeight="1">
      <c r="A92" s="282" t="s">
        <v>362</v>
      </c>
      <c r="B92" s="279" t="s">
        <v>362</v>
      </c>
      <c r="C92" s="279" t="s">
        <v>373</v>
      </c>
      <c r="D92" s="280" t="s">
        <v>199</v>
      </c>
      <c r="E92" s="281">
        <v>0</v>
      </c>
      <c r="F92" s="281">
        <v>91743</v>
      </c>
    </row>
    <row r="93" spans="1:6" s="109" customFormat="1" ht="15.75" customHeight="1">
      <c r="A93" s="282" t="s">
        <v>362</v>
      </c>
      <c r="B93" s="279" t="s">
        <v>362</v>
      </c>
      <c r="C93" s="279" t="s">
        <v>374</v>
      </c>
      <c r="D93" s="280" t="s">
        <v>200</v>
      </c>
      <c r="E93" s="281">
        <v>0</v>
      </c>
      <c r="F93" s="281">
        <v>112358</v>
      </c>
    </row>
    <row r="94" spans="1:6" s="109" customFormat="1" ht="15.75" customHeight="1">
      <c r="A94" s="282" t="s">
        <v>362</v>
      </c>
      <c r="B94" s="279" t="s">
        <v>362</v>
      </c>
      <c r="C94" s="279" t="s">
        <v>387</v>
      </c>
      <c r="D94" s="280" t="s">
        <v>214</v>
      </c>
      <c r="E94" s="281">
        <v>0</v>
      </c>
      <c r="F94" s="281">
        <v>29300</v>
      </c>
    </row>
    <row r="95" spans="1:6" s="109" customFormat="1" ht="15.75" customHeight="1">
      <c r="A95" s="282" t="s">
        <v>362</v>
      </c>
      <c r="B95" s="279" t="s">
        <v>362</v>
      </c>
      <c r="C95" s="279" t="s">
        <v>364</v>
      </c>
      <c r="D95" s="280" t="s">
        <v>192</v>
      </c>
      <c r="E95" s="281">
        <v>0</v>
      </c>
      <c r="F95" s="281">
        <v>72000</v>
      </c>
    </row>
    <row r="96" spans="1:6" s="109" customFormat="1" ht="15.75" customHeight="1">
      <c r="A96" s="282" t="s">
        <v>362</v>
      </c>
      <c r="B96" s="279" t="s">
        <v>362</v>
      </c>
      <c r="C96" s="279" t="s">
        <v>388</v>
      </c>
      <c r="D96" s="280" t="s">
        <v>389</v>
      </c>
      <c r="E96" s="281">
        <v>0</v>
      </c>
      <c r="F96" s="281">
        <v>6598</v>
      </c>
    </row>
    <row r="97" spans="1:9" s="109" customFormat="1" ht="15.75" customHeight="1">
      <c r="A97" s="282" t="s">
        <v>362</v>
      </c>
      <c r="B97" s="279" t="s">
        <v>362</v>
      </c>
      <c r="C97" s="279" t="s">
        <v>390</v>
      </c>
      <c r="D97" s="280" t="s">
        <v>215</v>
      </c>
      <c r="E97" s="281">
        <v>0</v>
      </c>
      <c r="F97" s="281">
        <v>10000</v>
      </c>
    </row>
    <row r="98" spans="1:9" s="109" customFormat="1" ht="15.75" customHeight="1">
      <c r="A98" s="282" t="s">
        <v>362</v>
      </c>
      <c r="B98" s="279" t="s">
        <v>362</v>
      </c>
      <c r="C98" s="279" t="s">
        <v>376</v>
      </c>
      <c r="D98" s="280" t="s">
        <v>202</v>
      </c>
      <c r="E98" s="281">
        <v>0</v>
      </c>
      <c r="F98" s="281">
        <v>5700</v>
      </c>
    </row>
    <row r="99" spans="1:9" s="109" customFormat="1" ht="15.75" customHeight="1">
      <c r="A99" s="282" t="s">
        <v>362</v>
      </c>
      <c r="B99" s="279" t="s">
        <v>362</v>
      </c>
      <c r="C99" s="279" t="s">
        <v>391</v>
      </c>
      <c r="D99" s="280" t="s">
        <v>216</v>
      </c>
      <c r="E99" s="281">
        <v>0</v>
      </c>
      <c r="F99" s="281">
        <v>6202</v>
      </c>
    </row>
    <row r="100" spans="1:9" s="109" customFormat="1" ht="15.75" customHeight="1">
      <c r="A100" s="282" t="s">
        <v>362</v>
      </c>
      <c r="B100" s="279" t="s">
        <v>362</v>
      </c>
      <c r="C100" s="279" t="s">
        <v>377</v>
      </c>
      <c r="D100" s="280" t="s">
        <v>203</v>
      </c>
      <c r="E100" s="281">
        <v>0</v>
      </c>
      <c r="F100" s="281">
        <v>9700</v>
      </c>
    </row>
    <row r="101" spans="1:9" s="109" customFormat="1" ht="15.75" customHeight="1">
      <c r="A101" s="282" t="s">
        <v>362</v>
      </c>
      <c r="B101" s="279" t="s">
        <v>362</v>
      </c>
      <c r="C101" s="279" t="s">
        <v>392</v>
      </c>
      <c r="D101" s="280" t="s">
        <v>217</v>
      </c>
      <c r="E101" s="281">
        <v>0</v>
      </c>
      <c r="F101" s="281">
        <v>3700</v>
      </c>
    </row>
    <row r="102" spans="1:9" s="109" customFormat="1" ht="28.5" customHeight="1">
      <c r="A102" s="282" t="s">
        <v>362</v>
      </c>
      <c r="B102" s="279" t="s">
        <v>362</v>
      </c>
      <c r="C102" s="279" t="s">
        <v>393</v>
      </c>
      <c r="D102" s="280" t="s">
        <v>218</v>
      </c>
      <c r="E102" s="281">
        <v>0</v>
      </c>
      <c r="F102" s="281">
        <v>5500</v>
      </c>
    </row>
    <row r="103" spans="1:9" s="109" customFormat="1" ht="17.25" customHeight="1">
      <c r="A103" s="288" t="s">
        <v>231</v>
      </c>
      <c r="B103" s="288" t="s">
        <v>362</v>
      </c>
      <c r="C103" s="288" t="s">
        <v>362</v>
      </c>
      <c r="D103" s="289" t="s">
        <v>232</v>
      </c>
      <c r="E103" s="290">
        <v>320100</v>
      </c>
      <c r="F103" s="290">
        <v>320100</v>
      </c>
    </row>
    <row r="104" spans="1:9" s="109" customFormat="1" ht="17.25" customHeight="1">
      <c r="A104" s="287" t="s">
        <v>362</v>
      </c>
      <c r="B104" s="283" t="s">
        <v>233</v>
      </c>
      <c r="C104" s="283" t="s">
        <v>362</v>
      </c>
      <c r="D104" s="284" t="s">
        <v>234</v>
      </c>
      <c r="E104" s="285">
        <v>320100</v>
      </c>
      <c r="F104" s="285">
        <v>320100</v>
      </c>
    </row>
    <row r="105" spans="1:9" s="109" customFormat="1" ht="47.25" customHeight="1">
      <c r="A105" s="282" t="s">
        <v>362</v>
      </c>
      <c r="B105" s="279" t="s">
        <v>362</v>
      </c>
      <c r="C105" s="279" t="s">
        <v>363</v>
      </c>
      <c r="D105" s="280" t="s">
        <v>191</v>
      </c>
      <c r="E105" s="281">
        <v>320100</v>
      </c>
      <c r="F105" s="281">
        <v>0</v>
      </c>
    </row>
    <row r="106" spans="1:9" s="110" customFormat="1" ht="15.75" customHeight="1">
      <c r="A106" s="282" t="s">
        <v>362</v>
      </c>
      <c r="B106" s="279" t="s">
        <v>362</v>
      </c>
      <c r="C106" s="279" t="s">
        <v>367</v>
      </c>
      <c r="D106" s="280" t="s">
        <v>195</v>
      </c>
      <c r="E106" s="281">
        <v>0</v>
      </c>
      <c r="F106" s="281">
        <v>5400</v>
      </c>
    </row>
    <row r="107" spans="1:9" s="110" customFormat="1" ht="15.75" customHeight="1">
      <c r="A107" s="282" t="s">
        <v>362</v>
      </c>
      <c r="B107" s="279" t="s">
        <v>362</v>
      </c>
      <c r="C107" s="279" t="s">
        <v>368</v>
      </c>
      <c r="D107" s="280" t="s">
        <v>196</v>
      </c>
      <c r="E107" s="281">
        <v>0</v>
      </c>
      <c r="F107" s="281">
        <v>924</v>
      </c>
    </row>
    <row r="108" spans="1:9" s="110" customFormat="1" ht="23.45" customHeight="1">
      <c r="A108" s="282" t="s">
        <v>362</v>
      </c>
      <c r="B108" s="279" t="s">
        <v>362</v>
      </c>
      <c r="C108" s="279" t="s">
        <v>369</v>
      </c>
      <c r="D108" s="280" t="s">
        <v>370</v>
      </c>
      <c r="E108" s="281">
        <v>0</v>
      </c>
      <c r="F108" s="281">
        <v>132</v>
      </c>
    </row>
    <row r="109" spans="1:9" s="110" customFormat="1" ht="15.75" customHeight="1">
      <c r="A109" s="282" t="s">
        <v>362</v>
      </c>
      <c r="B109" s="279" t="s">
        <v>362</v>
      </c>
      <c r="C109" s="279" t="s">
        <v>372</v>
      </c>
      <c r="D109" s="280" t="s">
        <v>198</v>
      </c>
      <c r="E109" s="281">
        <v>0</v>
      </c>
      <c r="F109" s="281">
        <v>5964</v>
      </c>
    </row>
    <row r="110" spans="1:9" s="110" customFormat="1" ht="15.75" customHeight="1">
      <c r="A110" s="282" t="s">
        <v>362</v>
      </c>
      <c r="B110" s="279" t="s">
        <v>362</v>
      </c>
      <c r="C110" s="279" t="s">
        <v>364</v>
      </c>
      <c r="D110" s="280" t="s">
        <v>192</v>
      </c>
      <c r="E110" s="281">
        <v>0</v>
      </c>
      <c r="F110" s="281">
        <v>307680</v>
      </c>
      <c r="I110" s="111"/>
    </row>
    <row r="111" spans="1:9" s="110" customFormat="1" ht="21" customHeight="1">
      <c r="A111" s="288" t="s">
        <v>288</v>
      </c>
      <c r="B111" s="288" t="s">
        <v>362</v>
      </c>
      <c r="C111" s="288" t="s">
        <v>362</v>
      </c>
      <c r="D111" s="289" t="s">
        <v>273</v>
      </c>
      <c r="E111" s="290">
        <v>51764</v>
      </c>
      <c r="F111" s="290">
        <v>51764</v>
      </c>
      <c r="I111" s="111"/>
    </row>
    <row r="112" spans="1:9" s="110" customFormat="1" ht="39" customHeight="1">
      <c r="A112" s="287" t="s">
        <v>362</v>
      </c>
      <c r="B112" s="283" t="s">
        <v>289</v>
      </c>
      <c r="C112" s="283" t="s">
        <v>362</v>
      </c>
      <c r="D112" s="284" t="s">
        <v>290</v>
      </c>
      <c r="E112" s="285">
        <v>51764</v>
      </c>
      <c r="F112" s="285">
        <v>51764</v>
      </c>
      <c r="I112" s="111"/>
    </row>
    <row r="113" spans="1:9" s="110" customFormat="1" ht="48" customHeight="1">
      <c r="A113" s="282" t="s">
        <v>362</v>
      </c>
      <c r="B113" s="279" t="s">
        <v>362</v>
      </c>
      <c r="C113" s="279" t="s">
        <v>363</v>
      </c>
      <c r="D113" s="280" t="s">
        <v>191</v>
      </c>
      <c r="E113" s="281">
        <v>51764</v>
      </c>
      <c r="F113" s="281">
        <v>0</v>
      </c>
      <c r="I113" s="111"/>
    </row>
    <row r="114" spans="1:9" s="110" customFormat="1" ht="42.75" customHeight="1">
      <c r="A114" s="282" t="s">
        <v>362</v>
      </c>
      <c r="B114" s="279" t="s">
        <v>362</v>
      </c>
      <c r="C114" s="279" t="s">
        <v>352</v>
      </c>
      <c r="D114" s="280" t="s">
        <v>255</v>
      </c>
      <c r="E114" s="281">
        <v>0</v>
      </c>
      <c r="F114" s="281">
        <v>10498</v>
      </c>
      <c r="I114" s="111"/>
    </row>
    <row r="115" spans="1:9" s="110" customFormat="1" ht="25.5" customHeight="1">
      <c r="A115" s="282" t="s">
        <v>362</v>
      </c>
      <c r="B115" s="279" t="s">
        <v>362</v>
      </c>
      <c r="C115" s="279" t="s">
        <v>410</v>
      </c>
      <c r="D115" s="280" t="s">
        <v>291</v>
      </c>
      <c r="E115" s="281">
        <v>0</v>
      </c>
      <c r="F115" s="281">
        <v>41266</v>
      </c>
      <c r="I115" s="111"/>
    </row>
    <row r="116" spans="1:9" s="109" customFormat="1" ht="17.25" customHeight="1">
      <c r="A116" s="288" t="s">
        <v>411</v>
      </c>
      <c r="B116" s="288" t="s">
        <v>362</v>
      </c>
      <c r="C116" s="288" t="s">
        <v>362</v>
      </c>
      <c r="D116" s="289" t="s">
        <v>235</v>
      </c>
      <c r="E116" s="290">
        <v>1124219</v>
      </c>
      <c r="F116" s="290">
        <v>1124219</v>
      </c>
    </row>
    <row r="117" spans="1:9" s="109" customFormat="1" ht="33.75" customHeight="1">
      <c r="A117" s="287" t="s">
        <v>362</v>
      </c>
      <c r="B117" s="283" t="s">
        <v>412</v>
      </c>
      <c r="C117" s="283" t="s">
        <v>362</v>
      </c>
      <c r="D117" s="284" t="s">
        <v>413</v>
      </c>
      <c r="E117" s="285">
        <v>1124219</v>
      </c>
      <c r="F117" s="285">
        <v>1124219</v>
      </c>
    </row>
    <row r="118" spans="1:9" s="109" customFormat="1" ht="42.75" customHeight="1">
      <c r="A118" s="282" t="s">
        <v>362</v>
      </c>
      <c r="B118" s="279" t="s">
        <v>362</v>
      </c>
      <c r="C118" s="279" t="s">
        <v>363</v>
      </c>
      <c r="D118" s="280" t="s">
        <v>191</v>
      </c>
      <c r="E118" s="281">
        <v>1124219</v>
      </c>
      <c r="F118" s="281">
        <v>0</v>
      </c>
    </row>
    <row r="119" spans="1:9" s="109" customFormat="1" ht="15.75" customHeight="1">
      <c r="A119" s="282" t="s">
        <v>362</v>
      </c>
      <c r="B119" s="279" t="s">
        <v>362</v>
      </c>
      <c r="C119" s="279" t="s">
        <v>414</v>
      </c>
      <c r="D119" s="280" t="s">
        <v>236</v>
      </c>
      <c r="E119" s="281">
        <v>0</v>
      </c>
      <c r="F119" s="281">
        <v>1124219</v>
      </c>
    </row>
    <row r="120" spans="1:9" s="109" customFormat="1" ht="17.25" customHeight="1">
      <c r="A120" s="288" t="s">
        <v>237</v>
      </c>
      <c r="B120" s="288" t="s">
        <v>362</v>
      </c>
      <c r="C120" s="288" t="s">
        <v>362</v>
      </c>
      <c r="D120" s="289" t="s">
        <v>238</v>
      </c>
      <c r="E120" s="290">
        <v>877198</v>
      </c>
      <c r="F120" s="290">
        <v>877198</v>
      </c>
    </row>
    <row r="121" spans="1:9" s="109" customFormat="1" ht="17.25" customHeight="1">
      <c r="A121" s="287" t="s">
        <v>362</v>
      </c>
      <c r="B121" s="283" t="s">
        <v>415</v>
      </c>
      <c r="C121" s="283" t="s">
        <v>362</v>
      </c>
      <c r="D121" s="284" t="s">
        <v>239</v>
      </c>
      <c r="E121" s="285">
        <v>877198</v>
      </c>
      <c r="F121" s="285">
        <v>877198</v>
      </c>
    </row>
    <row r="122" spans="1:9" s="109" customFormat="1" ht="43.5" customHeight="1">
      <c r="A122" s="282" t="s">
        <v>362</v>
      </c>
      <c r="B122" s="279" t="s">
        <v>362</v>
      </c>
      <c r="C122" s="279" t="s">
        <v>363</v>
      </c>
      <c r="D122" s="280" t="s">
        <v>191</v>
      </c>
      <c r="E122" s="281">
        <v>877198</v>
      </c>
      <c r="F122" s="281">
        <v>0</v>
      </c>
    </row>
    <row r="123" spans="1:9" s="109" customFormat="1" ht="15.75" customHeight="1">
      <c r="A123" s="282" t="s">
        <v>362</v>
      </c>
      <c r="B123" s="279" t="s">
        <v>362</v>
      </c>
      <c r="C123" s="279" t="s">
        <v>384</v>
      </c>
      <c r="D123" s="280" t="s">
        <v>211</v>
      </c>
      <c r="E123" s="281">
        <v>0</v>
      </c>
      <c r="F123" s="281">
        <v>321</v>
      </c>
    </row>
    <row r="124" spans="1:9" s="110" customFormat="1" ht="15.75" customHeight="1">
      <c r="A124" s="282" t="s">
        <v>362</v>
      </c>
      <c r="B124" s="279" t="s">
        <v>362</v>
      </c>
      <c r="C124" s="279" t="s">
        <v>367</v>
      </c>
      <c r="D124" s="280" t="s">
        <v>195</v>
      </c>
      <c r="E124" s="281">
        <v>0</v>
      </c>
      <c r="F124" s="281">
        <v>520229</v>
      </c>
    </row>
    <row r="125" spans="1:9" s="110" customFormat="1" ht="15.75" customHeight="1">
      <c r="A125" s="282" t="s">
        <v>362</v>
      </c>
      <c r="B125" s="279" t="s">
        <v>362</v>
      </c>
      <c r="C125" s="279" t="s">
        <v>386</v>
      </c>
      <c r="D125" s="280" t="s">
        <v>213</v>
      </c>
      <c r="E125" s="281">
        <v>0</v>
      </c>
      <c r="F125" s="281">
        <v>33487</v>
      </c>
    </row>
    <row r="126" spans="1:9" s="110" customFormat="1" ht="15.75" customHeight="1">
      <c r="A126" s="282" t="s">
        <v>362</v>
      </c>
      <c r="B126" s="279" t="s">
        <v>362</v>
      </c>
      <c r="C126" s="279" t="s">
        <v>368</v>
      </c>
      <c r="D126" s="280" t="s">
        <v>196</v>
      </c>
      <c r="E126" s="281">
        <v>0</v>
      </c>
      <c r="F126" s="281">
        <v>93970</v>
      </c>
    </row>
    <row r="127" spans="1:9" s="110" customFormat="1" ht="30.6" customHeight="1">
      <c r="A127" s="282" t="s">
        <v>362</v>
      </c>
      <c r="B127" s="279" t="s">
        <v>362</v>
      </c>
      <c r="C127" s="279" t="s">
        <v>369</v>
      </c>
      <c r="D127" s="280" t="s">
        <v>370</v>
      </c>
      <c r="E127" s="281">
        <v>0</v>
      </c>
      <c r="F127" s="281">
        <v>10650</v>
      </c>
    </row>
    <row r="128" spans="1:9" s="110" customFormat="1" ht="15.75" customHeight="1">
      <c r="A128" s="282" t="s">
        <v>362</v>
      </c>
      <c r="B128" s="279" t="s">
        <v>362</v>
      </c>
      <c r="C128" s="279" t="s">
        <v>371</v>
      </c>
      <c r="D128" s="280" t="s">
        <v>197</v>
      </c>
      <c r="E128" s="281">
        <v>0</v>
      </c>
      <c r="F128" s="281">
        <v>6780</v>
      </c>
    </row>
    <row r="129" spans="1:6" s="110" customFormat="1" ht="15.75" customHeight="1">
      <c r="A129" s="282" t="s">
        <v>362</v>
      </c>
      <c r="B129" s="279" t="s">
        <v>362</v>
      </c>
      <c r="C129" s="279" t="s">
        <v>372</v>
      </c>
      <c r="D129" s="280" t="s">
        <v>198</v>
      </c>
      <c r="E129" s="281">
        <v>0</v>
      </c>
      <c r="F129" s="281">
        <v>37431</v>
      </c>
    </row>
    <row r="130" spans="1:6" s="110" customFormat="1" ht="15.75" customHeight="1">
      <c r="A130" s="282" t="s">
        <v>362</v>
      </c>
      <c r="B130" s="279" t="s">
        <v>362</v>
      </c>
      <c r="C130" s="279" t="s">
        <v>407</v>
      </c>
      <c r="D130" s="280" t="s">
        <v>228</v>
      </c>
      <c r="E130" s="281">
        <v>0</v>
      </c>
      <c r="F130" s="281">
        <v>22880</v>
      </c>
    </row>
    <row r="131" spans="1:6" s="110" customFormat="1" ht="15.75" customHeight="1">
      <c r="A131" s="282" t="s">
        <v>362</v>
      </c>
      <c r="B131" s="279" t="s">
        <v>362</v>
      </c>
      <c r="C131" s="279" t="s">
        <v>373</v>
      </c>
      <c r="D131" s="280" t="s">
        <v>199</v>
      </c>
      <c r="E131" s="281">
        <v>0</v>
      </c>
      <c r="F131" s="281">
        <v>9600</v>
      </c>
    </row>
    <row r="132" spans="1:6" s="110" customFormat="1" ht="15.75" customHeight="1">
      <c r="A132" s="282" t="s">
        <v>362</v>
      </c>
      <c r="B132" s="279" t="s">
        <v>362</v>
      </c>
      <c r="C132" s="279" t="s">
        <v>374</v>
      </c>
      <c r="D132" s="280" t="s">
        <v>200</v>
      </c>
      <c r="E132" s="281">
        <v>0</v>
      </c>
      <c r="F132" s="281">
        <v>10984</v>
      </c>
    </row>
    <row r="133" spans="1:6" s="110" customFormat="1" ht="15.75" customHeight="1">
      <c r="A133" s="282" t="s">
        <v>362</v>
      </c>
      <c r="B133" s="279" t="s">
        <v>362</v>
      </c>
      <c r="C133" s="279" t="s">
        <v>387</v>
      </c>
      <c r="D133" s="280" t="s">
        <v>214</v>
      </c>
      <c r="E133" s="281">
        <v>0</v>
      </c>
      <c r="F133" s="281">
        <v>450</v>
      </c>
    </row>
    <row r="134" spans="1:6" s="110" customFormat="1" ht="15.75" customHeight="1">
      <c r="A134" s="282" t="s">
        <v>362</v>
      </c>
      <c r="B134" s="279" t="s">
        <v>362</v>
      </c>
      <c r="C134" s="279" t="s">
        <v>364</v>
      </c>
      <c r="D134" s="280" t="s">
        <v>192</v>
      </c>
      <c r="E134" s="281">
        <v>0</v>
      </c>
      <c r="F134" s="281">
        <v>91006</v>
      </c>
    </row>
    <row r="135" spans="1:6" s="110" customFormat="1" ht="15.75" customHeight="1">
      <c r="A135" s="282" t="s">
        <v>362</v>
      </c>
      <c r="B135" s="279" t="s">
        <v>362</v>
      </c>
      <c r="C135" s="279" t="s">
        <v>388</v>
      </c>
      <c r="D135" s="280" t="s">
        <v>389</v>
      </c>
      <c r="E135" s="281">
        <v>0</v>
      </c>
      <c r="F135" s="281">
        <v>3927</v>
      </c>
    </row>
    <row r="136" spans="1:6" s="110" customFormat="1" ht="15.75" customHeight="1">
      <c r="A136" s="282" t="s">
        <v>362</v>
      </c>
      <c r="B136" s="279" t="s">
        <v>362</v>
      </c>
      <c r="C136" s="279" t="s">
        <v>390</v>
      </c>
      <c r="D136" s="280" t="s">
        <v>215</v>
      </c>
      <c r="E136" s="281">
        <v>0</v>
      </c>
      <c r="F136" s="281">
        <v>2006</v>
      </c>
    </row>
    <row r="137" spans="1:6" s="110" customFormat="1" ht="15.75" customHeight="1">
      <c r="A137" s="282" t="s">
        <v>362</v>
      </c>
      <c r="B137" s="279" t="s">
        <v>362</v>
      </c>
      <c r="C137" s="279" t="s">
        <v>376</v>
      </c>
      <c r="D137" s="280" t="s">
        <v>202</v>
      </c>
      <c r="E137" s="281">
        <v>0</v>
      </c>
      <c r="F137" s="281">
        <v>1200</v>
      </c>
    </row>
    <row r="138" spans="1:6" s="110" customFormat="1" ht="15.75" customHeight="1">
      <c r="A138" s="282" t="s">
        <v>362</v>
      </c>
      <c r="B138" s="279" t="s">
        <v>362</v>
      </c>
      <c r="C138" s="279" t="s">
        <v>391</v>
      </c>
      <c r="D138" s="280" t="s">
        <v>216</v>
      </c>
      <c r="E138" s="281">
        <v>0</v>
      </c>
      <c r="F138" s="281">
        <v>14470</v>
      </c>
    </row>
    <row r="139" spans="1:6" s="110" customFormat="1" ht="15.75" customHeight="1">
      <c r="A139" s="282" t="s">
        <v>362</v>
      </c>
      <c r="B139" s="279" t="s">
        <v>362</v>
      </c>
      <c r="C139" s="279" t="s">
        <v>377</v>
      </c>
      <c r="D139" s="280" t="s">
        <v>203</v>
      </c>
      <c r="E139" s="281">
        <v>0</v>
      </c>
      <c r="F139" s="281">
        <v>3750</v>
      </c>
    </row>
    <row r="140" spans="1:6" s="110" customFormat="1" ht="15.75" customHeight="1">
      <c r="A140" s="282" t="s">
        <v>362</v>
      </c>
      <c r="B140" s="279" t="s">
        <v>362</v>
      </c>
      <c r="C140" s="279" t="s">
        <v>378</v>
      </c>
      <c r="D140" s="280" t="s">
        <v>204</v>
      </c>
      <c r="E140" s="281">
        <v>0</v>
      </c>
      <c r="F140" s="281">
        <v>3057</v>
      </c>
    </row>
    <row r="141" spans="1:6" s="110" customFormat="1" ht="31.5" customHeight="1">
      <c r="A141" s="282" t="s">
        <v>362</v>
      </c>
      <c r="B141" s="279" t="s">
        <v>362</v>
      </c>
      <c r="C141" s="279" t="s">
        <v>393</v>
      </c>
      <c r="D141" s="280" t="s">
        <v>218</v>
      </c>
      <c r="E141" s="281">
        <v>0</v>
      </c>
      <c r="F141" s="281">
        <v>11000</v>
      </c>
    </row>
    <row r="142" spans="1:6" s="109" customFormat="1" ht="17.25" customHeight="1">
      <c r="A142" s="288" t="s">
        <v>416</v>
      </c>
      <c r="B142" s="288" t="s">
        <v>362</v>
      </c>
      <c r="C142" s="288" t="s">
        <v>362</v>
      </c>
      <c r="D142" s="289" t="s">
        <v>4</v>
      </c>
      <c r="E142" s="290">
        <v>355073.5</v>
      </c>
      <c r="F142" s="290">
        <v>355073.5</v>
      </c>
    </row>
    <row r="143" spans="1:6" s="109" customFormat="1" ht="17.25" customHeight="1">
      <c r="A143" s="287" t="s">
        <v>362</v>
      </c>
      <c r="B143" s="283" t="s">
        <v>417</v>
      </c>
      <c r="C143" s="283" t="s">
        <v>362</v>
      </c>
      <c r="D143" s="284" t="s">
        <v>240</v>
      </c>
      <c r="E143" s="285">
        <v>252361.5</v>
      </c>
      <c r="F143" s="285">
        <v>252361.5</v>
      </c>
    </row>
    <row r="144" spans="1:6" s="109" customFormat="1" ht="42.75" customHeight="1">
      <c r="A144" s="282" t="s">
        <v>362</v>
      </c>
      <c r="B144" s="279" t="s">
        <v>362</v>
      </c>
      <c r="C144" s="279" t="s">
        <v>363</v>
      </c>
      <c r="D144" s="280" t="s">
        <v>191</v>
      </c>
      <c r="E144" s="281">
        <v>252361.5</v>
      </c>
      <c r="F144" s="281">
        <v>0</v>
      </c>
    </row>
    <row r="145" spans="1:6" s="109" customFormat="1" ht="15.75" customHeight="1">
      <c r="A145" s="282" t="s">
        <v>362</v>
      </c>
      <c r="B145" s="279" t="s">
        <v>362</v>
      </c>
      <c r="C145" s="279" t="s">
        <v>384</v>
      </c>
      <c r="D145" s="280" t="s">
        <v>211</v>
      </c>
      <c r="E145" s="281">
        <v>0</v>
      </c>
      <c r="F145" s="281">
        <v>50</v>
      </c>
    </row>
    <row r="146" spans="1:6" s="110" customFormat="1" ht="15.75" customHeight="1">
      <c r="A146" s="282" t="s">
        <v>362</v>
      </c>
      <c r="B146" s="279" t="s">
        <v>362</v>
      </c>
      <c r="C146" s="279" t="s">
        <v>367</v>
      </c>
      <c r="D146" s="280" t="s">
        <v>195</v>
      </c>
      <c r="E146" s="281">
        <v>0</v>
      </c>
      <c r="F146" s="281">
        <v>85765</v>
      </c>
    </row>
    <row r="147" spans="1:6" s="110" customFormat="1" ht="15.75" customHeight="1">
      <c r="A147" s="282" t="s">
        <v>362</v>
      </c>
      <c r="B147" s="279" t="s">
        <v>362</v>
      </c>
      <c r="C147" s="279" t="s">
        <v>386</v>
      </c>
      <c r="D147" s="280" t="s">
        <v>213</v>
      </c>
      <c r="E147" s="281">
        <v>0</v>
      </c>
      <c r="F147" s="281">
        <v>4344</v>
      </c>
    </row>
    <row r="148" spans="1:6" s="110" customFormat="1" ht="15.75" customHeight="1">
      <c r="A148" s="282" t="s">
        <v>362</v>
      </c>
      <c r="B148" s="279" t="s">
        <v>362</v>
      </c>
      <c r="C148" s="279" t="s">
        <v>368</v>
      </c>
      <c r="D148" s="280" t="s">
        <v>196</v>
      </c>
      <c r="E148" s="281">
        <v>0</v>
      </c>
      <c r="F148" s="281">
        <v>23416</v>
      </c>
    </row>
    <row r="149" spans="1:6" s="110" customFormat="1" ht="26.45" customHeight="1">
      <c r="A149" s="282" t="s">
        <v>362</v>
      </c>
      <c r="B149" s="279" t="s">
        <v>362</v>
      </c>
      <c r="C149" s="279" t="s">
        <v>369</v>
      </c>
      <c r="D149" s="280" t="s">
        <v>370</v>
      </c>
      <c r="E149" s="281">
        <v>0</v>
      </c>
      <c r="F149" s="281">
        <v>3332</v>
      </c>
    </row>
    <row r="150" spans="1:6" s="110" customFormat="1" ht="15.75" customHeight="1">
      <c r="A150" s="282" t="s">
        <v>362</v>
      </c>
      <c r="B150" s="279" t="s">
        <v>362</v>
      </c>
      <c r="C150" s="279" t="s">
        <v>371</v>
      </c>
      <c r="D150" s="280" t="s">
        <v>197</v>
      </c>
      <c r="E150" s="281">
        <v>0</v>
      </c>
      <c r="F150" s="281">
        <v>39209</v>
      </c>
    </row>
    <row r="151" spans="1:6" s="110" customFormat="1" ht="15.75" customHeight="1">
      <c r="A151" s="282" t="s">
        <v>362</v>
      </c>
      <c r="B151" s="279" t="s">
        <v>362</v>
      </c>
      <c r="C151" s="279" t="s">
        <v>372</v>
      </c>
      <c r="D151" s="280" t="s">
        <v>198</v>
      </c>
      <c r="E151" s="281">
        <v>0</v>
      </c>
      <c r="F151" s="281">
        <v>31357.5</v>
      </c>
    </row>
    <row r="152" spans="1:6" s="110" customFormat="1" ht="15.75" customHeight="1">
      <c r="A152" s="282" t="s">
        <v>362</v>
      </c>
      <c r="B152" s="279" t="s">
        <v>362</v>
      </c>
      <c r="C152" s="279" t="s">
        <v>387</v>
      </c>
      <c r="D152" s="280" t="s">
        <v>214</v>
      </c>
      <c r="E152" s="281">
        <v>0</v>
      </c>
      <c r="F152" s="281">
        <v>100</v>
      </c>
    </row>
    <row r="153" spans="1:6" s="110" customFormat="1" ht="15.75" customHeight="1">
      <c r="A153" s="282" t="s">
        <v>362</v>
      </c>
      <c r="B153" s="279" t="s">
        <v>362</v>
      </c>
      <c r="C153" s="279" t="s">
        <v>364</v>
      </c>
      <c r="D153" s="280" t="s">
        <v>192</v>
      </c>
      <c r="E153" s="281">
        <v>0</v>
      </c>
      <c r="F153" s="281">
        <v>63237</v>
      </c>
    </row>
    <row r="154" spans="1:6" s="110" customFormat="1" ht="15.75" customHeight="1">
      <c r="A154" s="282" t="s">
        <v>362</v>
      </c>
      <c r="B154" s="279" t="s">
        <v>362</v>
      </c>
      <c r="C154" s="279" t="s">
        <v>391</v>
      </c>
      <c r="D154" s="280" t="s">
        <v>216</v>
      </c>
      <c r="E154" s="281">
        <v>0</v>
      </c>
      <c r="F154" s="281">
        <v>1551</v>
      </c>
    </row>
    <row r="155" spans="1:6" s="110" customFormat="1" ht="15.75" customHeight="1">
      <c r="A155" s="287" t="s">
        <v>362</v>
      </c>
      <c r="B155" s="283" t="s">
        <v>272</v>
      </c>
      <c r="C155" s="283" t="s">
        <v>362</v>
      </c>
      <c r="D155" s="284" t="s">
        <v>261</v>
      </c>
      <c r="E155" s="285">
        <v>102712</v>
      </c>
      <c r="F155" s="285">
        <v>102712</v>
      </c>
    </row>
    <row r="156" spans="1:6" s="110" customFormat="1" ht="47.25" customHeight="1">
      <c r="A156" s="282" t="s">
        <v>362</v>
      </c>
      <c r="B156" s="279" t="s">
        <v>362</v>
      </c>
      <c r="C156" s="279" t="s">
        <v>363</v>
      </c>
      <c r="D156" s="280" t="s">
        <v>191</v>
      </c>
      <c r="E156" s="281">
        <v>102712</v>
      </c>
      <c r="F156" s="281">
        <v>0</v>
      </c>
    </row>
    <row r="157" spans="1:6" s="110" customFormat="1" ht="18" customHeight="1">
      <c r="A157" s="282" t="s">
        <v>362</v>
      </c>
      <c r="B157" s="279" t="s">
        <v>362</v>
      </c>
      <c r="C157" s="279" t="s">
        <v>418</v>
      </c>
      <c r="D157" s="280" t="s">
        <v>245</v>
      </c>
      <c r="E157" s="281">
        <v>0</v>
      </c>
      <c r="F157" s="281">
        <v>102712</v>
      </c>
    </row>
    <row r="158" spans="1:6" s="110" customFormat="1" ht="15.75" customHeight="1">
      <c r="A158" s="288" t="s">
        <v>241</v>
      </c>
      <c r="B158" s="288" t="s">
        <v>362</v>
      </c>
      <c r="C158" s="288" t="s">
        <v>362</v>
      </c>
      <c r="D158" s="289" t="s">
        <v>37</v>
      </c>
      <c r="E158" s="290">
        <v>892997</v>
      </c>
      <c r="F158" s="290">
        <v>892997</v>
      </c>
    </row>
    <row r="159" spans="1:6" s="112" customFormat="1" ht="15.75" customHeight="1">
      <c r="A159" s="287" t="s">
        <v>362</v>
      </c>
      <c r="B159" s="283" t="s">
        <v>242</v>
      </c>
      <c r="C159" s="283" t="s">
        <v>362</v>
      </c>
      <c r="D159" s="284" t="s">
        <v>243</v>
      </c>
      <c r="E159" s="285">
        <v>37510</v>
      </c>
      <c r="F159" s="285">
        <v>37510</v>
      </c>
    </row>
    <row r="160" spans="1:6" s="110" customFormat="1" ht="42" customHeight="1">
      <c r="A160" s="282" t="s">
        <v>362</v>
      </c>
      <c r="B160" s="279" t="s">
        <v>362</v>
      </c>
      <c r="C160" s="279" t="s">
        <v>363</v>
      </c>
      <c r="D160" s="280" t="s">
        <v>191</v>
      </c>
      <c r="E160" s="281">
        <v>37510</v>
      </c>
      <c r="F160" s="281">
        <v>0</v>
      </c>
    </row>
    <row r="161" spans="1:6" s="110" customFormat="1" ht="15.75" customHeight="1">
      <c r="A161" s="282" t="s">
        <v>362</v>
      </c>
      <c r="B161" s="279" t="s">
        <v>362</v>
      </c>
      <c r="C161" s="279" t="s">
        <v>418</v>
      </c>
      <c r="D161" s="280" t="s">
        <v>245</v>
      </c>
      <c r="E161" s="281">
        <v>0</v>
      </c>
      <c r="F161" s="281">
        <v>36300</v>
      </c>
    </row>
    <row r="162" spans="1:6" s="110" customFormat="1" ht="15.75" customHeight="1">
      <c r="A162" s="282" t="s">
        <v>362</v>
      </c>
      <c r="B162" s="279" t="s">
        <v>362</v>
      </c>
      <c r="C162" s="279" t="s">
        <v>367</v>
      </c>
      <c r="D162" s="280" t="s">
        <v>195</v>
      </c>
      <c r="E162" s="281">
        <v>0</v>
      </c>
      <c r="F162" s="281">
        <v>1011</v>
      </c>
    </row>
    <row r="163" spans="1:6" s="110" customFormat="1" ht="15.75" customHeight="1">
      <c r="A163" s="282" t="s">
        <v>362</v>
      </c>
      <c r="B163" s="279" t="s">
        <v>362</v>
      </c>
      <c r="C163" s="279" t="s">
        <v>368</v>
      </c>
      <c r="D163" s="280" t="s">
        <v>196</v>
      </c>
      <c r="E163" s="281">
        <v>0</v>
      </c>
      <c r="F163" s="281">
        <v>174</v>
      </c>
    </row>
    <row r="164" spans="1:6" s="110" customFormat="1" ht="26.25" customHeight="1">
      <c r="A164" s="282" t="s">
        <v>362</v>
      </c>
      <c r="B164" s="279" t="s">
        <v>362</v>
      </c>
      <c r="C164" s="279" t="s">
        <v>369</v>
      </c>
      <c r="D164" s="280" t="s">
        <v>370</v>
      </c>
      <c r="E164" s="281">
        <v>0</v>
      </c>
      <c r="F164" s="281">
        <v>25</v>
      </c>
    </row>
    <row r="165" spans="1:6" s="109" customFormat="1" ht="17.25" customHeight="1">
      <c r="A165" s="287" t="s">
        <v>362</v>
      </c>
      <c r="B165" s="283" t="s">
        <v>244</v>
      </c>
      <c r="C165" s="283" t="s">
        <v>362</v>
      </c>
      <c r="D165" s="284" t="s">
        <v>3</v>
      </c>
      <c r="E165" s="285">
        <v>420000</v>
      </c>
      <c r="F165" s="285">
        <v>420000</v>
      </c>
    </row>
    <row r="166" spans="1:6" s="110" customFormat="1" ht="60" customHeight="1">
      <c r="A166" s="282" t="s">
        <v>362</v>
      </c>
      <c r="B166" s="279" t="s">
        <v>362</v>
      </c>
      <c r="C166" s="279" t="s">
        <v>419</v>
      </c>
      <c r="D166" s="280" t="s">
        <v>420</v>
      </c>
      <c r="E166" s="281">
        <v>420000</v>
      </c>
      <c r="F166" s="281">
        <v>0</v>
      </c>
    </row>
    <row r="167" spans="1:6" s="110" customFormat="1" ht="15.75" customHeight="1">
      <c r="A167" s="282" t="s">
        <v>362</v>
      </c>
      <c r="B167" s="279" t="s">
        <v>362</v>
      </c>
      <c r="C167" s="279" t="s">
        <v>418</v>
      </c>
      <c r="D167" s="280" t="s">
        <v>245</v>
      </c>
      <c r="E167" s="281">
        <v>0</v>
      </c>
      <c r="F167" s="281">
        <v>415841</v>
      </c>
    </row>
    <row r="168" spans="1:6" s="110" customFormat="1" ht="15.75" customHeight="1">
      <c r="A168" s="282" t="s">
        <v>362</v>
      </c>
      <c r="B168" s="279" t="s">
        <v>362</v>
      </c>
      <c r="C168" s="279" t="s">
        <v>367</v>
      </c>
      <c r="D168" s="280" t="s">
        <v>195</v>
      </c>
      <c r="E168" s="281">
        <v>0</v>
      </c>
      <c r="F168" s="281">
        <v>4159</v>
      </c>
    </row>
    <row r="169" spans="1:6" s="109" customFormat="1" ht="17.25" customHeight="1">
      <c r="A169" s="287" t="s">
        <v>362</v>
      </c>
      <c r="B169" s="283" t="s">
        <v>246</v>
      </c>
      <c r="C169" s="283" t="s">
        <v>362</v>
      </c>
      <c r="D169" s="284" t="s">
        <v>38</v>
      </c>
      <c r="E169" s="285">
        <v>435487</v>
      </c>
      <c r="F169" s="285">
        <v>435487</v>
      </c>
    </row>
    <row r="170" spans="1:6" s="113" customFormat="1" ht="52.9" customHeight="1">
      <c r="A170" s="282" t="s">
        <v>362</v>
      </c>
      <c r="B170" s="279" t="s">
        <v>362</v>
      </c>
      <c r="C170" s="279" t="s">
        <v>363</v>
      </c>
      <c r="D170" s="280" t="s">
        <v>191</v>
      </c>
      <c r="E170" s="281">
        <v>65487</v>
      </c>
      <c r="F170" s="281">
        <v>0</v>
      </c>
    </row>
    <row r="171" spans="1:6" s="110" customFormat="1" ht="61.5" customHeight="1">
      <c r="A171" s="282" t="s">
        <v>362</v>
      </c>
      <c r="B171" s="279" t="s">
        <v>362</v>
      </c>
      <c r="C171" s="279" t="s">
        <v>419</v>
      </c>
      <c r="D171" s="280" t="s">
        <v>420</v>
      </c>
      <c r="E171" s="281">
        <v>370000</v>
      </c>
      <c r="F171" s="281">
        <v>0</v>
      </c>
    </row>
    <row r="172" spans="1:6" s="110" customFormat="1" ht="15.75" customHeight="1">
      <c r="A172" s="282" t="s">
        <v>362</v>
      </c>
      <c r="B172" s="279" t="s">
        <v>362</v>
      </c>
      <c r="C172" s="279" t="s">
        <v>418</v>
      </c>
      <c r="D172" s="280" t="s">
        <v>245</v>
      </c>
      <c r="E172" s="281">
        <v>0</v>
      </c>
      <c r="F172" s="281">
        <v>374664</v>
      </c>
    </row>
    <row r="173" spans="1:6" s="110" customFormat="1" ht="15.75" customHeight="1">
      <c r="A173" s="282" t="s">
        <v>362</v>
      </c>
      <c r="B173" s="279" t="s">
        <v>362</v>
      </c>
      <c r="C173" s="279" t="s">
        <v>367</v>
      </c>
      <c r="D173" s="280" t="s">
        <v>195</v>
      </c>
      <c r="E173" s="281">
        <v>0</v>
      </c>
      <c r="F173" s="281">
        <v>51428</v>
      </c>
    </row>
    <row r="174" spans="1:6" s="110" customFormat="1" ht="15.75" customHeight="1">
      <c r="A174" s="282" t="s">
        <v>362</v>
      </c>
      <c r="B174" s="279" t="s">
        <v>362</v>
      </c>
      <c r="C174" s="279" t="s">
        <v>368</v>
      </c>
      <c r="D174" s="280" t="s">
        <v>196</v>
      </c>
      <c r="E174" s="281">
        <v>0</v>
      </c>
      <c r="F174" s="281">
        <v>8225</v>
      </c>
    </row>
    <row r="175" spans="1:6" s="110" customFormat="1" ht="26.25" customHeight="1">
      <c r="A175" s="282" t="s">
        <v>362</v>
      </c>
      <c r="B175" s="279" t="s">
        <v>362</v>
      </c>
      <c r="C175" s="279" t="s">
        <v>369</v>
      </c>
      <c r="D175" s="280" t="s">
        <v>370</v>
      </c>
      <c r="E175" s="281">
        <v>0</v>
      </c>
      <c r="F175" s="281">
        <v>1170</v>
      </c>
    </row>
    <row r="176" spans="1:6" s="109" customFormat="1" ht="20.25" customHeight="1">
      <c r="A176" s="409" t="s">
        <v>421</v>
      </c>
      <c r="B176" s="409"/>
      <c r="C176" s="409"/>
      <c r="D176" s="409"/>
      <c r="E176" s="286">
        <v>13615123.5</v>
      </c>
      <c r="F176" s="286">
        <v>13615123.5</v>
      </c>
    </row>
    <row r="177" spans="6:6" ht="15.75" customHeight="1"/>
    <row r="178" spans="6:6" ht="15.75" customHeight="1"/>
    <row r="179" spans="6:6" s="26" customFormat="1" ht="15.75" customHeight="1">
      <c r="F179" s="158"/>
    </row>
    <row r="180" spans="6:6" s="26" customFormat="1" ht="15.75" customHeight="1">
      <c r="F180" s="158"/>
    </row>
    <row r="181" spans="6:6" s="26" customFormat="1" ht="15.75" customHeight="1">
      <c r="F181" s="159"/>
    </row>
    <row r="182" spans="6:6" ht="15.75" customHeight="1"/>
    <row r="183" spans="6:6" ht="15.75" customHeight="1"/>
    <row r="184" spans="6:6" ht="15.75" customHeight="1"/>
    <row r="185" spans="6:6" ht="15.75" customHeight="1"/>
    <row r="186" spans="6:6" ht="15.75" customHeight="1"/>
    <row r="187" spans="6:6" ht="15.75" customHeight="1"/>
  </sheetData>
  <sheetProtection algorithmName="SHA-512" hashValue="/d8v9GAoc8u40+CcWuAs1qdWtVZnmVVTvDMXb4HYizDSTzp9e+D93IXJ2qqtv3zy2TGTnzp5XM28jPpXGu+i2A==" saltValue="EF7VZ9ESrIGLk7QaBk4ZiA==" spinCount="100000" sheet="1" objects="1" scenarios="1" formatColumns="0" formatRows="0"/>
  <autoFilter ref="C1:C187"/>
  <mergeCells count="2">
    <mergeCell ref="A2:F2"/>
    <mergeCell ref="A176:D176"/>
  </mergeCells>
  <pageMargins left="0.86614173228346458" right="0.23622047244094491" top="1.1023622047244095" bottom="0.9055118110236221" header="0.51181102362204722" footer="0.51181102362204722"/>
  <pageSetup paperSize="9" scale="85" fitToWidth="0" fitToHeight="4" orientation="portrait" horizontalDpi="4294967293" verticalDpi="300" r:id="rId1"/>
  <headerFooter differentOddEven="1" differentFirst="1" alignWithMargins="0">
    <oddFooter>&amp;C&amp;P</oddFooter>
    <evenFooter>&amp;C&amp;P</evenFooter>
    <firstHeader>&amp;R&amp;10Tabela Nr 5
do uchwały Nr ................
Rady Powiatu  Otwockiego
z dnia .....................</firstHead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G30"/>
  <sheetViews>
    <sheetView workbookViewId="0">
      <selection activeCell="J9" sqref="J9"/>
    </sheetView>
  </sheetViews>
  <sheetFormatPr defaultColWidth="9.33203125" defaultRowHeight="12"/>
  <cols>
    <col min="1" max="1" width="3.6640625" style="294" customWidth="1"/>
    <col min="2" max="2" width="7.83203125" style="316" customWidth="1"/>
    <col min="3" max="3" width="9.83203125" style="316" customWidth="1"/>
    <col min="4" max="4" width="10.83203125" style="316" customWidth="1"/>
    <col min="5" max="5" width="50.6640625" style="294" customWidth="1"/>
    <col min="6" max="7" width="18.6640625" style="294" customWidth="1"/>
    <col min="8" max="16384" width="9.33203125" style="294"/>
  </cols>
  <sheetData>
    <row r="3" spans="2:7" ht="31.5" customHeight="1">
      <c r="B3" s="410" t="s">
        <v>434</v>
      </c>
      <c r="C3" s="410"/>
      <c r="D3" s="410"/>
      <c r="E3" s="410"/>
      <c r="F3" s="410"/>
      <c r="G3" s="410"/>
    </row>
    <row r="5" spans="2:7" s="296" customFormat="1" ht="24" customHeight="1">
      <c r="B5" s="295" t="s">
        <v>0</v>
      </c>
      <c r="C5" s="295" t="s">
        <v>1</v>
      </c>
      <c r="D5" s="295" t="s">
        <v>26</v>
      </c>
      <c r="E5" s="295" t="s">
        <v>27</v>
      </c>
      <c r="F5" s="295" t="s">
        <v>28</v>
      </c>
      <c r="G5" s="295" t="s">
        <v>29</v>
      </c>
    </row>
    <row r="6" spans="2:7" s="377" customFormat="1" ht="20.100000000000001" customHeight="1">
      <c r="B6" s="327">
        <v>600</v>
      </c>
      <c r="C6" s="327"/>
      <c r="D6" s="327"/>
      <c r="E6" s="378" t="s">
        <v>319</v>
      </c>
      <c r="F6" s="380"/>
      <c r="G6" s="379">
        <f>G7</f>
        <v>100000</v>
      </c>
    </row>
    <row r="7" spans="2:7" s="377" customFormat="1" ht="19.5" customHeight="1">
      <c r="B7" s="372"/>
      <c r="C7" s="372">
        <v>60014</v>
      </c>
      <c r="D7" s="372"/>
      <c r="E7" s="375" t="s">
        <v>322</v>
      </c>
      <c r="F7" s="381"/>
      <c r="G7" s="376">
        <f>SUM(G8:G9)</f>
        <v>100000</v>
      </c>
    </row>
    <row r="8" spans="2:7" s="377" customFormat="1" ht="19.5" customHeight="1">
      <c r="B8" s="367"/>
      <c r="C8" s="367"/>
      <c r="D8" s="367">
        <v>4270</v>
      </c>
      <c r="E8" s="371" t="s">
        <v>200</v>
      </c>
      <c r="F8" s="369"/>
      <c r="G8" s="369">
        <v>379</v>
      </c>
    </row>
    <row r="9" spans="2:7" s="377" customFormat="1" ht="19.5" customHeight="1">
      <c r="B9" s="367"/>
      <c r="C9" s="367"/>
      <c r="D9" s="367">
        <v>6050</v>
      </c>
      <c r="E9" s="370" t="s">
        <v>440</v>
      </c>
      <c r="F9" s="369"/>
      <c r="G9" s="369">
        <v>99621</v>
      </c>
    </row>
    <row r="10" spans="2:7" s="300" customFormat="1" ht="19.5" customHeight="1">
      <c r="B10" s="297">
        <v>750</v>
      </c>
      <c r="C10" s="297"/>
      <c r="D10" s="297"/>
      <c r="E10" s="298" t="s">
        <v>219</v>
      </c>
      <c r="F10" s="299">
        <f>SUM(F11,F16)</f>
        <v>36480</v>
      </c>
      <c r="G10" s="299">
        <f>SUM(G11,G16)</f>
        <v>36480</v>
      </c>
    </row>
    <row r="11" spans="2:7" s="296" customFormat="1" ht="19.5" customHeight="1">
      <c r="B11" s="301"/>
      <c r="C11" s="301">
        <v>75011</v>
      </c>
      <c r="D11" s="301"/>
      <c r="E11" s="302" t="s">
        <v>220</v>
      </c>
      <c r="F11" s="303">
        <f>SUM(F12)</f>
        <v>18000</v>
      </c>
      <c r="G11" s="303">
        <f>SUM(G13:G15)</f>
        <v>18000</v>
      </c>
    </row>
    <row r="12" spans="2:7" s="296" customFormat="1" ht="55.5" customHeight="1">
      <c r="B12" s="304"/>
      <c r="C12" s="304"/>
      <c r="D12" s="304">
        <v>2120</v>
      </c>
      <c r="E12" s="305" t="s">
        <v>435</v>
      </c>
      <c r="F12" s="306">
        <v>18000</v>
      </c>
      <c r="G12" s="306"/>
    </row>
    <row r="13" spans="2:7" s="296" customFormat="1" ht="19.5" customHeight="1">
      <c r="B13" s="304"/>
      <c r="C13" s="304"/>
      <c r="D13" s="304">
        <v>4010</v>
      </c>
      <c r="E13" s="305" t="s">
        <v>195</v>
      </c>
      <c r="F13" s="306"/>
      <c r="G13" s="306">
        <v>15045</v>
      </c>
    </row>
    <row r="14" spans="2:7" s="296" customFormat="1" ht="19.5" customHeight="1">
      <c r="B14" s="304"/>
      <c r="C14" s="304"/>
      <c r="D14" s="304">
        <v>4110</v>
      </c>
      <c r="E14" s="305" t="s">
        <v>196</v>
      </c>
      <c r="F14" s="306"/>
      <c r="G14" s="306">
        <v>2586</v>
      </c>
    </row>
    <row r="15" spans="2:7" s="296" customFormat="1" ht="36.75" customHeight="1">
      <c r="B15" s="304"/>
      <c r="C15" s="304"/>
      <c r="D15" s="304">
        <v>4120</v>
      </c>
      <c r="E15" s="305" t="s">
        <v>436</v>
      </c>
      <c r="F15" s="306"/>
      <c r="G15" s="306">
        <v>369</v>
      </c>
    </row>
    <row r="16" spans="2:7" s="296" customFormat="1" ht="19.5" customHeight="1">
      <c r="B16" s="301"/>
      <c r="C16" s="301">
        <v>75045</v>
      </c>
      <c r="D16" s="301"/>
      <c r="E16" s="307" t="s">
        <v>221</v>
      </c>
      <c r="F16" s="308">
        <f>F17</f>
        <v>18480</v>
      </c>
      <c r="G16" s="308">
        <f>G18</f>
        <v>18480</v>
      </c>
    </row>
    <row r="17" spans="2:7" s="312" customFormat="1" ht="55.5" customHeight="1">
      <c r="B17" s="309"/>
      <c r="C17" s="309"/>
      <c r="D17" s="309">
        <v>2120</v>
      </c>
      <c r="E17" s="310" t="s">
        <v>435</v>
      </c>
      <c r="F17" s="311">
        <f>21000-2520</f>
        <v>18480</v>
      </c>
      <c r="G17" s="311"/>
    </row>
    <row r="18" spans="2:7" s="312" customFormat="1" ht="19.5" customHeight="1">
      <c r="B18" s="309"/>
      <c r="C18" s="309"/>
      <c r="D18" s="309">
        <v>4170</v>
      </c>
      <c r="E18" s="313" t="s">
        <v>197</v>
      </c>
      <c r="F18" s="311"/>
      <c r="G18" s="311">
        <f>21000-2520</f>
        <v>18480</v>
      </c>
    </row>
    <row r="19" spans="2:7" s="330" customFormat="1" ht="28.5" customHeight="1">
      <c r="B19" s="372">
        <v>754</v>
      </c>
      <c r="C19" s="372"/>
      <c r="D19" s="372"/>
      <c r="E19" s="373" t="s">
        <v>222</v>
      </c>
      <c r="F19" s="374">
        <f>F20</f>
        <v>100000</v>
      </c>
      <c r="G19" s="374"/>
    </row>
    <row r="20" spans="2:7" s="330" customFormat="1" ht="19.5" customHeight="1">
      <c r="B20" s="327"/>
      <c r="C20" s="327">
        <v>75495</v>
      </c>
      <c r="D20" s="327"/>
      <c r="E20" s="328" t="s">
        <v>261</v>
      </c>
      <c r="F20" s="329">
        <f>SUM(F21:F22)</f>
        <v>100000</v>
      </c>
      <c r="G20" s="329"/>
    </row>
    <row r="21" spans="2:7" s="330" customFormat="1" ht="56.25" customHeight="1">
      <c r="B21" s="367"/>
      <c r="C21" s="367"/>
      <c r="D21" s="367">
        <v>2120</v>
      </c>
      <c r="E21" s="368" t="s">
        <v>435</v>
      </c>
      <c r="F21" s="369">
        <v>379</v>
      </c>
      <c r="G21" s="369"/>
    </row>
    <row r="22" spans="2:7" s="330" customFormat="1" ht="54.75" customHeight="1">
      <c r="B22" s="367"/>
      <c r="C22" s="367"/>
      <c r="D22" s="367">
        <v>6420</v>
      </c>
      <c r="E22" s="370" t="s">
        <v>439</v>
      </c>
      <c r="F22" s="369">
        <v>99621</v>
      </c>
      <c r="G22" s="369"/>
    </row>
    <row r="23" spans="2:7" s="300" customFormat="1" ht="19.5" customHeight="1">
      <c r="B23" s="297">
        <v>801</v>
      </c>
      <c r="C23" s="297"/>
      <c r="D23" s="297"/>
      <c r="E23" s="298" t="s">
        <v>273</v>
      </c>
      <c r="F23" s="299">
        <f>SUM(F24)</f>
        <v>374400</v>
      </c>
      <c r="G23" s="299">
        <f>SUM(G24)</f>
        <v>374400</v>
      </c>
    </row>
    <row r="24" spans="2:7" s="296" customFormat="1" ht="19.5" customHeight="1">
      <c r="B24" s="301"/>
      <c r="C24" s="301">
        <v>80195</v>
      </c>
      <c r="D24" s="301"/>
      <c r="E24" s="302" t="s">
        <v>261</v>
      </c>
      <c r="F24" s="303">
        <f>SUM(F25)</f>
        <v>374400</v>
      </c>
      <c r="G24" s="303">
        <f>SUM(G26:G29)</f>
        <v>374400</v>
      </c>
    </row>
    <row r="25" spans="2:7" s="296" customFormat="1" ht="55.5" customHeight="1">
      <c r="B25" s="304"/>
      <c r="C25" s="304"/>
      <c r="D25" s="304">
        <v>2120</v>
      </c>
      <c r="E25" s="305" t="s">
        <v>435</v>
      </c>
      <c r="F25" s="306">
        <v>374400</v>
      </c>
      <c r="G25" s="306"/>
    </row>
    <row r="26" spans="2:7" s="296" customFormat="1" ht="19.5" customHeight="1">
      <c r="B26" s="304"/>
      <c r="C26" s="304"/>
      <c r="D26" s="304">
        <v>4110</v>
      </c>
      <c r="E26" s="305" t="s">
        <v>196</v>
      </c>
      <c r="F26" s="306"/>
      <c r="G26" s="306">
        <v>34900</v>
      </c>
    </row>
    <row r="27" spans="2:7" s="296" customFormat="1" ht="31.5" customHeight="1">
      <c r="B27" s="304"/>
      <c r="C27" s="304"/>
      <c r="D27" s="304">
        <v>4120</v>
      </c>
      <c r="E27" s="305" t="s">
        <v>436</v>
      </c>
      <c r="F27" s="306"/>
      <c r="G27" s="306">
        <v>4900</v>
      </c>
    </row>
    <row r="28" spans="2:7" s="296" customFormat="1" ht="19.5" customHeight="1">
      <c r="B28" s="304"/>
      <c r="C28" s="304"/>
      <c r="D28" s="304">
        <v>4170</v>
      </c>
      <c r="E28" s="314" t="s">
        <v>197</v>
      </c>
      <c r="F28" s="306"/>
      <c r="G28" s="306">
        <v>331600</v>
      </c>
    </row>
    <row r="29" spans="2:7" s="296" customFormat="1" ht="19.5" customHeight="1">
      <c r="B29" s="304"/>
      <c r="C29" s="304"/>
      <c r="D29" s="304">
        <v>4780</v>
      </c>
      <c r="E29" s="305" t="s">
        <v>437</v>
      </c>
      <c r="F29" s="306"/>
      <c r="G29" s="306">
        <v>3000</v>
      </c>
    </row>
    <row r="30" spans="2:7" s="296" customFormat="1" ht="21.75" customHeight="1">
      <c r="B30" s="411" t="s">
        <v>30</v>
      </c>
      <c r="C30" s="412"/>
      <c r="D30" s="412"/>
      <c r="E30" s="413"/>
      <c r="F30" s="315">
        <f>SUM(F6,F10,F19,F23)</f>
        <v>510880</v>
      </c>
      <c r="G30" s="315">
        <f>SUM(G6,G10,G19,G23)</f>
        <v>510880</v>
      </c>
    </row>
  </sheetData>
  <sheetProtection algorithmName="SHA-512" hashValue="H3bEShbOwXrgrjfRPsrPJtxz5hMkaJMvtEXPpsO82OFbvvBL+MtB5eDrMfiUWShaCiTRlF8NEizPUFk8MYzJbA==" saltValue="PaEWrZkZTlRvLoqoEuN1cQ==" spinCount="100000" sheet="1" objects="1" scenarios="1" formatColumns="0" formatRows="0"/>
  <mergeCells count="2">
    <mergeCell ref="B3:G3"/>
    <mergeCell ref="B30:E30"/>
  </mergeCells>
  <pageMargins left="0.86614173228346458" right="0.15748031496062992" top="1.4566929133858268" bottom="0.74803149606299213" header="0.70866141732283472" footer="0.31496062992125984"/>
  <pageSetup paperSize="9" scale="90" orientation="portrait" horizontalDpi="4294967295" verticalDpi="300" r:id="rId1"/>
  <headerFooter alignWithMargins="0">
    <oddHeader>&amp;R&amp;10Tabela Nr 6
do uchwały Nr ................
Rady  Powiatu  Otwockiego
z dnia ..........................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0"/>
  <sheetViews>
    <sheetView zoomScaleNormal="100" workbookViewId="0">
      <pane ySplit="4" topLeftCell="A5" activePane="bottomLeft" state="frozen"/>
      <selection activeCell="A22" sqref="A22:XFD25"/>
      <selection pane="bottomLeft" activeCell="E8" sqref="E8"/>
    </sheetView>
  </sheetViews>
  <sheetFormatPr defaultColWidth="9.33203125" defaultRowHeight="12"/>
  <cols>
    <col min="1" max="1" width="3.6640625" style="206" customWidth="1"/>
    <col min="2" max="2" width="6.33203125" style="203" customWidth="1"/>
    <col min="3" max="4" width="10" style="203" customWidth="1"/>
    <col min="5" max="5" width="63.5" style="204" customWidth="1"/>
    <col min="6" max="7" width="16.6640625" style="205" customWidth="1"/>
    <col min="8" max="16384" width="9.33203125" style="206"/>
  </cols>
  <sheetData>
    <row r="1" spans="2:8" ht="16.5" customHeight="1"/>
    <row r="2" spans="2:8" ht="29.25" customHeight="1">
      <c r="B2" s="414" t="s">
        <v>318</v>
      </c>
      <c r="C2" s="414"/>
      <c r="D2" s="414"/>
      <c r="E2" s="414"/>
      <c r="F2" s="414"/>
      <c r="G2" s="414"/>
    </row>
    <row r="3" spans="2:8" ht="15.75" customHeight="1">
      <c r="B3" s="207"/>
      <c r="C3" s="207"/>
      <c r="D3" s="207"/>
      <c r="E3" s="207"/>
      <c r="F3" s="207"/>
      <c r="G3" s="207"/>
    </row>
    <row r="4" spans="2:8" s="211" customFormat="1" ht="42" customHeight="1">
      <c r="B4" s="208" t="s">
        <v>0</v>
      </c>
      <c r="C4" s="208" t="s">
        <v>1</v>
      </c>
      <c r="D4" s="208" t="s">
        <v>26</v>
      </c>
      <c r="E4" s="209" t="s">
        <v>27</v>
      </c>
      <c r="F4" s="210" t="s">
        <v>28</v>
      </c>
      <c r="G4" s="210" t="s">
        <v>29</v>
      </c>
    </row>
    <row r="5" spans="2:8" s="211" customFormat="1" ht="17.25" customHeight="1">
      <c r="B5" s="212">
        <v>600</v>
      </c>
      <c r="C5" s="212"/>
      <c r="D5" s="212"/>
      <c r="E5" s="213" t="s">
        <v>319</v>
      </c>
      <c r="F5" s="214">
        <f>SUM(F6,F8,)</f>
        <v>1224500</v>
      </c>
      <c r="G5" s="214">
        <f>SUM(G6,G8,G11)</f>
        <v>800000</v>
      </c>
    </row>
    <row r="6" spans="2:8" s="218" customFormat="1" ht="17.25" customHeight="1">
      <c r="B6" s="215"/>
      <c r="C6" s="215">
        <v>60004</v>
      </c>
      <c r="D6" s="215"/>
      <c r="E6" s="216" t="s">
        <v>320</v>
      </c>
      <c r="F6" s="217"/>
      <c r="G6" s="217">
        <f>SUM(G7)</f>
        <v>250000</v>
      </c>
    </row>
    <row r="7" spans="2:8" s="222" customFormat="1" ht="46.5" customHeight="1">
      <c r="B7" s="219"/>
      <c r="C7" s="219"/>
      <c r="D7" s="219">
        <v>2310</v>
      </c>
      <c r="E7" s="220" t="s">
        <v>321</v>
      </c>
      <c r="F7" s="221"/>
      <c r="G7" s="221">
        <v>250000</v>
      </c>
    </row>
    <row r="8" spans="2:8" s="218" customFormat="1" ht="17.25" customHeight="1">
      <c r="B8" s="215"/>
      <c r="C8" s="215">
        <v>60014</v>
      </c>
      <c r="D8" s="215"/>
      <c r="E8" s="216" t="s">
        <v>322</v>
      </c>
      <c r="F8" s="217">
        <f>SUM(F9:F10)</f>
        <v>1224500</v>
      </c>
      <c r="G8" s="217">
        <f>SUM(G9:G10)</f>
        <v>500000</v>
      </c>
    </row>
    <row r="9" spans="2:8" s="317" customFormat="1" ht="58.5" customHeight="1">
      <c r="B9" s="322"/>
      <c r="C9" s="322"/>
      <c r="D9" s="322">
        <v>6300</v>
      </c>
      <c r="E9" s="323" t="s">
        <v>323</v>
      </c>
      <c r="F9" s="324">
        <f>644500+280000-10000+400000-100000-100000+70000+40000</f>
        <v>1224500</v>
      </c>
      <c r="G9" s="324"/>
      <c r="H9" s="321"/>
    </row>
    <row r="10" spans="2:8" s="218" customFormat="1" ht="46.5" customHeight="1">
      <c r="B10" s="223"/>
      <c r="C10" s="223"/>
      <c r="D10" s="223">
        <v>6610</v>
      </c>
      <c r="E10" s="224" t="s">
        <v>324</v>
      </c>
      <c r="F10" s="225"/>
      <c r="G10" s="225">
        <v>500000</v>
      </c>
      <c r="H10" s="226"/>
    </row>
    <row r="11" spans="2:8" s="317" customFormat="1" ht="20.25" customHeight="1">
      <c r="B11" s="318"/>
      <c r="C11" s="318">
        <v>60078</v>
      </c>
      <c r="D11" s="318"/>
      <c r="E11" s="319" t="s">
        <v>438</v>
      </c>
      <c r="F11" s="318"/>
      <c r="G11" s="320">
        <f>G12</f>
        <v>50000</v>
      </c>
      <c r="H11" s="321"/>
    </row>
    <row r="12" spans="2:8" s="317" customFormat="1" ht="46.5" customHeight="1">
      <c r="B12" s="322"/>
      <c r="C12" s="322"/>
      <c r="D12" s="322">
        <v>2710</v>
      </c>
      <c r="E12" s="323" t="s">
        <v>333</v>
      </c>
      <c r="F12" s="324"/>
      <c r="G12" s="324">
        <v>50000</v>
      </c>
      <c r="H12" s="321"/>
    </row>
    <row r="13" spans="2:8" s="211" customFormat="1" ht="17.25" customHeight="1">
      <c r="B13" s="212">
        <v>710</v>
      </c>
      <c r="C13" s="212"/>
      <c r="D13" s="212"/>
      <c r="E13" s="213" t="s">
        <v>5</v>
      </c>
      <c r="F13" s="214">
        <f>SUM(F14)</f>
        <v>0</v>
      </c>
      <c r="G13" s="214">
        <f>SUM(G14)</f>
        <v>13255</v>
      </c>
    </row>
    <row r="14" spans="2:8" s="218" customFormat="1" ht="17.25" customHeight="1">
      <c r="B14" s="215"/>
      <c r="C14" s="215">
        <v>71095</v>
      </c>
      <c r="D14" s="215"/>
      <c r="E14" s="216" t="s">
        <v>261</v>
      </c>
      <c r="F14" s="217">
        <f>SUM(F15)</f>
        <v>0</v>
      </c>
      <c r="G14" s="217">
        <f>SUM(G15)</f>
        <v>13255</v>
      </c>
    </row>
    <row r="15" spans="2:8" s="218" customFormat="1" ht="66" customHeight="1">
      <c r="B15" s="227"/>
      <c r="C15" s="227"/>
      <c r="D15" s="227">
        <v>6639</v>
      </c>
      <c r="E15" s="228" t="s">
        <v>325</v>
      </c>
      <c r="F15" s="221"/>
      <c r="G15" s="221">
        <f>22770-14800+5285</f>
        <v>13255</v>
      </c>
    </row>
    <row r="16" spans="2:8" s="211" customFormat="1" ht="17.25" customHeight="1">
      <c r="B16" s="212">
        <v>750</v>
      </c>
      <c r="C16" s="212"/>
      <c r="D16" s="212"/>
      <c r="E16" s="213" t="s">
        <v>5</v>
      </c>
      <c r="F16" s="214">
        <f>F17</f>
        <v>73387</v>
      </c>
      <c r="G16" s="214">
        <f>SUM(G17)</f>
        <v>0</v>
      </c>
    </row>
    <row r="17" spans="2:7" s="218" customFormat="1" ht="17.25" customHeight="1">
      <c r="B17" s="215"/>
      <c r="C17" s="215">
        <v>75020</v>
      </c>
      <c r="D17" s="215"/>
      <c r="E17" s="216" t="s">
        <v>261</v>
      </c>
      <c r="F17" s="217">
        <f>F18</f>
        <v>73387</v>
      </c>
      <c r="G17" s="217">
        <f>SUM(G18)</f>
        <v>0</v>
      </c>
    </row>
    <row r="18" spans="2:7" s="218" customFormat="1" ht="51" customHeight="1">
      <c r="B18" s="227"/>
      <c r="C18" s="227"/>
      <c r="D18" s="227">
        <v>2710</v>
      </c>
      <c r="E18" s="228" t="s">
        <v>326</v>
      </c>
      <c r="F18" s="221">
        <v>73387</v>
      </c>
      <c r="G18" s="221"/>
    </row>
    <row r="19" spans="2:7" s="211" customFormat="1" ht="17.25" customHeight="1">
      <c r="B19" s="212">
        <v>853</v>
      </c>
      <c r="C19" s="212"/>
      <c r="D19" s="212"/>
      <c r="E19" s="213" t="s">
        <v>4</v>
      </c>
      <c r="F19" s="214">
        <f>SUM(F20)</f>
        <v>11387</v>
      </c>
      <c r="G19" s="214">
        <f>SUM(G20)</f>
        <v>2300</v>
      </c>
    </row>
    <row r="20" spans="2:7" s="218" customFormat="1" ht="19.5" customHeight="1">
      <c r="B20" s="215"/>
      <c r="C20" s="215">
        <v>85311</v>
      </c>
      <c r="D20" s="215"/>
      <c r="E20" s="216" t="s">
        <v>327</v>
      </c>
      <c r="F20" s="217">
        <f>SUM(F21)</f>
        <v>11387</v>
      </c>
      <c r="G20" s="217">
        <f>SUM(G21:G22)</f>
        <v>2300</v>
      </c>
    </row>
    <row r="21" spans="2:7" s="222" customFormat="1" ht="47.25" customHeight="1">
      <c r="B21" s="219"/>
      <c r="C21" s="219"/>
      <c r="D21" s="219">
        <v>2320</v>
      </c>
      <c r="E21" s="220" t="s">
        <v>328</v>
      </c>
      <c r="F21" s="221">
        <v>11387</v>
      </c>
      <c r="G21" s="221"/>
    </row>
    <row r="22" spans="2:7" s="222" customFormat="1" ht="48" customHeight="1">
      <c r="B22" s="219"/>
      <c r="C22" s="219"/>
      <c r="D22" s="219">
        <v>2320</v>
      </c>
      <c r="E22" s="220" t="s">
        <v>329</v>
      </c>
      <c r="F22" s="221"/>
      <c r="G22" s="221">
        <v>2300</v>
      </c>
    </row>
    <row r="23" spans="2:7" s="211" customFormat="1" ht="17.25" customHeight="1">
      <c r="B23" s="212">
        <v>855</v>
      </c>
      <c r="C23" s="212"/>
      <c r="D23" s="212"/>
      <c r="E23" s="213" t="s">
        <v>37</v>
      </c>
      <c r="F23" s="214">
        <f>SUM(F24,F27,F29)</f>
        <v>397464</v>
      </c>
      <c r="G23" s="214">
        <f>SUM(G24,G27,G29)</f>
        <v>712832</v>
      </c>
    </row>
    <row r="24" spans="2:7" s="218" customFormat="1" ht="17.25" customHeight="1">
      <c r="B24" s="215"/>
      <c r="C24" s="215">
        <v>85508</v>
      </c>
      <c r="D24" s="215"/>
      <c r="E24" s="216" t="s">
        <v>3</v>
      </c>
      <c r="F24" s="217">
        <f>SUM(F25)</f>
        <v>226061</v>
      </c>
      <c r="G24" s="217">
        <f>SUM(G25:G26)</f>
        <v>467314</v>
      </c>
    </row>
    <row r="25" spans="2:7" s="222" customFormat="1" ht="50.25" customHeight="1">
      <c r="B25" s="219"/>
      <c r="C25" s="219"/>
      <c r="D25" s="219">
        <v>2320</v>
      </c>
      <c r="E25" s="220" t="s">
        <v>328</v>
      </c>
      <c r="F25" s="221">
        <v>226061</v>
      </c>
      <c r="G25" s="221"/>
    </row>
    <row r="26" spans="2:7" s="222" customFormat="1" ht="47.25" customHeight="1">
      <c r="B26" s="219"/>
      <c r="C26" s="219"/>
      <c r="D26" s="219">
        <v>2320</v>
      </c>
      <c r="E26" s="220" t="s">
        <v>329</v>
      </c>
      <c r="F26" s="221"/>
      <c r="G26" s="221">
        <v>467314</v>
      </c>
    </row>
    <row r="27" spans="2:7" s="218" customFormat="1" ht="17.25" customHeight="1">
      <c r="B27" s="215"/>
      <c r="C27" s="215">
        <v>85509</v>
      </c>
      <c r="D27" s="215"/>
      <c r="E27" s="216" t="s">
        <v>330</v>
      </c>
      <c r="F27" s="217"/>
      <c r="G27" s="217">
        <f>SUM(G28)</f>
        <v>70308</v>
      </c>
    </row>
    <row r="28" spans="2:7" s="222" customFormat="1" ht="52.5" customHeight="1">
      <c r="B28" s="219"/>
      <c r="C28" s="219"/>
      <c r="D28" s="219">
        <v>2330</v>
      </c>
      <c r="E28" s="220" t="s">
        <v>331</v>
      </c>
      <c r="F28" s="221"/>
      <c r="G28" s="221">
        <f>112000-41692</f>
        <v>70308</v>
      </c>
    </row>
    <row r="29" spans="2:7" s="218" customFormat="1" ht="17.25" customHeight="1">
      <c r="B29" s="215"/>
      <c r="C29" s="215">
        <v>85510</v>
      </c>
      <c r="D29" s="215"/>
      <c r="E29" s="216" t="s">
        <v>38</v>
      </c>
      <c r="F29" s="217">
        <f>SUM(F30)</f>
        <v>171403</v>
      </c>
      <c r="G29" s="217">
        <f>SUM(G31:G31)</f>
        <v>175210</v>
      </c>
    </row>
    <row r="30" spans="2:7" s="222" customFormat="1" ht="48" customHeight="1">
      <c r="B30" s="219"/>
      <c r="C30" s="219"/>
      <c r="D30" s="219">
        <v>2320</v>
      </c>
      <c r="E30" s="220" t="s">
        <v>328</v>
      </c>
      <c r="F30" s="221">
        <v>171403</v>
      </c>
      <c r="G30" s="221"/>
    </row>
    <row r="31" spans="2:7" s="222" customFormat="1" ht="48.75" customHeight="1">
      <c r="B31" s="219"/>
      <c r="C31" s="219"/>
      <c r="D31" s="219">
        <v>2320</v>
      </c>
      <c r="E31" s="220" t="s">
        <v>329</v>
      </c>
      <c r="F31" s="221"/>
      <c r="G31" s="221">
        <f>133518+41692</f>
        <v>175210</v>
      </c>
    </row>
    <row r="32" spans="2:7" s="211" customFormat="1" ht="17.25" customHeight="1">
      <c r="B32" s="212">
        <v>900</v>
      </c>
      <c r="C32" s="212"/>
      <c r="D32" s="212"/>
      <c r="E32" s="213" t="s">
        <v>332</v>
      </c>
      <c r="F32" s="214"/>
      <c r="G32" s="214">
        <f>SUM(G33)</f>
        <v>10000</v>
      </c>
    </row>
    <row r="33" spans="2:7" s="218" customFormat="1" ht="17.25" customHeight="1">
      <c r="B33" s="215"/>
      <c r="C33" s="215">
        <v>90095</v>
      </c>
      <c r="D33" s="215"/>
      <c r="E33" s="216" t="s">
        <v>261</v>
      </c>
      <c r="F33" s="217"/>
      <c r="G33" s="217">
        <f>SUM(G34)</f>
        <v>10000</v>
      </c>
    </row>
    <row r="34" spans="2:7" s="218" customFormat="1" ht="49.5" customHeight="1">
      <c r="B34" s="227"/>
      <c r="C34" s="227"/>
      <c r="D34" s="227">
        <v>2710</v>
      </c>
      <c r="E34" s="228" t="s">
        <v>333</v>
      </c>
      <c r="F34" s="229"/>
      <c r="G34" s="221">
        <v>10000</v>
      </c>
    </row>
    <row r="35" spans="2:7" s="211" customFormat="1" ht="17.25" customHeight="1">
      <c r="B35" s="212">
        <v>921</v>
      </c>
      <c r="C35" s="212"/>
      <c r="D35" s="212"/>
      <c r="E35" s="213" t="s">
        <v>334</v>
      </c>
      <c r="F35" s="214">
        <f>SUM(F36,F38)</f>
        <v>140000</v>
      </c>
      <c r="G35" s="214">
        <f>SUM(G36,G38)</f>
        <v>10000</v>
      </c>
    </row>
    <row r="36" spans="2:7" s="218" customFormat="1" ht="17.25" customHeight="1">
      <c r="B36" s="215"/>
      <c r="C36" s="215">
        <v>92105</v>
      </c>
      <c r="D36" s="215"/>
      <c r="E36" s="216" t="s">
        <v>335</v>
      </c>
      <c r="F36" s="217">
        <f>SUM(F37)</f>
        <v>0</v>
      </c>
      <c r="G36" s="217">
        <f>SUM(G37)</f>
        <v>10000</v>
      </c>
    </row>
    <row r="37" spans="2:7" s="222" customFormat="1" ht="48" customHeight="1">
      <c r="B37" s="230"/>
      <c r="C37" s="230"/>
      <c r="D37" s="219">
        <v>2710</v>
      </c>
      <c r="E37" s="220" t="s">
        <v>333</v>
      </c>
      <c r="F37" s="221"/>
      <c r="G37" s="221">
        <f>15000-5000</f>
        <v>10000</v>
      </c>
    </row>
    <row r="38" spans="2:7" s="218" customFormat="1" ht="17.25" customHeight="1">
      <c r="B38" s="215"/>
      <c r="C38" s="215">
        <v>92116</v>
      </c>
      <c r="D38" s="215"/>
      <c r="E38" s="216" t="s">
        <v>336</v>
      </c>
      <c r="F38" s="217">
        <f>SUM(F39)</f>
        <v>140000</v>
      </c>
      <c r="G38" s="217"/>
    </row>
    <row r="39" spans="2:7" s="222" customFormat="1" ht="48.75" customHeight="1">
      <c r="B39" s="219"/>
      <c r="C39" s="219"/>
      <c r="D39" s="219">
        <v>2710</v>
      </c>
      <c r="E39" s="220" t="s">
        <v>337</v>
      </c>
      <c r="F39" s="221">
        <v>140000</v>
      </c>
      <c r="G39" s="221"/>
    </row>
    <row r="40" spans="2:7" s="218" customFormat="1" ht="24.75" customHeight="1">
      <c r="B40" s="415" t="s">
        <v>30</v>
      </c>
      <c r="C40" s="416"/>
      <c r="D40" s="416"/>
      <c r="E40" s="417"/>
      <c r="F40" s="231">
        <f>SUM(F5,F13,F16,F19,F23,F32,F35)</f>
        <v>1846738</v>
      </c>
      <c r="G40" s="231">
        <f>SUM(G5,G13,G16,G19,G23,G32,G35)</f>
        <v>1548387</v>
      </c>
    </row>
  </sheetData>
  <sheetProtection algorithmName="SHA-512" hashValue="NtdnL7ggNwVbKhSC1D1zOhc+h5OG+VpcL9X18HEOabSsDqReMnmNEc4FqDTt2DmNat3gNbU252VFUAAIhfzeTA==" saltValue="F92zs4BgwsYL/7KLuRatOQ==" spinCount="100000" sheet="1" objects="1" scenarios="1" formatColumns="0" formatRows="0"/>
  <mergeCells count="2">
    <mergeCell ref="B2:G2"/>
    <mergeCell ref="B40:E40"/>
  </mergeCells>
  <pageMargins left="0.86614173228346458" right="0.47244094488188981" top="1.5354330708661419" bottom="1.4960629921259843" header="0.70866141732283472" footer="0.51181102362204722"/>
  <pageSetup paperSize="9" scale="85" orientation="portrait" horizontalDpi="4294967295" verticalDpi="300" r:id="rId1"/>
  <headerFooter differentFirst="1" alignWithMargins="0">
    <oddFooter>&amp;C&amp;P</oddFooter>
    <firstHeader>&amp;R&amp;10Tabela Nr 7
do uchwały Nr .................
Rady   Powiatu  Otwockiego
z dnia ............................</firstHead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9"/>
  <sheetViews>
    <sheetView tabSelected="1" zoomScaleNormal="100" workbookViewId="0">
      <pane ySplit="5" topLeftCell="A6" activePane="bottomLeft" state="frozen"/>
      <selection activeCell="A22" sqref="A22:XFD25"/>
      <selection pane="bottomLeft" activeCell="A36" sqref="A36:XFD36"/>
    </sheetView>
  </sheetViews>
  <sheetFormatPr defaultColWidth="9.33203125" defaultRowHeight="12"/>
  <cols>
    <col min="1" max="1" width="6.5" style="232" customWidth="1"/>
    <col min="2" max="2" width="10.83203125" style="232" customWidth="1"/>
    <col min="3" max="3" width="7.33203125" style="232" customWidth="1"/>
    <col min="4" max="4" width="61.33203125" style="26" customWidth="1"/>
    <col min="5" max="7" width="15.6640625" style="26" customWidth="1"/>
    <col min="8" max="8" width="20.5" style="26" customWidth="1"/>
    <col min="9" max="9" width="11" style="26" bestFit="1" customWidth="1"/>
    <col min="10" max="10" width="9.33203125" style="26"/>
    <col min="11" max="11" width="10.33203125" style="26" bestFit="1" customWidth="1"/>
    <col min="12" max="16384" width="9.33203125" style="26"/>
  </cols>
  <sheetData>
    <row r="1" spans="1:12" ht="9" customHeight="1">
      <c r="F1" s="233"/>
      <c r="G1" s="233"/>
    </row>
    <row r="2" spans="1:12" s="235" customFormat="1" ht="33" customHeight="1">
      <c r="A2" s="422" t="s">
        <v>338</v>
      </c>
      <c r="B2" s="422"/>
      <c r="C2" s="422"/>
      <c r="D2" s="422"/>
      <c r="E2" s="422"/>
      <c r="F2" s="422"/>
      <c r="G2" s="422"/>
      <c r="H2" s="234"/>
    </row>
    <row r="3" spans="1:12" ht="10.5" customHeight="1"/>
    <row r="4" spans="1:12" ht="24" customHeight="1">
      <c r="A4" s="419" t="s">
        <v>0</v>
      </c>
      <c r="B4" s="419" t="s">
        <v>1</v>
      </c>
      <c r="C4" s="419" t="s">
        <v>43</v>
      </c>
      <c r="D4" s="419" t="s">
        <v>12</v>
      </c>
      <c r="E4" s="419" t="s">
        <v>339</v>
      </c>
      <c r="F4" s="419"/>
      <c r="G4" s="419"/>
    </row>
    <row r="5" spans="1:12" ht="24" customHeight="1">
      <c r="A5" s="419"/>
      <c r="B5" s="419"/>
      <c r="C5" s="419"/>
      <c r="D5" s="419"/>
      <c r="E5" s="236" t="s">
        <v>340</v>
      </c>
      <c r="F5" s="236" t="s">
        <v>341</v>
      </c>
      <c r="G5" s="236" t="s">
        <v>342</v>
      </c>
    </row>
    <row r="6" spans="1:12" s="238" customFormat="1" ht="12.75" customHeight="1">
      <c r="A6" s="237">
        <v>1</v>
      </c>
      <c r="B6" s="237">
        <v>2</v>
      </c>
      <c r="C6" s="237">
        <v>3</v>
      </c>
      <c r="D6" s="237">
        <v>4</v>
      </c>
      <c r="E6" s="237">
        <v>5</v>
      </c>
      <c r="F6" s="237">
        <v>6</v>
      </c>
      <c r="G6" s="237">
        <v>7</v>
      </c>
    </row>
    <row r="7" spans="1:12" ht="39" customHeight="1">
      <c r="A7" s="418" t="s">
        <v>343</v>
      </c>
      <c r="B7" s="418"/>
      <c r="C7" s="418"/>
      <c r="D7" s="239" t="s">
        <v>44</v>
      </c>
      <c r="E7" s="240" t="s">
        <v>344</v>
      </c>
      <c r="F7" s="240" t="s">
        <v>344</v>
      </c>
      <c r="G7" s="240" t="s">
        <v>344</v>
      </c>
    </row>
    <row r="8" spans="1:12" s="246" customFormat="1" ht="52.5" customHeight="1">
      <c r="A8" s="241">
        <v>600</v>
      </c>
      <c r="B8" s="242">
        <v>60004</v>
      </c>
      <c r="C8" s="241">
        <v>2310</v>
      </c>
      <c r="D8" s="220" t="s">
        <v>321</v>
      </c>
      <c r="E8" s="243"/>
      <c r="F8" s="243"/>
      <c r="G8" s="244">
        <v>250000</v>
      </c>
      <c r="H8" s="245"/>
    </row>
    <row r="9" spans="1:12" s="246" customFormat="1" ht="57" customHeight="1">
      <c r="A9" s="247">
        <v>600</v>
      </c>
      <c r="B9" s="248">
        <v>60014</v>
      </c>
      <c r="C9" s="247">
        <v>6610</v>
      </c>
      <c r="D9" s="220" t="s">
        <v>345</v>
      </c>
      <c r="E9" s="249"/>
      <c r="F9" s="249"/>
      <c r="G9" s="250">
        <v>500000</v>
      </c>
      <c r="H9" s="245"/>
    </row>
    <row r="10" spans="1:12" s="254" customFormat="1" ht="57" customHeight="1">
      <c r="A10" s="251">
        <v>600</v>
      </c>
      <c r="B10" s="252">
        <v>60078</v>
      </c>
      <c r="C10" s="251">
        <v>2710</v>
      </c>
      <c r="D10" s="261" t="s">
        <v>333</v>
      </c>
      <c r="E10" s="325"/>
      <c r="F10" s="325"/>
      <c r="G10" s="326">
        <v>50000</v>
      </c>
      <c r="H10" s="253"/>
    </row>
    <row r="11" spans="1:12" s="246" customFormat="1" ht="57" customHeight="1">
      <c r="A11" s="247">
        <v>710</v>
      </c>
      <c r="B11" s="248">
        <v>71095</v>
      </c>
      <c r="C11" s="247">
        <v>6639</v>
      </c>
      <c r="D11" s="255" t="s">
        <v>325</v>
      </c>
      <c r="E11" s="249"/>
      <c r="F11" s="249"/>
      <c r="G11" s="250">
        <f>22770-14800+5285</f>
        <v>13255</v>
      </c>
      <c r="H11" s="245"/>
    </row>
    <row r="12" spans="1:12" s="246" customFormat="1" ht="45" customHeight="1">
      <c r="A12" s="247">
        <v>754</v>
      </c>
      <c r="B12" s="248">
        <v>75404</v>
      </c>
      <c r="C12" s="247">
        <v>2300</v>
      </c>
      <c r="D12" s="255" t="s">
        <v>346</v>
      </c>
      <c r="E12" s="249"/>
      <c r="F12" s="249"/>
      <c r="G12" s="250">
        <v>10000</v>
      </c>
      <c r="H12" s="245"/>
    </row>
    <row r="13" spans="1:12" s="246" customFormat="1" ht="38.25" customHeight="1">
      <c r="A13" s="247">
        <v>754</v>
      </c>
      <c r="B13" s="248">
        <v>75404</v>
      </c>
      <c r="C13" s="247">
        <v>6170</v>
      </c>
      <c r="D13" s="256" t="s">
        <v>347</v>
      </c>
      <c r="E13" s="249"/>
      <c r="F13" s="249"/>
      <c r="G13" s="250">
        <f>403000+5000</f>
        <v>408000</v>
      </c>
      <c r="H13" s="245"/>
    </row>
    <row r="14" spans="1:12" s="246" customFormat="1" ht="51.75" customHeight="1">
      <c r="A14" s="247">
        <v>853</v>
      </c>
      <c r="B14" s="248">
        <v>85311</v>
      </c>
      <c r="C14" s="247">
        <v>2320</v>
      </c>
      <c r="D14" s="256" t="s">
        <v>329</v>
      </c>
      <c r="E14" s="257"/>
      <c r="F14" s="257"/>
      <c r="G14" s="258">
        <v>2300</v>
      </c>
      <c r="H14" s="259"/>
      <c r="I14" s="260"/>
      <c r="J14" s="260"/>
      <c r="K14" s="260"/>
      <c r="L14" s="260"/>
    </row>
    <row r="15" spans="1:12" s="246" customFormat="1" ht="51.75" customHeight="1">
      <c r="A15" s="247">
        <v>855</v>
      </c>
      <c r="B15" s="248">
        <v>85508</v>
      </c>
      <c r="C15" s="247">
        <v>2320</v>
      </c>
      <c r="D15" s="256" t="s">
        <v>329</v>
      </c>
      <c r="E15" s="257"/>
      <c r="F15" s="257"/>
      <c r="G15" s="258">
        <v>467314</v>
      </c>
      <c r="H15" s="259"/>
      <c r="I15" s="260"/>
      <c r="J15" s="260"/>
      <c r="K15" s="260"/>
      <c r="L15" s="260"/>
    </row>
    <row r="16" spans="1:12" s="246" customFormat="1" ht="47.25" customHeight="1">
      <c r="A16" s="247">
        <v>855</v>
      </c>
      <c r="B16" s="248">
        <v>85509</v>
      </c>
      <c r="C16" s="247">
        <v>2330</v>
      </c>
      <c r="D16" s="256" t="s">
        <v>331</v>
      </c>
      <c r="E16" s="257"/>
      <c r="F16" s="257"/>
      <c r="G16" s="258">
        <f>112000-41692</f>
        <v>70308</v>
      </c>
      <c r="H16" s="259"/>
      <c r="I16" s="260"/>
      <c r="J16" s="260"/>
      <c r="K16" s="260"/>
      <c r="L16" s="260"/>
    </row>
    <row r="17" spans="1:12" s="246" customFormat="1" ht="51.75" customHeight="1">
      <c r="A17" s="247">
        <v>855</v>
      </c>
      <c r="B17" s="248">
        <v>85510</v>
      </c>
      <c r="C17" s="247">
        <v>2320</v>
      </c>
      <c r="D17" s="256" t="s">
        <v>329</v>
      </c>
      <c r="E17" s="257"/>
      <c r="F17" s="257"/>
      <c r="G17" s="258">
        <f>133518+41692</f>
        <v>175210</v>
      </c>
      <c r="H17" s="275"/>
      <c r="I17" s="260"/>
      <c r="J17" s="260"/>
      <c r="K17" s="260"/>
      <c r="L17" s="260"/>
    </row>
    <row r="18" spans="1:12" s="246" customFormat="1" ht="48" customHeight="1">
      <c r="A18" s="247">
        <v>900</v>
      </c>
      <c r="B18" s="248">
        <v>90095</v>
      </c>
      <c r="C18" s="247">
        <v>2710</v>
      </c>
      <c r="D18" s="256" t="s">
        <v>333</v>
      </c>
      <c r="E18" s="257"/>
      <c r="F18" s="257"/>
      <c r="G18" s="258">
        <v>10000</v>
      </c>
      <c r="H18" s="259"/>
      <c r="I18" s="260"/>
      <c r="J18" s="260"/>
      <c r="K18" s="260"/>
      <c r="L18" s="260"/>
    </row>
    <row r="19" spans="1:12" s="246" customFormat="1" ht="48" customHeight="1">
      <c r="A19" s="247">
        <v>921</v>
      </c>
      <c r="B19" s="248">
        <v>92105</v>
      </c>
      <c r="C19" s="247">
        <v>2710</v>
      </c>
      <c r="D19" s="256" t="s">
        <v>333</v>
      </c>
      <c r="E19" s="257"/>
      <c r="F19" s="257"/>
      <c r="G19" s="258">
        <f>15000-5000</f>
        <v>10000</v>
      </c>
      <c r="H19" s="259"/>
      <c r="I19" s="260"/>
      <c r="J19" s="260"/>
      <c r="K19" s="260"/>
      <c r="L19" s="260"/>
    </row>
    <row r="20" spans="1:12" s="246" customFormat="1" ht="30.75" customHeight="1">
      <c r="A20" s="247">
        <v>921</v>
      </c>
      <c r="B20" s="248">
        <v>92116</v>
      </c>
      <c r="C20" s="247">
        <v>2480</v>
      </c>
      <c r="D20" s="256" t="s">
        <v>348</v>
      </c>
      <c r="E20" s="269">
        <f>670000-39666</f>
        <v>630334</v>
      </c>
      <c r="F20" s="257"/>
      <c r="G20" s="276"/>
      <c r="H20" s="259"/>
      <c r="I20" s="260"/>
      <c r="J20" s="260"/>
      <c r="K20" s="260"/>
      <c r="L20" s="260"/>
    </row>
    <row r="21" spans="1:12" s="263" customFormat="1" ht="27" customHeight="1">
      <c r="A21" s="419" t="s">
        <v>349</v>
      </c>
      <c r="B21" s="419"/>
      <c r="C21" s="419"/>
      <c r="D21" s="419"/>
      <c r="E21" s="262">
        <f>SUM(E8:E20)</f>
        <v>630334</v>
      </c>
      <c r="F21" s="262">
        <f>SUM(F8:F20)</f>
        <v>0</v>
      </c>
      <c r="G21" s="262">
        <f>SUM(G8:G20)</f>
        <v>1966387</v>
      </c>
      <c r="I21" s="264"/>
    </row>
    <row r="22" spans="1:12" s="263" customFormat="1" ht="47.25" customHeight="1">
      <c r="A22" s="418" t="s">
        <v>350</v>
      </c>
      <c r="B22" s="418"/>
      <c r="C22" s="418"/>
      <c r="D22" s="239" t="s">
        <v>44</v>
      </c>
      <c r="E22" s="239" t="s">
        <v>344</v>
      </c>
      <c r="F22" s="239" t="s">
        <v>344</v>
      </c>
      <c r="G22" s="239" t="s">
        <v>344</v>
      </c>
      <c r="I22" s="264"/>
      <c r="K22" s="265"/>
    </row>
    <row r="23" spans="1:12" s="246" customFormat="1" ht="54" customHeight="1">
      <c r="A23" s="266" t="s">
        <v>2</v>
      </c>
      <c r="B23" s="267" t="s">
        <v>351</v>
      </c>
      <c r="C23" s="266" t="s">
        <v>352</v>
      </c>
      <c r="D23" s="256" t="s">
        <v>353</v>
      </c>
      <c r="E23" s="249"/>
      <c r="F23" s="249"/>
      <c r="G23" s="250">
        <v>70000</v>
      </c>
      <c r="H23" s="245"/>
      <c r="I23" s="268"/>
      <c r="K23" s="232"/>
    </row>
    <row r="24" spans="1:12" s="246" customFormat="1" ht="59.25" customHeight="1">
      <c r="A24" s="247">
        <v>630</v>
      </c>
      <c r="B24" s="248">
        <v>63003</v>
      </c>
      <c r="C24" s="247">
        <v>2360</v>
      </c>
      <c r="D24" s="256" t="s">
        <v>354</v>
      </c>
      <c r="E24" s="249"/>
      <c r="F24" s="249"/>
      <c r="G24" s="250">
        <f>11000-4000</f>
        <v>7000</v>
      </c>
      <c r="H24" s="245"/>
      <c r="I24" s="268"/>
      <c r="K24" s="232"/>
    </row>
    <row r="25" spans="1:12" s="246" customFormat="1" ht="44.45" customHeight="1">
      <c r="A25" s="247">
        <v>754</v>
      </c>
      <c r="B25" s="248">
        <v>75412</v>
      </c>
      <c r="C25" s="247">
        <v>2820</v>
      </c>
      <c r="D25" s="256" t="s">
        <v>355</v>
      </c>
      <c r="E25" s="249"/>
      <c r="F25" s="249"/>
      <c r="G25" s="250">
        <v>10000</v>
      </c>
      <c r="H25" s="245"/>
      <c r="I25" s="268"/>
      <c r="K25" s="232"/>
    </row>
    <row r="26" spans="1:12" s="246" customFormat="1" ht="54.6" customHeight="1">
      <c r="A26" s="247">
        <v>754</v>
      </c>
      <c r="B26" s="248">
        <v>75495</v>
      </c>
      <c r="C26" s="247">
        <v>2360</v>
      </c>
      <c r="D26" s="256" t="s">
        <v>354</v>
      </c>
      <c r="E26" s="249"/>
      <c r="F26" s="249"/>
      <c r="G26" s="250">
        <v>10000</v>
      </c>
      <c r="H26" s="245"/>
      <c r="I26" s="268"/>
      <c r="K26" s="232"/>
    </row>
    <row r="27" spans="1:12" s="246" customFormat="1" ht="30.75" customHeight="1">
      <c r="A27" s="247">
        <v>801</v>
      </c>
      <c r="B27" s="248">
        <v>80102</v>
      </c>
      <c r="C27" s="247">
        <v>2540</v>
      </c>
      <c r="D27" s="256" t="s">
        <v>356</v>
      </c>
      <c r="E27" s="269">
        <f>1569670+340774</f>
        <v>1910444</v>
      </c>
      <c r="F27" s="249"/>
      <c r="G27" s="277"/>
      <c r="H27" s="245"/>
      <c r="I27" s="268"/>
      <c r="K27" s="232"/>
    </row>
    <row r="28" spans="1:12" s="246" customFormat="1" ht="29.25" customHeight="1">
      <c r="A28" s="247">
        <v>801</v>
      </c>
      <c r="B28" s="248">
        <v>80105</v>
      </c>
      <c r="C28" s="247">
        <v>2540</v>
      </c>
      <c r="D28" s="256" t="s">
        <v>356</v>
      </c>
      <c r="E28" s="269">
        <f>826367+24260</f>
        <v>850627</v>
      </c>
      <c r="F28" s="249"/>
      <c r="G28" s="277"/>
      <c r="H28" s="245"/>
      <c r="I28" s="268"/>
      <c r="K28" s="232"/>
    </row>
    <row r="29" spans="1:12" s="246" customFormat="1" ht="28.5" customHeight="1">
      <c r="A29" s="247">
        <v>801</v>
      </c>
      <c r="B29" s="248">
        <v>80116</v>
      </c>
      <c r="C29" s="247">
        <v>2540</v>
      </c>
      <c r="D29" s="256" t="s">
        <v>356</v>
      </c>
      <c r="E29" s="269">
        <f>988232+262596</f>
        <v>1250828</v>
      </c>
      <c r="F29" s="249"/>
      <c r="G29" s="277"/>
      <c r="H29" s="245"/>
      <c r="I29" s="268"/>
      <c r="K29" s="232"/>
    </row>
    <row r="30" spans="1:12" s="246" customFormat="1" ht="30" customHeight="1">
      <c r="A30" s="247">
        <v>801</v>
      </c>
      <c r="B30" s="248">
        <v>80120</v>
      </c>
      <c r="C30" s="247">
        <v>2540</v>
      </c>
      <c r="D30" s="256" t="s">
        <v>356</v>
      </c>
      <c r="E30" s="269">
        <f>1608287+6935</f>
        <v>1615222</v>
      </c>
      <c r="F30" s="257"/>
      <c r="G30" s="270"/>
      <c r="H30" s="245"/>
    </row>
    <row r="31" spans="1:12" s="246" customFormat="1" ht="24.95" customHeight="1">
      <c r="A31" s="247">
        <v>801</v>
      </c>
      <c r="B31" s="248">
        <v>80151</v>
      </c>
      <c r="C31" s="247">
        <v>2540</v>
      </c>
      <c r="D31" s="256" t="s">
        <v>356</v>
      </c>
      <c r="E31" s="269">
        <v>10000</v>
      </c>
      <c r="F31" s="257"/>
      <c r="G31" s="270"/>
      <c r="H31" s="245"/>
    </row>
    <row r="32" spans="1:12" s="246" customFormat="1" ht="24.95" customHeight="1">
      <c r="A32" s="247">
        <v>801</v>
      </c>
      <c r="B32" s="248">
        <v>80152</v>
      </c>
      <c r="C32" s="247">
        <v>2540</v>
      </c>
      <c r="D32" s="256" t="s">
        <v>356</v>
      </c>
      <c r="E32" s="269">
        <v>499051</v>
      </c>
      <c r="F32" s="257"/>
      <c r="G32" s="270"/>
      <c r="H32" s="245"/>
    </row>
    <row r="33" spans="1:11" s="246" customFormat="1" ht="47.25" customHeight="1">
      <c r="A33" s="247">
        <v>801</v>
      </c>
      <c r="B33" s="248">
        <v>80153</v>
      </c>
      <c r="C33" s="247">
        <v>2830</v>
      </c>
      <c r="D33" s="256" t="s">
        <v>353</v>
      </c>
      <c r="E33" s="269"/>
      <c r="F33" s="271"/>
      <c r="G33" s="269">
        <v>10498</v>
      </c>
      <c r="H33" s="245"/>
    </row>
    <row r="34" spans="1:11" s="246" customFormat="1" ht="52.15" customHeight="1">
      <c r="A34" s="247">
        <v>851</v>
      </c>
      <c r="B34" s="248">
        <v>85111</v>
      </c>
      <c r="C34" s="247">
        <v>6230</v>
      </c>
      <c r="D34" s="271" t="s">
        <v>357</v>
      </c>
      <c r="E34" s="269"/>
      <c r="F34" s="257"/>
      <c r="G34" s="269">
        <v>527000</v>
      </c>
      <c r="H34" s="245"/>
      <c r="I34" s="245"/>
    </row>
    <row r="35" spans="1:11" s="246" customFormat="1" ht="52.15" customHeight="1">
      <c r="A35" s="247">
        <v>851</v>
      </c>
      <c r="B35" s="248">
        <v>85195</v>
      </c>
      <c r="C35" s="247">
        <v>2830</v>
      </c>
      <c r="D35" s="256" t="s">
        <v>255</v>
      </c>
      <c r="E35" s="269"/>
      <c r="F35" s="257"/>
      <c r="G35" s="269">
        <v>10000</v>
      </c>
      <c r="H35" s="245"/>
      <c r="I35" s="245"/>
    </row>
    <row r="36" spans="1:11" s="246" customFormat="1" ht="36.75" customHeight="1">
      <c r="A36" s="247">
        <v>852</v>
      </c>
      <c r="B36" s="248">
        <v>85202</v>
      </c>
      <c r="C36" s="247">
        <v>2820</v>
      </c>
      <c r="D36" s="256" t="s">
        <v>358</v>
      </c>
      <c r="E36" s="257"/>
      <c r="F36" s="257"/>
      <c r="G36" s="269">
        <f>295488+7640</f>
        <v>303128</v>
      </c>
      <c r="H36" s="245"/>
      <c r="I36" s="245"/>
    </row>
    <row r="37" spans="1:11" s="246" customFormat="1" ht="36.75" customHeight="1">
      <c r="A37" s="247">
        <v>852</v>
      </c>
      <c r="B37" s="248">
        <v>85220</v>
      </c>
      <c r="C37" s="247">
        <v>2820</v>
      </c>
      <c r="D37" s="256" t="s">
        <v>358</v>
      </c>
      <c r="E37" s="257"/>
      <c r="F37" s="257"/>
      <c r="G37" s="269">
        <f>100000+50000</f>
        <v>150000</v>
      </c>
      <c r="H37" s="245"/>
      <c r="I37" s="245"/>
    </row>
    <row r="38" spans="1:11" s="246" customFormat="1" ht="36.75" customHeight="1">
      <c r="A38" s="247">
        <v>852</v>
      </c>
      <c r="B38" s="248">
        <v>85295</v>
      </c>
      <c r="C38" s="247">
        <v>2827</v>
      </c>
      <c r="D38" s="256" t="s">
        <v>358</v>
      </c>
      <c r="E38" s="257"/>
      <c r="F38" s="257"/>
      <c r="G38" s="269">
        <v>32365</v>
      </c>
      <c r="H38" s="245"/>
      <c r="I38" s="245"/>
    </row>
    <row r="39" spans="1:11" s="246" customFormat="1" ht="34.5" customHeight="1">
      <c r="A39" s="247">
        <v>853</v>
      </c>
      <c r="B39" s="248">
        <v>85311</v>
      </c>
      <c r="C39" s="247">
        <v>2580</v>
      </c>
      <c r="D39" s="256" t="s">
        <v>359</v>
      </c>
      <c r="E39" s="269">
        <v>252785</v>
      </c>
      <c r="F39" s="257"/>
      <c r="G39" s="270"/>
      <c r="H39" s="245"/>
      <c r="I39" s="245"/>
    </row>
    <row r="40" spans="1:11" s="246" customFormat="1" ht="25.5" customHeight="1">
      <c r="A40" s="247">
        <v>854</v>
      </c>
      <c r="B40" s="248">
        <v>85404</v>
      </c>
      <c r="C40" s="247">
        <v>2540</v>
      </c>
      <c r="D40" s="256" t="s">
        <v>356</v>
      </c>
      <c r="E40" s="269">
        <v>394594</v>
      </c>
      <c r="F40" s="257"/>
      <c r="G40" s="270"/>
      <c r="H40" s="245"/>
      <c r="I40" s="245"/>
    </row>
    <row r="41" spans="1:11" s="246" customFormat="1" ht="25.5" customHeight="1">
      <c r="A41" s="247">
        <v>854</v>
      </c>
      <c r="B41" s="248">
        <v>85410</v>
      </c>
      <c r="C41" s="247">
        <v>2540</v>
      </c>
      <c r="D41" s="256" t="s">
        <v>356</v>
      </c>
      <c r="E41" s="269">
        <v>104571</v>
      </c>
      <c r="F41" s="257"/>
      <c r="G41" s="270"/>
      <c r="H41" s="245"/>
      <c r="I41" s="245"/>
    </row>
    <row r="42" spans="1:11" s="246" customFormat="1" ht="60.75" customHeight="1">
      <c r="A42" s="247">
        <v>921</v>
      </c>
      <c r="B42" s="248">
        <v>92105</v>
      </c>
      <c r="C42" s="247">
        <v>2360</v>
      </c>
      <c r="D42" s="256" t="s">
        <v>354</v>
      </c>
      <c r="E42" s="270"/>
      <c r="F42" s="257"/>
      <c r="G42" s="269">
        <f>90000-22000</f>
        <v>68000</v>
      </c>
      <c r="H42" s="245"/>
      <c r="I42" s="245"/>
    </row>
    <row r="43" spans="1:11" s="246" customFormat="1" ht="60.75" customHeight="1">
      <c r="A43" s="247">
        <v>926</v>
      </c>
      <c r="B43" s="248">
        <v>92605</v>
      </c>
      <c r="C43" s="247">
        <v>2360</v>
      </c>
      <c r="D43" s="256" t="s">
        <v>354</v>
      </c>
      <c r="E43" s="278"/>
      <c r="F43" s="257"/>
      <c r="G43" s="269">
        <f>40000-14000</f>
        <v>26000</v>
      </c>
      <c r="H43" s="245"/>
      <c r="I43" s="272"/>
      <c r="K43" s="268"/>
    </row>
    <row r="44" spans="1:11" s="246" customFormat="1" ht="22.5" customHeight="1">
      <c r="A44" s="420" t="s">
        <v>360</v>
      </c>
      <c r="B44" s="420"/>
      <c r="C44" s="420"/>
      <c r="D44" s="420"/>
      <c r="E44" s="262">
        <f>SUM(E23:E43)</f>
        <v>6888122</v>
      </c>
      <c r="F44" s="262">
        <f>SUM(F23:F43)</f>
        <v>0</v>
      </c>
      <c r="G44" s="262">
        <f>SUM(G23:G43)</f>
        <v>1223991</v>
      </c>
    </row>
    <row r="45" spans="1:11" s="274" customFormat="1" ht="26.25" customHeight="1">
      <c r="A45" s="421" t="s">
        <v>361</v>
      </c>
      <c r="B45" s="421"/>
      <c r="C45" s="421"/>
      <c r="D45" s="421"/>
      <c r="E45" s="421"/>
      <c r="F45" s="421"/>
      <c r="G45" s="273">
        <f>SUM(E21,G21,E44,G44)</f>
        <v>10708834</v>
      </c>
    </row>
    <row r="46" spans="1:11" ht="15.75" customHeight="1"/>
    <row r="47" spans="1:11" ht="15.75" customHeight="1"/>
    <row r="48" spans="1:11" ht="15.75" customHeight="1"/>
    <row r="49" spans="1:12" ht="15.75" customHeight="1">
      <c r="A49" s="26"/>
      <c r="B49" s="26"/>
      <c r="C49" s="26"/>
    </row>
    <row r="50" spans="1:12" ht="15.75" customHeight="1">
      <c r="A50" s="26"/>
      <c r="B50" s="26"/>
      <c r="C50" s="26"/>
    </row>
    <row r="51" spans="1:12" ht="15.75" customHeight="1">
      <c r="A51" s="26"/>
      <c r="B51" s="26"/>
      <c r="C51" s="26"/>
    </row>
    <row r="52" spans="1:12" ht="15.75" customHeight="1"/>
    <row r="53" spans="1:12" s="232" customFormat="1" ht="15.75" customHeight="1">
      <c r="D53" s="26"/>
      <c r="E53" s="26"/>
      <c r="F53" s="26"/>
      <c r="G53" s="26"/>
      <c r="H53" s="26"/>
      <c r="I53" s="26"/>
      <c r="J53" s="26"/>
      <c r="K53" s="26"/>
      <c r="L53" s="26"/>
    </row>
    <row r="54" spans="1:12" s="232" customFormat="1" ht="15.75" customHeight="1">
      <c r="D54" s="26"/>
      <c r="E54" s="26"/>
      <c r="F54" s="26"/>
      <c r="G54" s="26"/>
      <c r="H54" s="26"/>
      <c r="I54" s="26"/>
      <c r="J54" s="26"/>
      <c r="K54" s="26"/>
      <c r="L54" s="26"/>
    </row>
    <row r="55" spans="1:12" s="232" customFormat="1" ht="15.75" customHeight="1">
      <c r="D55" s="26"/>
      <c r="E55" s="26"/>
      <c r="F55" s="26"/>
      <c r="G55" s="26"/>
      <c r="H55" s="26"/>
      <c r="I55" s="26"/>
      <c r="J55" s="26"/>
      <c r="K55" s="26"/>
      <c r="L55" s="26"/>
    </row>
    <row r="56" spans="1:12" s="232" customFormat="1" ht="15.75" customHeight="1">
      <c r="D56" s="26"/>
      <c r="E56" s="26"/>
      <c r="F56" s="26"/>
      <c r="G56" s="26"/>
      <c r="H56" s="26"/>
      <c r="I56" s="26"/>
      <c r="J56" s="26"/>
      <c r="K56" s="26"/>
      <c r="L56" s="26"/>
    </row>
    <row r="57" spans="1:12" s="232" customFormat="1" ht="15.75" customHeight="1">
      <c r="D57" s="26"/>
      <c r="E57" s="26"/>
      <c r="F57" s="26"/>
      <c r="G57" s="26"/>
      <c r="H57" s="26"/>
      <c r="I57" s="26"/>
      <c r="J57" s="26"/>
      <c r="K57" s="26"/>
      <c r="L57" s="26"/>
    </row>
    <row r="58" spans="1:12" s="232" customFormat="1" ht="15.75" customHeight="1">
      <c r="D58" s="26"/>
      <c r="E58" s="26"/>
      <c r="F58" s="26"/>
      <c r="G58" s="26"/>
      <c r="H58" s="26"/>
      <c r="I58" s="26"/>
      <c r="J58" s="26"/>
      <c r="K58" s="26"/>
      <c r="L58" s="26"/>
    </row>
    <row r="59" spans="1:12" s="232" customFormat="1" ht="15.75" customHeight="1">
      <c r="D59" s="26"/>
      <c r="E59" s="26"/>
      <c r="F59" s="26"/>
      <c r="G59" s="26"/>
      <c r="H59" s="26"/>
      <c r="I59" s="26"/>
      <c r="J59" s="26"/>
      <c r="K59" s="26"/>
      <c r="L59" s="26"/>
    </row>
  </sheetData>
  <sheetProtection algorithmName="SHA-512" hashValue="+59hqFeipxzfhKFAtiCbJGl22rUvG+z2SG/9sLGcMAhIRU4fnpgPBAc7CKalYDQ3w7t++saZH9C4r8Q+Bp7EHQ==" saltValue="UnaJOfjEcK206ytZIZrQLw==" spinCount="100000" sheet="1" objects="1" scenarios="1" formatColumns="0" formatRows="0"/>
  <mergeCells count="11">
    <mergeCell ref="A2:G2"/>
    <mergeCell ref="A4:A5"/>
    <mergeCell ref="B4:B5"/>
    <mergeCell ref="C4:C5"/>
    <mergeCell ref="D4:D5"/>
    <mergeCell ref="E4:G4"/>
    <mergeCell ref="A7:C7"/>
    <mergeCell ref="A21:D21"/>
    <mergeCell ref="A22:C22"/>
    <mergeCell ref="A44:D44"/>
    <mergeCell ref="A45:F45"/>
  </mergeCells>
  <pageMargins left="0.86614173228346458" right="0.23622047244094491" top="1.2204724409448819" bottom="0.82677165354330717" header="0.59055118110236227" footer="0.47244094488188981"/>
  <pageSetup paperSize="9" scale="80" orientation="portrait" horizontalDpi="4294967295" verticalDpi="300" r:id="rId1"/>
  <headerFooter differentFirst="1" alignWithMargins="0">
    <oddFooter>&amp;C&amp;P</oddFooter>
    <firstHeader>&amp;R&amp;10Załącznik Nr 1 
do uchwały Nr .................
Rady  Powiatu  Otwockiego
z dnia  ...........................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4</vt:i4>
      </vt:variant>
    </vt:vector>
  </HeadingPairs>
  <TitlesOfParts>
    <vt:vector size="10" baseType="lpstr">
      <vt:lpstr>Tab.2a_</vt:lpstr>
      <vt:lpstr>Tab.3</vt:lpstr>
      <vt:lpstr>Tab.5 </vt:lpstr>
      <vt:lpstr>Tab.6 </vt:lpstr>
      <vt:lpstr>Tab.7</vt:lpstr>
      <vt:lpstr>Zał.1</vt:lpstr>
      <vt:lpstr>Tab.2a_!Obszar_wydruku</vt:lpstr>
      <vt:lpstr>Tab.3!Obszar_wydruku</vt:lpstr>
      <vt:lpstr>'Tab.5 '!Obszar_wydruku</vt:lpstr>
      <vt:lpstr>Zał.1!Obszar_wydruku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Mroczkowska Aneta</cp:lastModifiedBy>
  <cp:lastPrinted>2020-09-10T07:32:10Z</cp:lastPrinted>
  <dcterms:created xsi:type="dcterms:W3CDTF">2015-10-09T11:05:37Z</dcterms:created>
  <dcterms:modified xsi:type="dcterms:W3CDTF">2020-09-10T07:32:22Z</dcterms:modified>
</cp:coreProperties>
</file>