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en_skoroszyt" defaultThemeVersion="124226"/>
  <bookViews>
    <workbookView xWindow="240" yWindow="105" windowWidth="14805" windowHeight="8010"/>
  </bookViews>
  <sheets>
    <sheet name="Zał.1" sheetId="35" r:id="rId1"/>
    <sheet name="Zał.2" sheetId="33" r:id="rId2"/>
  </sheets>
  <externalReferences>
    <externalReference r:id="rId3"/>
    <externalReference r:id="rId4"/>
    <externalReference r:id="rId5"/>
  </externalReferences>
  <definedNames>
    <definedName name="KwartalRb">[1]definicja!$B$5</definedName>
    <definedName name="_xlnm.Print_Area" localSheetId="0">Zał.1!$A$1:$T$102</definedName>
    <definedName name="_xlnm.Print_Area" localSheetId="1">Zał.2!$A$1:$P$86</definedName>
    <definedName name="Ostatni_rok_analizy" localSheetId="0">[2]WPF_Analiza!$M$1</definedName>
    <definedName name="Ostatni_rok_analizy">[3]WPF_Analiza!$L$1</definedName>
    <definedName name="Rok_bazowy">[1]DaneZrodlowe!$O$1</definedName>
    <definedName name="RokBazowy" localSheetId="0">[2]DaneZrodlowe!$N$1</definedName>
    <definedName name="RokBazowy">[3]DaneZrodlowe!$N$1</definedName>
    <definedName name="RokMaxProg" localSheetId="0">[2]DaneZrodlowe!$N$2</definedName>
    <definedName name="RokMaxProg">[3]DaneZrodlowe!$Q$1</definedName>
    <definedName name="RokRb">[1]definicja!$B$4</definedName>
    <definedName name="_xlnm.Print_Titles" localSheetId="0">Zał.1!$A:$B,Zał.1!$2:$3</definedName>
    <definedName name="_xlnm.Print_Titles" localSheetId="1">Zał.2!$4:$5</definedName>
    <definedName name="version" localSheetId="0">[2]definicja!$D$1</definedName>
    <definedName name="version">[3]definicja!$D$1</definedName>
    <definedName name="WydatkiPar">[1]definicja!$H$5</definedName>
    <definedName name="Z_9360F695_77C0_4418_82C5_829A762C44E9_.wvu.Cols" localSheetId="0" hidden="1">Zał.1!#REF!,Zał.1!#REF!</definedName>
    <definedName name="Z_9360F695_77C0_4418_82C5_829A762C44E9_.wvu.FilterData" localSheetId="0" hidden="1">Zał.1!#REF!</definedName>
    <definedName name="Z_9360F695_77C0_4418_82C5_829A762C44E9_.wvu.PrintArea" localSheetId="0" hidden="1">Zał.1!$A$2:$T$102</definedName>
    <definedName name="Z_9360F695_77C0_4418_82C5_829A762C44E9_.wvu.PrintTitles" localSheetId="0" hidden="1">Zał.1!$A:$B,Zał.1!$2:$3</definedName>
  </definedNames>
  <calcPr calcId="152511"/>
</workbook>
</file>

<file path=xl/calcChain.xml><?xml version="1.0" encoding="utf-8"?>
<calcChain xmlns="http://schemas.openxmlformats.org/spreadsheetml/2006/main">
  <c r="T102" i="35" l="1"/>
  <c r="S102" i="35"/>
  <c r="R102" i="35"/>
  <c r="Q102" i="35"/>
  <c r="P102" i="35"/>
  <c r="O102" i="35"/>
  <c r="N102" i="35"/>
  <c r="M102" i="35"/>
  <c r="L102" i="35"/>
  <c r="K102" i="35"/>
  <c r="J102" i="35"/>
  <c r="I102" i="35"/>
  <c r="H102" i="35"/>
  <c r="G102" i="35"/>
  <c r="T101" i="35"/>
  <c r="S101" i="35"/>
  <c r="R101" i="35"/>
  <c r="Q101" i="35"/>
  <c r="P101" i="35"/>
  <c r="O101" i="35"/>
  <c r="N101" i="35"/>
  <c r="M101" i="35"/>
  <c r="L101" i="35"/>
  <c r="K101" i="35"/>
  <c r="J101" i="35"/>
  <c r="I101" i="35"/>
  <c r="H101" i="35"/>
  <c r="G101" i="35"/>
  <c r="T100" i="35"/>
  <c r="S100" i="35"/>
  <c r="R100" i="35"/>
  <c r="Q100" i="35"/>
  <c r="P100" i="35"/>
  <c r="O100" i="35"/>
  <c r="N100" i="35"/>
  <c r="M100" i="35"/>
  <c r="L100" i="35"/>
  <c r="K100" i="35"/>
  <c r="J100" i="35"/>
  <c r="I100" i="35"/>
  <c r="H100" i="35"/>
  <c r="G100" i="35"/>
  <c r="F100" i="35"/>
  <c r="E100" i="35"/>
  <c r="D100" i="35"/>
  <c r="C100" i="35"/>
  <c r="T98" i="35"/>
  <c r="S98" i="35"/>
  <c r="R98" i="35"/>
  <c r="Q98" i="35"/>
  <c r="P98" i="35"/>
  <c r="O98" i="35"/>
  <c r="N98" i="35"/>
  <c r="M98" i="35"/>
  <c r="L98" i="35"/>
  <c r="K98" i="35"/>
  <c r="J98" i="35"/>
  <c r="I98" i="35"/>
  <c r="H98" i="35"/>
  <c r="G98" i="35"/>
  <c r="F98" i="35"/>
  <c r="E98" i="35"/>
  <c r="D98" i="35"/>
  <c r="C98" i="35"/>
  <c r="T97" i="35"/>
  <c r="S97" i="35"/>
  <c r="R97" i="35"/>
  <c r="Q97" i="35"/>
  <c r="P97" i="35"/>
  <c r="O97" i="35"/>
  <c r="N97" i="35"/>
  <c r="M97" i="35"/>
  <c r="L97" i="35"/>
  <c r="K97" i="35"/>
  <c r="J97" i="35"/>
  <c r="I97" i="35"/>
  <c r="H97" i="35"/>
  <c r="G97" i="35"/>
  <c r="F97" i="35"/>
  <c r="E97" i="35"/>
  <c r="D97" i="35"/>
  <c r="C97" i="35"/>
  <c r="T96" i="35"/>
  <c r="S96" i="35"/>
  <c r="R96" i="35"/>
  <c r="Q96" i="35"/>
  <c r="P96" i="35"/>
  <c r="O96" i="35"/>
  <c r="N96" i="35"/>
  <c r="M96" i="35"/>
  <c r="L96" i="35"/>
  <c r="K96" i="35"/>
  <c r="J96" i="35"/>
  <c r="I96" i="35"/>
  <c r="H96" i="35"/>
  <c r="G96" i="35"/>
  <c r="F96" i="35"/>
  <c r="E96" i="35"/>
  <c r="D96" i="35"/>
  <c r="C96" i="35"/>
  <c r="T94" i="35"/>
  <c r="S94" i="35"/>
  <c r="R94" i="35"/>
  <c r="Q94" i="35"/>
  <c r="P94" i="35"/>
  <c r="O94" i="35"/>
  <c r="N94" i="35"/>
  <c r="M94" i="35"/>
  <c r="L94" i="35"/>
  <c r="K94" i="35"/>
  <c r="J94" i="35"/>
  <c r="I94" i="35"/>
  <c r="H94" i="35"/>
  <c r="G94" i="35"/>
  <c r="F94" i="35"/>
  <c r="E94" i="35"/>
  <c r="D94" i="35"/>
  <c r="C94" i="35"/>
  <c r="T93" i="35"/>
  <c r="S93" i="35"/>
  <c r="R93" i="35"/>
  <c r="Q93" i="35"/>
  <c r="P93" i="35"/>
  <c r="O93" i="35"/>
  <c r="N93" i="35"/>
  <c r="M93" i="35"/>
  <c r="L93" i="35"/>
  <c r="K93" i="35"/>
  <c r="J93" i="35"/>
  <c r="I93" i="35"/>
  <c r="H93" i="35"/>
  <c r="G93" i="35"/>
  <c r="F93" i="35"/>
  <c r="E93" i="35"/>
  <c r="D93" i="35"/>
  <c r="C93" i="35"/>
  <c r="T92" i="35"/>
  <c r="S92" i="35"/>
  <c r="R92" i="35"/>
  <c r="Q92" i="35"/>
  <c r="P92" i="35"/>
  <c r="O92" i="35"/>
  <c r="N92" i="35"/>
  <c r="M92" i="35"/>
  <c r="L92" i="35"/>
  <c r="K92" i="35"/>
  <c r="J92" i="35"/>
  <c r="I92" i="35"/>
  <c r="H92" i="35"/>
  <c r="G92" i="35"/>
  <c r="F92" i="35"/>
  <c r="E92" i="35"/>
  <c r="D92" i="35"/>
  <c r="C92" i="35"/>
  <c r="T91" i="35"/>
  <c r="S91" i="35"/>
  <c r="R91" i="35"/>
  <c r="Q91" i="35"/>
  <c r="P91" i="35"/>
  <c r="O91" i="35"/>
  <c r="N91" i="35"/>
  <c r="M91" i="35"/>
  <c r="L91" i="35"/>
  <c r="K91" i="35"/>
  <c r="J91" i="35"/>
  <c r="I91" i="35"/>
  <c r="H91" i="35"/>
  <c r="G91" i="35"/>
  <c r="F91" i="35"/>
  <c r="E91" i="35"/>
  <c r="D91" i="35"/>
  <c r="C91" i="35"/>
  <c r="T90" i="35"/>
  <c r="S90" i="35"/>
  <c r="R90" i="35"/>
  <c r="Q90" i="35"/>
  <c r="P90" i="35"/>
  <c r="O90" i="35"/>
  <c r="N90" i="35"/>
  <c r="M90" i="35"/>
  <c r="L90" i="35"/>
  <c r="K90" i="35"/>
  <c r="J90" i="35"/>
  <c r="I90" i="35"/>
  <c r="H90" i="35"/>
  <c r="G90" i="35"/>
  <c r="F90" i="35"/>
  <c r="E90" i="35"/>
  <c r="D90" i="35"/>
  <c r="C90" i="35"/>
  <c r="T89" i="35"/>
  <c r="S89" i="35"/>
  <c r="R89" i="35"/>
  <c r="Q89" i="35"/>
  <c r="P89" i="35"/>
  <c r="O89" i="35"/>
  <c r="N89" i="35"/>
  <c r="M89" i="35"/>
  <c r="L89" i="35"/>
  <c r="K89" i="35"/>
  <c r="J89" i="35"/>
  <c r="I89" i="35"/>
  <c r="H89" i="35"/>
  <c r="G89" i="35"/>
  <c r="F89" i="35"/>
  <c r="E89" i="35"/>
  <c r="D89" i="35"/>
  <c r="C89" i="35"/>
  <c r="T88" i="35"/>
  <c r="S88" i="35"/>
  <c r="R88" i="35"/>
  <c r="Q88" i="35"/>
  <c r="P88" i="35"/>
  <c r="O88" i="35"/>
  <c r="N88" i="35"/>
  <c r="M88" i="35"/>
  <c r="L88" i="35"/>
  <c r="K88" i="35"/>
  <c r="J88" i="35"/>
  <c r="I88" i="35"/>
  <c r="H88" i="35"/>
  <c r="G88" i="35"/>
  <c r="F88" i="35"/>
  <c r="E88" i="35"/>
  <c r="D88" i="35"/>
  <c r="C88" i="35"/>
  <c r="T87" i="35"/>
  <c r="S87" i="35"/>
  <c r="R87" i="35"/>
  <c r="Q87" i="35"/>
  <c r="P87" i="35"/>
  <c r="O87" i="35"/>
  <c r="N87" i="35"/>
  <c r="M87" i="35"/>
  <c r="L87" i="35"/>
  <c r="K87" i="35"/>
  <c r="J87" i="35"/>
  <c r="I87" i="35"/>
  <c r="H87" i="35"/>
  <c r="G87" i="35"/>
  <c r="F87" i="35"/>
  <c r="E87" i="35"/>
  <c r="D87" i="35"/>
  <c r="C87" i="35"/>
  <c r="T86" i="35"/>
  <c r="S86" i="35"/>
  <c r="R86" i="35"/>
  <c r="Q86" i="35"/>
  <c r="P86" i="35"/>
  <c r="O86" i="35"/>
  <c r="N86" i="35"/>
  <c r="M86" i="35"/>
  <c r="L86" i="35"/>
  <c r="K86" i="35"/>
  <c r="J86" i="35"/>
  <c r="I86" i="35"/>
  <c r="H86" i="35"/>
  <c r="G86" i="35"/>
  <c r="F86" i="35"/>
  <c r="E86" i="35"/>
  <c r="D86" i="35"/>
  <c r="C86" i="35"/>
  <c r="T85" i="35"/>
  <c r="S85" i="35"/>
  <c r="R85" i="35"/>
  <c r="Q85" i="35"/>
  <c r="P85" i="35"/>
  <c r="O85" i="35"/>
  <c r="N85" i="35"/>
  <c r="M85" i="35"/>
  <c r="L85" i="35"/>
  <c r="K85" i="35"/>
  <c r="J85" i="35"/>
  <c r="I85" i="35"/>
  <c r="H85" i="35"/>
  <c r="G85" i="35"/>
  <c r="F85" i="35"/>
  <c r="E85" i="35"/>
  <c r="D85" i="35"/>
  <c r="C85" i="35"/>
  <c r="T84" i="35"/>
  <c r="S84" i="35"/>
  <c r="R84" i="35"/>
  <c r="Q84" i="35"/>
  <c r="P84" i="35"/>
  <c r="O84" i="35"/>
  <c r="N84" i="35"/>
  <c r="M84" i="35"/>
  <c r="L84" i="35"/>
  <c r="K84" i="35"/>
  <c r="J84" i="35"/>
  <c r="I84" i="35"/>
  <c r="H84" i="35"/>
  <c r="G84" i="35"/>
  <c r="F84" i="35"/>
  <c r="E84" i="35"/>
  <c r="D84" i="35"/>
  <c r="C84" i="35"/>
  <c r="T83" i="35"/>
  <c r="S83" i="35"/>
  <c r="R83" i="35"/>
  <c r="Q83" i="35"/>
  <c r="P83" i="35"/>
  <c r="O83" i="35"/>
  <c r="N83" i="35"/>
  <c r="M83" i="35"/>
  <c r="L83" i="35"/>
  <c r="K83" i="35"/>
  <c r="J83" i="35"/>
  <c r="I83" i="35"/>
  <c r="H83" i="35"/>
  <c r="G83" i="35"/>
  <c r="F83" i="35"/>
  <c r="E83" i="35"/>
  <c r="D83" i="35"/>
  <c r="C83" i="35"/>
  <c r="T82" i="35"/>
  <c r="S82" i="35"/>
  <c r="R82" i="35"/>
  <c r="Q82" i="35"/>
  <c r="P82" i="35"/>
  <c r="O82" i="35"/>
  <c r="N82" i="35"/>
  <c r="M82" i="35"/>
  <c r="L82" i="35"/>
  <c r="K82" i="35"/>
  <c r="J82" i="35"/>
  <c r="I82" i="35"/>
  <c r="H82" i="35"/>
  <c r="G82" i="35"/>
  <c r="F82" i="35"/>
  <c r="E82" i="35"/>
  <c r="D82" i="35"/>
  <c r="C82" i="35"/>
  <c r="T81" i="35"/>
  <c r="S81" i="35"/>
  <c r="R81" i="35"/>
  <c r="Q81" i="35"/>
  <c r="P81" i="35"/>
  <c r="O81" i="35"/>
  <c r="N81" i="35"/>
  <c r="M81" i="35"/>
  <c r="L81" i="35"/>
  <c r="K81" i="35"/>
  <c r="J81" i="35"/>
  <c r="I81" i="35"/>
  <c r="H81" i="35"/>
  <c r="G81" i="35"/>
  <c r="F81" i="35"/>
  <c r="E81" i="35"/>
  <c r="D81" i="35"/>
  <c r="C81" i="35"/>
  <c r="T80" i="35"/>
  <c r="S80" i="35"/>
  <c r="R80" i="35"/>
  <c r="Q80" i="35"/>
  <c r="P80" i="35"/>
  <c r="O80" i="35"/>
  <c r="N80" i="35"/>
  <c r="M80" i="35"/>
  <c r="L80" i="35"/>
  <c r="K80" i="35"/>
  <c r="J80" i="35"/>
  <c r="I80" i="35"/>
  <c r="H80" i="35"/>
  <c r="G80" i="35"/>
  <c r="F80" i="35"/>
  <c r="E80" i="35"/>
  <c r="D80" i="35"/>
  <c r="C80" i="35"/>
  <c r="T79" i="35"/>
  <c r="S79" i="35"/>
  <c r="R79" i="35"/>
  <c r="Q79" i="35"/>
  <c r="P79" i="35"/>
  <c r="O79" i="35"/>
  <c r="N79" i="35"/>
  <c r="M79" i="35"/>
  <c r="L79" i="35"/>
  <c r="K79" i="35"/>
  <c r="J79" i="35"/>
  <c r="I79" i="35"/>
  <c r="H79" i="35"/>
  <c r="G79" i="35"/>
  <c r="F79" i="35"/>
  <c r="E79" i="35"/>
  <c r="D79" i="35"/>
  <c r="C79" i="35"/>
  <c r="T77" i="35"/>
  <c r="S77" i="35"/>
  <c r="R77" i="35"/>
  <c r="Q77" i="35"/>
  <c r="P77" i="35"/>
  <c r="O77" i="35"/>
  <c r="N77" i="35"/>
  <c r="M77" i="35"/>
  <c r="L77" i="35"/>
  <c r="K77" i="35"/>
  <c r="J77" i="35"/>
  <c r="I77" i="35"/>
  <c r="H77" i="35"/>
  <c r="G77" i="35"/>
  <c r="F77" i="35"/>
  <c r="E77" i="35"/>
  <c r="D77" i="35"/>
  <c r="C77" i="35"/>
  <c r="T76" i="35"/>
  <c r="S76" i="35"/>
  <c r="R76" i="35"/>
  <c r="Q76" i="35"/>
  <c r="P76" i="35"/>
  <c r="O76" i="35"/>
  <c r="N76" i="35"/>
  <c r="M76" i="35"/>
  <c r="L76" i="35"/>
  <c r="K76" i="35"/>
  <c r="J76" i="35"/>
  <c r="I76" i="35"/>
  <c r="H76" i="35"/>
  <c r="G76" i="35"/>
  <c r="F76" i="35"/>
  <c r="E76" i="35"/>
  <c r="D76" i="35"/>
  <c r="C76" i="35"/>
  <c r="T75" i="35"/>
  <c r="S75" i="35"/>
  <c r="R75" i="35"/>
  <c r="Q75" i="35"/>
  <c r="P75" i="35"/>
  <c r="O75" i="35"/>
  <c r="N75" i="35"/>
  <c r="M75" i="35"/>
  <c r="L75" i="35"/>
  <c r="K75" i="35"/>
  <c r="J75" i="35"/>
  <c r="I75" i="35"/>
  <c r="H75" i="35"/>
  <c r="G75" i="35"/>
  <c r="F75" i="35"/>
  <c r="E75" i="35"/>
  <c r="D75" i="35"/>
  <c r="C75" i="35"/>
  <c r="T74" i="35"/>
  <c r="S74" i="35"/>
  <c r="R74" i="35"/>
  <c r="Q74" i="35"/>
  <c r="P74" i="35"/>
  <c r="O74" i="35"/>
  <c r="N74" i="35"/>
  <c r="M74" i="35"/>
  <c r="L74" i="35"/>
  <c r="K74" i="35"/>
  <c r="J74" i="35"/>
  <c r="I74" i="35"/>
  <c r="H74" i="35"/>
  <c r="G74" i="35"/>
  <c r="F74" i="35"/>
  <c r="E74" i="35"/>
  <c r="D74" i="35"/>
  <c r="C74" i="35"/>
  <c r="T73" i="35"/>
  <c r="S73" i="35"/>
  <c r="R73" i="35"/>
  <c r="Q73" i="35"/>
  <c r="P73" i="35"/>
  <c r="O73" i="35"/>
  <c r="N73" i="35"/>
  <c r="M73" i="35"/>
  <c r="L73" i="35"/>
  <c r="K73" i="35"/>
  <c r="J73" i="35"/>
  <c r="I73" i="35"/>
  <c r="H73" i="35"/>
  <c r="G73" i="35"/>
  <c r="F73" i="35"/>
  <c r="E73" i="35"/>
  <c r="D73" i="35"/>
  <c r="C73" i="35"/>
  <c r="T72" i="35"/>
  <c r="S72" i="35"/>
  <c r="R72" i="35"/>
  <c r="Q72" i="35"/>
  <c r="P72" i="35"/>
  <c r="O72" i="35"/>
  <c r="N72" i="35"/>
  <c r="M72" i="35"/>
  <c r="L72" i="35"/>
  <c r="K72" i="35"/>
  <c r="J72" i="35"/>
  <c r="I72" i="35"/>
  <c r="H72" i="35"/>
  <c r="G72" i="35"/>
  <c r="F72" i="35"/>
  <c r="E72" i="35"/>
  <c r="D72" i="35"/>
  <c r="C72" i="35"/>
  <c r="T71" i="35"/>
  <c r="S71" i="35"/>
  <c r="R71" i="35"/>
  <c r="Q71" i="35"/>
  <c r="P71" i="35"/>
  <c r="O71" i="35"/>
  <c r="N71" i="35"/>
  <c r="M71" i="35"/>
  <c r="L71" i="35"/>
  <c r="K71" i="35"/>
  <c r="J71" i="35"/>
  <c r="I71" i="35"/>
  <c r="H71" i="35"/>
  <c r="G71" i="35"/>
  <c r="F71" i="35"/>
  <c r="E71" i="35"/>
  <c r="D71" i="35"/>
  <c r="C71" i="35"/>
  <c r="T70" i="35"/>
  <c r="S70" i="35"/>
  <c r="R70" i="35"/>
  <c r="Q70" i="35"/>
  <c r="P70" i="35"/>
  <c r="O70" i="35"/>
  <c r="N70" i="35"/>
  <c r="M70" i="35"/>
  <c r="L70" i="35"/>
  <c r="K70" i="35"/>
  <c r="J70" i="35"/>
  <c r="I70" i="35"/>
  <c r="H70" i="35"/>
  <c r="G70" i="35"/>
  <c r="F70" i="35"/>
  <c r="E70" i="35"/>
  <c r="D70" i="35"/>
  <c r="C70" i="35"/>
  <c r="T69" i="35"/>
  <c r="S69" i="35"/>
  <c r="R69" i="35"/>
  <c r="Q69" i="35"/>
  <c r="P69" i="35"/>
  <c r="O69" i="35"/>
  <c r="N69" i="35"/>
  <c r="M69" i="35"/>
  <c r="L69" i="35"/>
  <c r="K69" i="35"/>
  <c r="J69" i="35"/>
  <c r="I69" i="35"/>
  <c r="H69" i="35"/>
  <c r="G69" i="35"/>
  <c r="F69" i="35"/>
  <c r="E69" i="35"/>
  <c r="D69" i="35"/>
  <c r="C69" i="35"/>
  <c r="T68" i="35"/>
  <c r="S68" i="35"/>
  <c r="R68" i="35"/>
  <c r="Q68" i="35"/>
  <c r="P68" i="35"/>
  <c r="O68" i="35"/>
  <c r="N68" i="35"/>
  <c r="M68" i="35"/>
  <c r="L68" i="35"/>
  <c r="K68" i="35"/>
  <c r="J68" i="35"/>
  <c r="I68" i="35"/>
  <c r="H68" i="35"/>
  <c r="G68" i="35"/>
  <c r="F68" i="35"/>
  <c r="E68" i="35"/>
  <c r="D68" i="35"/>
  <c r="C68" i="35"/>
  <c r="T67" i="35"/>
  <c r="S67" i="35"/>
  <c r="R67" i="35"/>
  <c r="Q67" i="35"/>
  <c r="P67" i="35"/>
  <c r="O67" i="35"/>
  <c r="N67" i="35"/>
  <c r="M67" i="35"/>
  <c r="L67" i="35"/>
  <c r="K67" i="35"/>
  <c r="J67" i="35"/>
  <c r="I67" i="35"/>
  <c r="H67" i="35"/>
  <c r="G67" i="35"/>
  <c r="F67" i="35"/>
  <c r="E67" i="35"/>
  <c r="D67" i="35"/>
  <c r="C67" i="35"/>
  <c r="T66" i="35"/>
  <c r="S66" i="35"/>
  <c r="R66" i="35"/>
  <c r="Q66" i="35"/>
  <c r="P66" i="35"/>
  <c r="O66" i="35"/>
  <c r="N66" i="35"/>
  <c r="M66" i="35"/>
  <c r="L66" i="35"/>
  <c r="K66" i="35"/>
  <c r="J66" i="35"/>
  <c r="I66" i="35"/>
  <c r="H66" i="35"/>
  <c r="G66" i="35"/>
  <c r="F66" i="35"/>
  <c r="E66" i="35"/>
  <c r="D66" i="35"/>
  <c r="C66" i="35"/>
  <c r="T62" i="35"/>
  <c r="S62" i="35"/>
  <c r="R62" i="35"/>
  <c r="Q62" i="35"/>
  <c r="P62" i="35"/>
  <c r="O62" i="35"/>
  <c r="N62" i="35"/>
  <c r="M62" i="35"/>
  <c r="L62" i="35"/>
  <c r="K62" i="35"/>
  <c r="J62" i="35"/>
  <c r="I62" i="35"/>
  <c r="H62" i="35"/>
  <c r="G62" i="35"/>
  <c r="T61" i="35"/>
  <c r="S61" i="35"/>
  <c r="R61" i="35"/>
  <c r="Q61" i="35"/>
  <c r="P61" i="35"/>
  <c r="O61" i="35"/>
  <c r="N61" i="35"/>
  <c r="M61" i="35"/>
  <c r="L61" i="35"/>
  <c r="K61" i="35"/>
  <c r="J61" i="35"/>
  <c r="I61" i="35"/>
  <c r="H61" i="35"/>
  <c r="G61" i="35"/>
  <c r="T60" i="35"/>
  <c r="S60" i="35"/>
  <c r="R60" i="35"/>
  <c r="Q60" i="35"/>
  <c r="P60" i="35"/>
  <c r="O60" i="35"/>
  <c r="N60" i="35"/>
  <c r="M60" i="35"/>
  <c r="L60" i="35"/>
  <c r="K60" i="35"/>
  <c r="J60" i="35"/>
  <c r="I60" i="35"/>
  <c r="H60" i="35"/>
  <c r="G60" i="35"/>
  <c r="F60" i="35"/>
  <c r="E60" i="35"/>
  <c r="D60" i="35"/>
  <c r="C60" i="35"/>
  <c r="T59" i="35"/>
  <c r="S59" i="35"/>
  <c r="R59" i="35"/>
  <c r="Q59" i="35"/>
  <c r="P59" i="35"/>
  <c r="O59" i="35"/>
  <c r="N59" i="35"/>
  <c r="M59" i="35"/>
  <c r="L59" i="35"/>
  <c r="K59" i="35"/>
  <c r="J59" i="35"/>
  <c r="I59" i="35"/>
  <c r="H59" i="35"/>
  <c r="G59" i="35"/>
  <c r="F59" i="35"/>
  <c r="E59" i="35"/>
  <c r="D59" i="35"/>
  <c r="C59" i="35"/>
  <c r="T58" i="35"/>
  <c r="S58" i="35"/>
  <c r="R58" i="35"/>
  <c r="Q58" i="35"/>
  <c r="P58" i="35"/>
  <c r="O58" i="35"/>
  <c r="N58" i="35"/>
  <c r="M58" i="35"/>
  <c r="L58" i="35"/>
  <c r="K58" i="35"/>
  <c r="J58" i="35"/>
  <c r="I58" i="35"/>
  <c r="H58" i="35"/>
  <c r="G58" i="35"/>
  <c r="F58" i="35"/>
  <c r="E58" i="35"/>
  <c r="D58" i="35"/>
  <c r="C58" i="35"/>
  <c r="T57" i="35"/>
  <c r="S57" i="35"/>
  <c r="R57" i="35"/>
  <c r="Q57" i="35"/>
  <c r="P57" i="35"/>
  <c r="O57" i="35"/>
  <c r="N57" i="35"/>
  <c r="M57" i="35"/>
  <c r="L57" i="35"/>
  <c r="K57" i="35"/>
  <c r="J57" i="35"/>
  <c r="I57" i="35"/>
  <c r="H57" i="35"/>
  <c r="G57" i="35"/>
  <c r="T56" i="35"/>
  <c r="S56" i="35"/>
  <c r="R56" i="35"/>
  <c r="Q56" i="35"/>
  <c r="P56" i="35"/>
  <c r="O56" i="35"/>
  <c r="N56" i="35"/>
  <c r="M56" i="35"/>
  <c r="L56" i="35"/>
  <c r="K56" i="35"/>
  <c r="J56" i="35"/>
  <c r="I56" i="35"/>
  <c r="H56" i="35"/>
  <c r="G56" i="35"/>
  <c r="T55" i="35"/>
  <c r="S55" i="35"/>
  <c r="S64" i="35" s="1"/>
  <c r="R55" i="35"/>
  <c r="Q55" i="35"/>
  <c r="P55" i="35"/>
  <c r="O55" i="35"/>
  <c r="O64" i="35" s="1"/>
  <c r="N55" i="35"/>
  <c r="M55" i="35"/>
  <c r="L55" i="35"/>
  <c r="K55" i="35"/>
  <c r="K64" i="35" s="1"/>
  <c r="J55" i="35"/>
  <c r="I55" i="35"/>
  <c r="H55" i="35"/>
  <c r="G55" i="35"/>
  <c r="G64" i="35" s="1"/>
  <c r="T53" i="35"/>
  <c r="S53" i="35"/>
  <c r="R53" i="35"/>
  <c r="Q53" i="35"/>
  <c r="P53" i="35"/>
  <c r="O53" i="35"/>
  <c r="N53" i="35"/>
  <c r="M53" i="35"/>
  <c r="L53" i="35"/>
  <c r="K53" i="35"/>
  <c r="J53" i="35"/>
  <c r="I53" i="35"/>
  <c r="H53" i="35"/>
  <c r="G53" i="35"/>
  <c r="F53" i="35"/>
  <c r="E53" i="35"/>
  <c r="D53" i="35"/>
  <c r="C53" i="35"/>
  <c r="T52" i="35"/>
  <c r="S52" i="35"/>
  <c r="R52" i="35"/>
  <c r="Q52" i="35"/>
  <c r="P52" i="35"/>
  <c r="O52" i="35"/>
  <c r="N52" i="35"/>
  <c r="M52" i="35"/>
  <c r="L52" i="35"/>
  <c r="K52" i="35"/>
  <c r="J52" i="35"/>
  <c r="I52" i="35"/>
  <c r="H52" i="35"/>
  <c r="G52" i="35"/>
  <c r="F52" i="35"/>
  <c r="E52" i="35"/>
  <c r="D52" i="35"/>
  <c r="C52" i="35"/>
  <c r="T50" i="35"/>
  <c r="S50" i="35"/>
  <c r="R50" i="35"/>
  <c r="Q50" i="35"/>
  <c r="P50" i="35"/>
  <c r="O50" i="35"/>
  <c r="N50" i="35"/>
  <c r="M50" i="35"/>
  <c r="L50" i="35"/>
  <c r="K50" i="35"/>
  <c r="J50" i="35"/>
  <c r="I50" i="35"/>
  <c r="H50" i="35"/>
  <c r="G50" i="35"/>
  <c r="F50" i="35"/>
  <c r="E50" i="35"/>
  <c r="D50" i="35"/>
  <c r="C50" i="35"/>
  <c r="T49" i="35"/>
  <c r="S49" i="35"/>
  <c r="R49" i="35"/>
  <c r="Q49" i="35"/>
  <c r="P49" i="35"/>
  <c r="O49" i="35"/>
  <c r="N49" i="35"/>
  <c r="M49" i="35"/>
  <c r="L49" i="35"/>
  <c r="K49" i="35"/>
  <c r="J49" i="35"/>
  <c r="I49" i="35"/>
  <c r="H49" i="35"/>
  <c r="G49" i="35"/>
  <c r="F49" i="35"/>
  <c r="E49" i="35"/>
  <c r="D49" i="35"/>
  <c r="C49" i="35"/>
  <c r="T48" i="35"/>
  <c r="S48" i="35"/>
  <c r="R48" i="35"/>
  <c r="Q48" i="35"/>
  <c r="P48" i="35"/>
  <c r="O48" i="35"/>
  <c r="N48" i="35"/>
  <c r="M48" i="35"/>
  <c r="L48" i="35"/>
  <c r="K48" i="35"/>
  <c r="J48" i="35"/>
  <c r="I48" i="35"/>
  <c r="H48" i="35"/>
  <c r="G48" i="35"/>
  <c r="F48" i="35"/>
  <c r="E48" i="35"/>
  <c r="D48" i="35"/>
  <c r="C48" i="35"/>
  <c r="T47" i="35"/>
  <c r="S47" i="35"/>
  <c r="R47" i="35"/>
  <c r="Q47" i="35"/>
  <c r="P47" i="35"/>
  <c r="O47" i="35"/>
  <c r="N47" i="35"/>
  <c r="M47" i="35"/>
  <c r="L47" i="35"/>
  <c r="K47" i="35"/>
  <c r="J47" i="35"/>
  <c r="I47" i="35"/>
  <c r="H47" i="35"/>
  <c r="G47" i="35"/>
  <c r="F47" i="35"/>
  <c r="E47" i="35"/>
  <c r="D47" i="35"/>
  <c r="C47" i="35"/>
  <c r="T46" i="35"/>
  <c r="S46" i="35"/>
  <c r="R46" i="35"/>
  <c r="Q46" i="35"/>
  <c r="P46" i="35"/>
  <c r="O46" i="35"/>
  <c r="N46" i="35"/>
  <c r="M46" i="35"/>
  <c r="L46" i="35"/>
  <c r="K46" i="35"/>
  <c r="J46" i="35"/>
  <c r="I46" i="35"/>
  <c r="H46" i="35"/>
  <c r="G46" i="35"/>
  <c r="F46" i="35"/>
  <c r="E46" i="35"/>
  <c r="D46" i="35"/>
  <c r="C46" i="35"/>
  <c r="T45" i="35"/>
  <c r="S45" i="35"/>
  <c r="R45" i="35"/>
  <c r="Q45" i="35"/>
  <c r="P45" i="35"/>
  <c r="O45" i="35"/>
  <c r="N45" i="35"/>
  <c r="M45" i="35"/>
  <c r="L45" i="35"/>
  <c r="K45" i="35"/>
  <c r="J45" i="35"/>
  <c r="I45" i="35"/>
  <c r="H45" i="35"/>
  <c r="G45" i="35"/>
  <c r="F45" i="35"/>
  <c r="E45" i="35"/>
  <c r="D45" i="35"/>
  <c r="C45" i="35"/>
  <c r="T44" i="35"/>
  <c r="S44" i="35"/>
  <c r="R44" i="35"/>
  <c r="Q44" i="35"/>
  <c r="P44" i="35"/>
  <c r="O44" i="35"/>
  <c r="N44" i="35"/>
  <c r="M44" i="35"/>
  <c r="L44" i="35"/>
  <c r="K44" i="35"/>
  <c r="J44" i="35"/>
  <c r="I44" i="35"/>
  <c r="H44" i="35"/>
  <c r="G44" i="35"/>
  <c r="F44" i="35"/>
  <c r="E44" i="35"/>
  <c r="D44" i="35"/>
  <c r="C44" i="35"/>
  <c r="T43" i="35"/>
  <c r="S43" i="35"/>
  <c r="R43" i="35"/>
  <c r="Q43" i="35"/>
  <c r="P43" i="35"/>
  <c r="O43" i="35"/>
  <c r="N43" i="35"/>
  <c r="M43" i="35"/>
  <c r="L43" i="35"/>
  <c r="K43" i="35"/>
  <c r="J43" i="35"/>
  <c r="I43" i="35"/>
  <c r="H43" i="35"/>
  <c r="G43" i="35"/>
  <c r="F43" i="35"/>
  <c r="E43" i="35"/>
  <c r="D43" i="35"/>
  <c r="C43" i="35"/>
  <c r="T42" i="35"/>
  <c r="S42" i="35"/>
  <c r="R42" i="35"/>
  <c r="Q42" i="35"/>
  <c r="P42" i="35"/>
  <c r="O42" i="35"/>
  <c r="N42" i="35"/>
  <c r="M42" i="35"/>
  <c r="L42" i="35"/>
  <c r="K42" i="35"/>
  <c r="J42" i="35"/>
  <c r="I42" i="35"/>
  <c r="H42" i="35"/>
  <c r="G42" i="35"/>
  <c r="F42" i="35"/>
  <c r="E42" i="35"/>
  <c r="D42" i="35"/>
  <c r="C42" i="35"/>
  <c r="T41" i="35"/>
  <c r="S41" i="35"/>
  <c r="R41" i="35"/>
  <c r="Q41" i="35"/>
  <c r="P41" i="35"/>
  <c r="O41" i="35"/>
  <c r="N41" i="35"/>
  <c r="M41" i="35"/>
  <c r="L41" i="35"/>
  <c r="K41" i="35"/>
  <c r="J41" i="35"/>
  <c r="I41" i="35"/>
  <c r="H41" i="35"/>
  <c r="G41" i="35"/>
  <c r="F41" i="35"/>
  <c r="E41" i="35"/>
  <c r="D41" i="35"/>
  <c r="C41" i="35"/>
  <c r="T40" i="35"/>
  <c r="S40" i="35"/>
  <c r="R40" i="35"/>
  <c r="Q40" i="35"/>
  <c r="P40" i="35"/>
  <c r="O40" i="35"/>
  <c r="N40" i="35"/>
  <c r="M40" i="35"/>
  <c r="L40" i="35"/>
  <c r="K40" i="35"/>
  <c r="J40" i="35"/>
  <c r="I40" i="35"/>
  <c r="H40" i="35"/>
  <c r="G40" i="35"/>
  <c r="F40" i="35"/>
  <c r="E40" i="35"/>
  <c r="D40" i="35"/>
  <c r="C40" i="35"/>
  <c r="T39" i="35"/>
  <c r="S39" i="35"/>
  <c r="R39" i="35"/>
  <c r="Q39" i="35"/>
  <c r="P39" i="35"/>
  <c r="O39" i="35"/>
  <c r="N39" i="35"/>
  <c r="M39" i="35"/>
  <c r="L39" i="35"/>
  <c r="K39" i="35"/>
  <c r="J39" i="35"/>
  <c r="I39" i="35"/>
  <c r="H39" i="35"/>
  <c r="G39" i="35"/>
  <c r="F39" i="35"/>
  <c r="E39" i="35"/>
  <c r="D39" i="35"/>
  <c r="C39" i="35"/>
  <c r="T38" i="35"/>
  <c r="S38" i="35"/>
  <c r="R38" i="35"/>
  <c r="Q38" i="35"/>
  <c r="P38" i="35"/>
  <c r="O38" i="35"/>
  <c r="N38" i="35"/>
  <c r="M38" i="35"/>
  <c r="L38" i="35"/>
  <c r="K38" i="35"/>
  <c r="J38" i="35"/>
  <c r="I38" i="35"/>
  <c r="H38" i="35"/>
  <c r="G38" i="35"/>
  <c r="F38" i="35"/>
  <c r="E38" i="35"/>
  <c r="D38" i="35"/>
  <c r="C38" i="35"/>
  <c r="T37" i="35"/>
  <c r="S37" i="35"/>
  <c r="R37" i="35"/>
  <c r="Q37" i="35"/>
  <c r="P37" i="35"/>
  <c r="O37" i="35"/>
  <c r="N37" i="35"/>
  <c r="M37" i="35"/>
  <c r="L37" i="35"/>
  <c r="K37" i="35"/>
  <c r="J37" i="35"/>
  <c r="I37" i="35"/>
  <c r="H37" i="35"/>
  <c r="G37" i="35"/>
  <c r="F37" i="35"/>
  <c r="E37" i="35"/>
  <c r="D37" i="35"/>
  <c r="C37" i="35"/>
  <c r="T36" i="35"/>
  <c r="S36" i="35"/>
  <c r="R36" i="35"/>
  <c r="Q36" i="35"/>
  <c r="P36" i="35"/>
  <c r="O36" i="35"/>
  <c r="N36" i="35"/>
  <c r="M36" i="35"/>
  <c r="L36" i="35"/>
  <c r="K36" i="35"/>
  <c r="J36" i="35"/>
  <c r="I36" i="35"/>
  <c r="H36" i="35"/>
  <c r="G36" i="35"/>
  <c r="F36" i="35"/>
  <c r="E36" i="35"/>
  <c r="D36" i="35"/>
  <c r="C36" i="35"/>
  <c r="T35" i="35"/>
  <c r="S35" i="35"/>
  <c r="R35" i="35"/>
  <c r="Q35" i="35"/>
  <c r="P35" i="35"/>
  <c r="O35" i="35"/>
  <c r="N35" i="35"/>
  <c r="M35" i="35"/>
  <c r="L35" i="35"/>
  <c r="K35" i="35"/>
  <c r="J35" i="35"/>
  <c r="I35" i="35"/>
  <c r="H35" i="35"/>
  <c r="G35" i="35"/>
  <c r="F35" i="35"/>
  <c r="E35" i="35"/>
  <c r="D35" i="35"/>
  <c r="C35" i="35"/>
  <c r="T34" i="35"/>
  <c r="S34" i="35"/>
  <c r="R34" i="35"/>
  <c r="Q34" i="35"/>
  <c r="P34" i="35"/>
  <c r="O34" i="35"/>
  <c r="N34" i="35"/>
  <c r="M34" i="35"/>
  <c r="L34" i="35"/>
  <c r="K34" i="35"/>
  <c r="J34" i="35"/>
  <c r="I34" i="35"/>
  <c r="H34" i="35"/>
  <c r="G34" i="35"/>
  <c r="F34" i="35"/>
  <c r="E34" i="35"/>
  <c r="D34" i="35"/>
  <c r="C34" i="35"/>
  <c r="T33" i="35"/>
  <c r="S33" i="35"/>
  <c r="R33" i="35"/>
  <c r="Q33" i="35"/>
  <c r="P33" i="35"/>
  <c r="O33" i="35"/>
  <c r="N33" i="35"/>
  <c r="M33" i="35"/>
  <c r="L33" i="35"/>
  <c r="K33" i="35"/>
  <c r="J33" i="35"/>
  <c r="I33" i="35"/>
  <c r="H33" i="35"/>
  <c r="G33" i="35"/>
  <c r="F33" i="35"/>
  <c r="E33" i="35"/>
  <c r="D33" i="35"/>
  <c r="C33" i="35"/>
  <c r="T32" i="35"/>
  <c r="S32" i="35"/>
  <c r="R32" i="35"/>
  <c r="Q32" i="35"/>
  <c r="P32" i="35"/>
  <c r="O32" i="35"/>
  <c r="N32" i="35"/>
  <c r="M32" i="35"/>
  <c r="L32" i="35"/>
  <c r="K32" i="35"/>
  <c r="J32" i="35"/>
  <c r="I32" i="35"/>
  <c r="H32" i="35"/>
  <c r="G32" i="35"/>
  <c r="F32" i="35"/>
  <c r="E32" i="35"/>
  <c r="D32" i="35"/>
  <c r="C32" i="35"/>
  <c r="T31" i="35"/>
  <c r="S31" i="35"/>
  <c r="R31" i="35"/>
  <c r="Q31" i="35"/>
  <c r="P31" i="35"/>
  <c r="O31" i="35"/>
  <c r="N31" i="35"/>
  <c r="M31" i="35"/>
  <c r="L31" i="35"/>
  <c r="K31" i="35"/>
  <c r="J31" i="35"/>
  <c r="I31" i="35"/>
  <c r="H31" i="35"/>
  <c r="G31" i="35"/>
  <c r="F31" i="35"/>
  <c r="E31" i="35"/>
  <c r="D31" i="35"/>
  <c r="C31" i="35"/>
  <c r="T30" i="35"/>
  <c r="S30" i="35"/>
  <c r="R30" i="35"/>
  <c r="Q30" i="35"/>
  <c r="P30" i="35"/>
  <c r="O30" i="35"/>
  <c r="N30" i="35"/>
  <c r="M30" i="35"/>
  <c r="L30" i="35"/>
  <c r="K30" i="35"/>
  <c r="J30" i="35"/>
  <c r="I30" i="35"/>
  <c r="H30" i="35"/>
  <c r="G30" i="35"/>
  <c r="F30" i="35"/>
  <c r="E30" i="35"/>
  <c r="D30" i="35"/>
  <c r="C30" i="35"/>
  <c r="T29" i="35"/>
  <c r="S29" i="35"/>
  <c r="R29" i="35"/>
  <c r="Q29" i="35"/>
  <c r="P29" i="35"/>
  <c r="O29" i="35"/>
  <c r="N29" i="35"/>
  <c r="M29" i="35"/>
  <c r="L29" i="35"/>
  <c r="K29" i="35"/>
  <c r="J29" i="35"/>
  <c r="I29" i="35"/>
  <c r="H29" i="35"/>
  <c r="G29" i="35"/>
  <c r="F29" i="35"/>
  <c r="E29" i="35"/>
  <c r="D29" i="35"/>
  <c r="C29" i="35"/>
  <c r="T28" i="35"/>
  <c r="S28" i="35"/>
  <c r="R28" i="35"/>
  <c r="Q28" i="35"/>
  <c r="P28" i="35"/>
  <c r="O28" i="35"/>
  <c r="N28" i="35"/>
  <c r="M28" i="35"/>
  <c r="L28" i="35"/>
  <c r="K28" i="35"/>
  <c r="J28" i="35"/>
  <c r="I28" i="35"/>
  <c r="H28" i="35"/>
  <c r="G28" i="35"/>
  <c r="F28" i="35"/>
  <c r="E28" i="35"/>
  <c r="D28" i="35"/>
  <c r="C28" i="35"/>
  <c r="T27" i="35"/>
  <c r="S27" i="35"/>
  <c r="R27" i="35"/>
  <c r="Q27" i="35"/>
  <c r="P27" i="35"/>
  <c r="O27" i="35"/>
  <c r="N27" i="35"/>
  <c r="M27" i="35"/>
  <c r="L27" i="35"/>
  <c r="K27" i="35"/>
  <c r="J27" i="35"/>
  <c r="I27" i="35"/>
  <c r="H27" i="35"/>
  <c r="G27" i="35"/>
  <c r="F27" i="35"/>
  <c r="E27" i="35"/>
  <c r="D27" i="35"/>
  <c r="C27" i="35"/>
  <c r="T26" i="35"/>
  <c r="S26" i="35"/>
  <c r="R26" i="35"/>
  <c r="Q26" i="35"/>
  <c r="P26" i="35"/>
  <c r="O26" i="35"/>
  <c r="N26" i="35"/>
  <c r="M26" i="35"/>
  <c r="L26" i="35"/>
  <c r="K26" i="35"/>
  <c r="J26" i="35"/>
  <c r="I26" i="35"/>
  <c r="H26" i="35"/>
  <c r="G26" i="35"/>
  <c r="F26" i="35"/>
  <c r="E26" i="35"/>
  <c r="D26" i="35"/>
  <c r="C26" i="35"/>
  <c r="T25" i="35"/>
  <c r="S25" i="35"/>
  <c r="R25" i="35"/>
  <c r="Q25" i="35"/>
  <c r="P25" i="35"/>
  <c r="O25" i="35"/>
  <c r="N25" i="35"/>
  <c r="M25" i="35"/>
  <c r="L25" i="35"/>
  <c r="K25" i="35"/>
  <c r="J25" i="35"/>
  <c r="I25" i="35"/>
  <c r="H25" i="35"/>
  <c r="G25" i="35"/>
  <c r="F25" i="35"/>
  <c r="E25" i="35"/>
  <c r="D25" i="35"/>
  <c r="C25" i="35"/>
  <c r="T24" i="35"/>
  <c r="S24" i="35"/>
  <c r="R24" i="35"/>
  <c r="Q24" i="35"/>
  <c r="P24" i="35"/>
  <c r="O24" i="35"/>
  <c r="N24" i="35"/>
  <c r="M24" i="35"/>
  <c r="L24" i="35"/>
  <c r="K24" i="35"/>
  <c r="J24" i="35"/>
  <c r="I24" i="35"/>
  <c r="H24" i="35"/>
  <c r="G24" i="35"/>
  <c r="F24" i="35"/>
  <c r="E24" i="35"/>
  <c r="D24" i="35"/>
  <c r="C24" i="35"/>
  <c r="T23" i="35"/>
  <c r="S23" i="35"/>
  <c r="R23" i="35"/>
  <c r="Q23" i="35"/>
  <c r="P23" i="35"/>
  <c r="O23" i="35"/>
  <c r="N23" i="35"/>
  <c r="M23" i="35"/>
  <c r="L23" i="35"/>
  <c r="K23" i="35"/>
  <c r="J23" i="35"/>
  <c r="I23" i="35"/>
  <c r="H23" i="35"/>
  <c r="G23" i="35"/>
  <c r="F23" i="35"/>
  <c r="E23" i="35"/>
  <c r="D23" i="35"/>
  <c r="C23" i="35"/>
  <c r="T22" i="35"/>
  <c r="S22" i="35"/>
  <c r="R22" i="35"/>
  <c r="Q22" i="35"/>
  <c r="P22" i="35"/>
  <c r="O22" i="35"/>
  <c r="N22" i="35"/>
  <c r="M22" i="35"/>
  <c r="L22" i="35"/>
  <c r="K22" i="35"/>
  <c r="J22" i="35"/>
  <c r="I22" i="35"/>
  <c r="H22" i="35"/>
  <c r="G22" i="35"/>
  <c r="F22" i="35"/>
  <c r="E22" i="35"/>
  <c r="D22" i="35"/>
  <c r="C22" i="35"/>
  <c r="T21" i="35"/>
  <c r="S21" i="35"/>
  <c r="R21" i="35"/>
  <c r="Q21" i="35"/>
  <c r="P21" i="35"/>
  <c r="O21" i="35"/>
  <c r="N21" i="35"/>
  <c r="M21" i="35"/>
  <c r="L21" i="35"/>
  <c r="K21" i="35"/>
  <c r="J21" i="35"/>
  <c r="I21" i="35"/>
  <c r="H21" i="35"/>
  <c r="G21" i="35"/>
  <c r="F21" i="35"/>
  <c r="E21" i="35"/>
  <c r="D21" i="35"/>
  <c r="C21" i="35"/>
  <c r="T20" i="35"/>
  <c r="S20" i="35"/>
  <c r="R20" i="35"/>
  <c r="Q20" i="35"/>
  <c r="P20" i="35"/>
  <c r="O20" i="35"/>
  <c r="N20" i="35"/>
  <c r="M20" i="35"/>
  <c r="L20" i="35"/>
  <c r="K20" i="35"/>
  <c r="J20" i="35"/>
  <c r="I20" i="35"/>
  <c r="H20" i="35"/>
  <c r="G20" i="35"/>
  <c r="F20" i="35"/>
  <c r="E20" i="35"/>
  <c r="D20" i="35"/>
  <c r="C20" i="35"/>
  <c r="T19" i="35"/>
  <c r="S19" i="35"/>
  <c r="R19" i="35"/>
  <c r="Q19" i="35"/>
  <c r="P19" i="35"/>
  <c r="O19" i="35"/>
  <c r="N19" i="35"/>
  <c r="M19" i="35"/>
  <c r="L19" i="35"/>
  <c r="K19" i="35"/>
  <c r="J19" i="35"/>
  <c r="I19" i="35"/>
  <c r="H19" i="35"/>
  <c r="G19" i="35"/>
  <c r="F19" i="35"/>
  <c r="E19" i="35"/>
  <c r="D19" i="35"/>
  <c r="C19" i="35"/>
  <c r="T18" i="35"/>
  <c r="S18" i="35"/>
  <c r="R18" i="35"/>
  <c r="Q18" i="35"/>
  <c r="P18" i="35"/>
  <c r="O18" i="35"/>
  <c r="N18" i="35"/>
  <c r="M18" i="35"/>
  <c r="L18" i="35"/>
  <c r="K18" i="35"/>
  <c r="J18" i="35"/>
  <c r="I18" i="35"/>
  <c r="H18" i="35"/>
  <c r="G18" i="35"/>
  <c r="F18" i="35"/>
  <c r="E18" i="35"/>
  <c r="D18" i="35"/>
  <c r="C18" i="35"/>
  <c r="T17" i="35"/>
  <c r="S17" i="35"/>
  <c r="R17" i="35"/>
  <c r="Q17" i="35"/>
  <c r="P17" i="35"/>
  <c r="O17" i="35"/>
  <c r="N17" i="35"/>
  <c r="M17" i="35"/>
  <c r="L17" i="35"/>
  <c r="K17" i="35"/>
  <c r="J17" i="35"/>
  <c r="I17" i="35"/>
  <c r="H17" i="35"/>
  <c r="G17" i="35"/>
  <c r="F17" i="35"/>
  <c r="E17" i="35"/>
  <c r="D17" i="35"/>
  <c r="C17" i="35"/>
  <c r="T16" i="35"/>
  <c r="S16" i="35"/>
  <c r="R16" i="35"/>
  <c r="Q16" i="35"/>
  <c r="P16" i="35"/>
  <c r="O16" i="35"/>
  <c r="N16" i="35"/>
  <c r="M16" i="35"/>
  <c r="L16" i="35"/>
  <c r="K16" i="35"/>
  <c r="J16" i="35"/>
  <c r="I16" i="35"/>
  <c r="H16" i="35"/>
  <c r="G16" i="35"/>
  <c r="F16" i="35"/>
  <c r="E16" i="35"/>
  <c r="D16" i="35"/>
  <c r="C16" i="35"/>
  <c r="T15" i="35"/>
  <c r="S15" i="35"/>
  <c r="R15" i="35"/>
  <c r="Q15" i="35"/>
  <c r="P15" i="35"/>
  <c r="O15" i="35"/>
  <c r="N15" i="35"/>
  <c r="M15" i="35"/>
  <c r="L15" i="35"/>
  <c r="K15" i="35"/>
  <c r="J15" i="35"/>
  <c r="I15" i="35"/>
  <c r="H15" i="35"/>
  <c r="G15" i="35"/>
  <c r="F15" i="35"/>
  <c r="E15" i="35"/>
  <c r="D15" i="35"/>
  <c r="C15" i="35"/>
  <c r="T14" i="35"/>
  <c r="S14" i="35"/>
  <c r="R14" i="35"/>
  <c r="Q14" i="35"/>
  <c r="P14" i="35"/>
  <c r="O14" i="35"/>
  <c r="N14" i="35"/>
  <c r="M14" i="35"/>
  <c r="L14" i="35"/>
  <c r="K14" i="35"/>
  <c r="J14" i="35"/>
  <c r="I14" i="35"/>
  <c r="H14" i="35"/>
  <c r="G14" i="35"/>
  <c r="F14" i="35"/>
  <c r="E14" i="35"/>
  <c r="D14" i="35"/>
  <c r="C14" i="35"/>
  <c r="T13" i="35"/>
  <c r="S13" i="35"/>
  <c r="R13" i="35"/>
  <c r="Q13" i="35"/>
  <c r="P13" i="35"/>
  <c r="O13" i="35"/>
  <c r="N13" i="35"/>
  <c r="M13" i="35"/>
  <c r="L13" i="35"/>
  <c r="K13" i="35"/>
  <c r="J13" i="35"/>
  <c r="I13" i="35"/>
  <c r="H13" i="35"/>
  <c r="G13" i="35"/>
  <c r="F13" i="35"/>
  <c r="E13" i="35"/>
  <c r="D13" i="35"/>
  <c r="C13" i="35"/>
  <c r="T12" i="35"/>
  <c r="S12" i="35"/>
  <c r="R12" i="35"/>
  <c r="Q12" i="35"/>
  <c r="P12" i="35"/>
  <c r="O12" i="35"/>
  <c r="N12" i="35"/>
  <c r="M12" i="35"/>
  <c r="L12" i="35"/>
  <c r="K12" i="35"/>
  <c r="J12" i="35"/>
  <c r="I12" i="35"/>
  <c r="H12" i="35"/>
  <c r="G12" i="35"/>
  <c r="F12" i="35"/>
  <c r="E12" i="35"/>
  <c r="D12" i="35"/>
  <c r="C12" i="35"/>
  <c r="T11" i="35"/>
  <c r="S11" i="35"/>
  <c r="R11" i="35"/>
  <c r="Q11" i="35"/>
  <c r="P11" i="35"/>
  <c r="O11" i="35"/>
  <c r="N11" i="35"/>
  <c r="M11" i="35"/>
  <c r="L11" i="35"/>
  <c r="K11" i="35"/>
  <c r="J11" i="35"/>
  <c r="I11" i="35"/>
  <c r="H11" i="35"/>
  <c r="G11" i="35"/>
  <c r="F11" i="35"/>
  <c r="E11" i="35"/>
  <c r="D11" i="35"/>
  <c r="C11" i="35"/>
  <c r="T10" i="35"/>
  <c r="S10" i="35"/>
  <c r="R10" i="35"/>
  <c r="Q10" i="35"/>
  <c r="P10" i="35"/>
  <c r="O10" i="35"/>
  <c r="N10" i="35"/>
  <c r="M10" i="35"/>
  <c r="L10" i="35"/>
  <c r="K10" i="35"/>
  <c r="J10" i="35"/>
  <c r="I10" i="35"/>
  <c r="H10" i="35"/>
  <c r="G10" i="35"/>
  <c r="F10" i="35"/>
  <c r="E10" i="35"/>
  <c r="D10" i="35"/>
  <c r="C10" i="35"/>
  <c r="T9" i="35"/>
  <c r="S9" i="35"/>
  <c r="R9" i="35"/>
  <c r="Q9" i="35"/>
  <c r="P9" i="35"/>
  <c r="O9" i="35"/>
  <c r="N9" i="35"/>
  <c r="M9" i="35"/>
  <c r="L9" i="35"/>
  <c r="K9" i="35"/>
  <c r="J9" i="35"/>
  <c r="I9" i="35"/>
  <c r="H9" i="35"/>
  <c r="G9" i="35"/>
  <c r="F9" i="35"/>
  <c r="E9" i="35"/>
  <c r="D9" i="35"/>
  <c r="C9" i="35"/>
  <c r="T8" i="35"/>
  <c r="S8" i="35"/>
  <c r="R8" i="35"/>
  <c r="Q8" i="35"/>
  <c r="P8" i="35"/>
  <c r="O8" i="35"/>
  <c r="N8" i="35"/>
  <c r="M8" i="35"/>
  <c r="L8" i="35"/>
  <c r="K8" i="35"/>
  <c r="J8" i="35"/>
  <c r="I8" i="35"/>
  <c r="H8" i="35"/>
  <c r="G8" i="35"/>
  <c r="F8" i="35"/>
  <c r="E8" i="35"/>
  <c r="D8" i="35"/>
  <c r="C8" i="35"/>
  <c r="T7" i="35"/>
  <c r="S7" i="35"/>
  <c r="R7" i="35"/>
  <c r="Q7" i="35"/>
  <c r="P7" i="35"/>
  <c r="O7" i="35"/>
  <c r="N7" i="35"/>
  <c r="M7" i="35"/>
  <c r="L7" i="35"/>
  <c r="K7" i="35"/>
  <c r="J7" i="35"/>
  <c r="I7" i="35"/>
  <c r="H7" i="35"/>
  <c r="G7" i="35"/>
  <c r="F7" i="35"/>
  <c r="E7" i="35"/>
  <c r="D7" i="35"/>
  <c r="C7" i="35"/>
  <c r="T6" i="35"/>
  <c r="S6" i="35"/>
  <c r="R6" i="35"/>
  <c r="Q6" i="35"/>
  <c r="P6" i="35"/>
  <c r="O6" i="35"/>
  <c r="N6" i="35"/>
  <c r="M6" i="35"/>
  <c r="L6" i="35"/>
  <c r="K6" i="35"/>
  <c r="J6" i="35"/>
  <c r="I6" i="35"/>
  <c r="H6" i="35"/>
  <c r="G6" i="35"/>
  <c r="F6" i="35"/>
  <c r="E6" i="35"/>
  <c r="D6" i="35"/>
  <c r="C6" i="35"/>
  <c r="T5" i="35"/>
  <c r="S5" i="35"/>
  <c r="R5" i="35"/>
  <c r="Q5" i="35"/>
  <c r="P5" i="35"/>
  <c r="O5" i="35"/>
  <c r="N5" i="35"/>
  <c r="M5" i="35"/>
  <c r="L5" i="35"/>
  <c r="K5" i="35"/>
  <c r="J5" i="35"/>
  <c r="I5" i="35"/>
  <c r="H5" i="35"/>
  <c r="G5" i="35"/>
  <c r="F5" i="35"/>
  <c r="E5" i="35"/>
  <c r="D5" i="35"/>
  <c r="C5" i="35"/>
  <c r="T4" i="35"/>
  <c r="S4" i="35"/>
  <c r="R4" i="35"/>
  <c r="Q4" i="35"/>
  <c r="P4" i="35"/>
  <c r="O4" i="35"/>
  <c r="N4" i="35"/>
  <c r="M4" i="35"/>
  <c r="L4" i="35"/>
  <c r="K4" i="35"/>
  <c r="J4" i="35"/>
  <c r="I4" i="35"/>
  <c r="H4" i="35"/>
  <c r="G4" i="35"/>
  <c r="F4" i="35"/>
  <c r="E4" i="35"/>
  <c r="D4" i="35"/>
  <c r="C4" i="35"/>
  <c r="G3" i="35"/>
  <c r="F3" i="35" s="1"/>
  <c r="E3" i="35" s="1"/>
  <c r="D3" i="35" s="1"/>
  <c r="C3" i="35" s="1"/>
  <c r="G2" i="35"/>
  <c r="H64" i="35" l="1"/>
  <c r="P64" i="35"/>
  <c r="L64" i="35"/>
  <c r="T64" i="35"/>
  <c r="J64" i="35"/>
  <c r="N64" i="35"/>
  <c r="R64" i="35"/>
  <c r="I64" i="35"/>
  <c r="M64" i="35"/>
  <c r="Q64" i="35"/>
  <c r="H3" i="35"/>
  <c r="I3" i="35" s="1"/>
  <c r="J3" i="35" s="1"/>
  <c r="K3" i="35" s="1"/>
  <c r="L3" i="35" s="1"/>
  <c r="M3" i="35" s="1"/>
  <c r="N3" i="35" s="1"/>
  <c r="O3" i="35" s="1"/>
  <c r="P3" i="35" s="1"/>
  <c r="Q3" i="35" s="1"/>
  <c r="R3" i="35" s="1"/>
  <c r="S3" i="35" s="1"/>
  <c r="T3" i="35" s="1"/>
  <c r="H63" i="35"/>
  <c r="L63" i="35"/>
  <c r="P63" i="35"/>
  <c r="T63" i="35"/>
  <c r="I63" i="35"/>
  <c r="M63" i="35"/>
  <c r="Q63" i="35"/>
  <c r="J63" i="35"/>
  <c r="N63" i="35"/>
  <c r="R63" i="35"/>
  <c r="G63" i="35"/>
  <c r="K63" i="35"/>
  <c r="O63" i="35"/>
  <c r="S63" i="35"/>
  <c r="H35" i="33"/>
  <c r="G35" i="33"/>
  <c r="G32" i="33" l="1"/>
  <c r="H32" i="33"/>
  <c r="I32" i="33"/>
  <c r="J32" i="33"/>
  <c r="K32" i="33"/>
  <c r="L32" i="33"/>
  <c r="M32" i="33"/>
  <c r="N32" i="33"/>
  <c r="O32" i="33"/>
  <c r="F32" i="33"/>
  <c r="F86" i="33"/>
  <c r="P86" i="33"/>
  <c r="F66" i="33" l="1"/>
  <c r="G66" i="33"/>
  <c r="P85" i="33" l="1"/>
  <c r="P84" i="33"/>
  <c r="P83" i="33"/>
  <c r="P82" i="33"/>
  <c r="P81" i="33"/>
  <c r="P80" i="33"/>
  <c r="P79" i="33"/>
  <c r="P78" i="33"/>
  <c r="P77" i="33"/>
  <c r="P76" i="33"/>
  <c r="P75" i="33"/>
  <c r="P74" i="33"/>
  <c r="P73" i="33"/>
  <c r="P72" i="33"/>
  <c r="P71" i="33"/>
  <c r="P70" i="33"/>
  <c r="P69" i="33"/>
  <c r="P68" i="33"/>
  <c r="P67" i="33"/>
  <c r="P66" i="33"/>
  <c r="G65" i="33"/>
  <c r="P65" i="33" s="1"/>
  <c r="G64" i="33"/>
  <c r="P64" i="33" s="1"/>
  <c r="F64" i="33"/>
  <c r="P63" i="33"/>
  <c r="F63" i="33"/>
  <c r="G62" i="33"/>
  <c r="P62" i="33" s="1"/>
  <c r="F62" i="33"/>
  <c r="P61" i="33"/>
  <c r="P60" i="33"/>
  <c r="P59" i="33"/>
  <c r="P58" i="33"/>
  <c r="P57" i="33"/>
  <c r="P56" i="33"/>
  <c r="F56" i="33"/>
  <c r="P55" i="33"/>
  <c r="P54" i="33"/>
  <c r="G53" i="33"/>
  <c r="P53" i="33" s="1"/>
  <c r="F53" i="33"/>
  <c r="P52" i="33"/>
  <c r="F52" i="33"/>
  <c r="P51" i="33"/>
  <c r="F51" i="33"/>
  <c r="P50" i="33"/>
  <c r="P49" i="33"/>
  <c r="P48" i="33"/>
  <c r="P47" i="33"/>
  <c r="P46" i="33"/>
  <c r="G45" i="33"/>
  <c r="P45" i="33" s="1"/>
  <c r="H44" i="33"/>
  <c r="P43" i="33"/>
  <c r="P42" i="33"/>
  <c r="F42" i="33"/>
  <c r="P41" i="33"/>
  <c r="P40" i="33"/>
  <c r="P39" i="33"/>
  <c r="P38" i="33"/>
  <c r="F38" i="33"/>
  <c r="G37" i="33"/>
  <c r="P37" i="33" s="1"/>
  <c r="F37" i="33"/>
  <c r="P36" i="33"/>
  <c r="F36" i="33"/>
  <c r="I35" i="33"/>
  <c r="P34" i="33"/>
  <c r="P33" i="33"/>
  <c r="F33" i="33"/>
  <c r="P31" i="33"/>
  <c r="P30" i="33"/>
  <c r="H30" i="33"/>
  <c r="P29" i="33"/>
  <c r="I28" i="33"/>
  <c r="I27" i="33" s="1"/>
  <c r="H28" i="33"/>
  <c r="H27" i="33" s="1"/>
  <c r="G28" i="33"/>
  <c r="F28" i="33"/>
  <c r="F27" i="33" s="1"/>
  <c r="O27" i="33"/>
  <c r="O26" i="33" s="1"/>
  <c r="N27" i="33"/>
  <c r="M27" i="33"/>
  <c r="L27" i="33"/>
  <c r="K27" i="33"/>
  <c r="J27" i="33"/>
  <c r="M26" i="33"/>
  <c r="P23" i="33"/>
  <c r="O23" i="33"/>
  <c r="N23" i="33"/>
  <c r="M23" i="33"/>
  <c r="L23" i="33"/>
  <c r="K23" i="33"/>
  <c r="J23" i="33"/>
  <c r="I23" i="33"/>
  <c r="H23" i="33"/>
  <c r="G23" i="33"/>
  <c r="F23" i="33"/>
  <c r="H22" i="33"/>
  <c r="H21" i="33" s="1"/>
  <c r="G22" i="33"/>
  <c r="G21" i="33" s="1"/>
  <c r="F22" i="33"/>
  <c r="F21" i="33" s="1"/>
  <c r="O21" i="33"/>
  <c r="N21" i="33"/>
  <c r="M21" i="33"/>
  <c r="L21" i="33"/>
  <c r="K21" i="33"/>
  <c r="J21" i="33"/>
  <c r="I21" i="33"/>
  <c r="G20" i="33"/>
  <c r="P20" i="33" s="1"/>
  <c r="F20" i="33"/>
  <c r="P19" i="33"/>
  <c r="G18" i="33"/>
  <c r="P18" i="33" s="1"/>
  <c r="F18" i="33"/>
  <c r="F11" i="33" s="1"/>
  <c r="P17" i="33"/>
  <c r="P16" i="33"/>
  <c r="P15" i="33"/>
  <c r="G14" i="33"/>
  <c r="P14" i="33" s="1"/>
  <c r="G13" i="33"/>
  <c r="G12" i="33"/>
  <c r="P12" i="33" s="1"/>
  <c r="O11" i="33"/>
  <c r="O8" i="33" s="1"/>
  <c r="N11" i="33"/>
  <c r="N10" i="33" s="1"/>
  <c r="M11" i="33"/>
  <c r="M8" i="33" s="1"/>
  <c r="L11" i="33"/>
  <c r="L10" i="33" s="1"/>
  <c r="K11" i="33"/>
  <c r="K8" i="33" s="1"/>
  <c r="J11" i="33"/>
  <c r="J10" i="33" s="1"/>
  <c r="I11" i="33"/>
  <c r="I10" i="33" s="1"/>
  <c r="H11" i="33"/>
  <c r="H10" i="33" s="1"/>
  <c r="G11" i="33" l="1"/>
  <c r="L26" i="33"/>
  <c r="N9" i="33"/>
  <c r="F9" i="33"/>
  <c r="M10" i="33"/>
  <c r="P13" i="33"/>
  <c r="P11" i="33" s="1"/>
  <c r="L9" i="33"/>
  <c r="P35" i="33"/>
  <c r="P32" i="33" s="1"/>
  <c r="H26" i="33"/>
  <c r="H7" i="33" s="1"/>
  <c r="N26" i="33"/>
  <c r="N7" i="33" s="1"/>
  <c r="L7" i="33"/>
  <c r="J9" i="33"/>
  <c r="K26" i="33"/>
  <c r="J26" i="33"/>
  <c r="J7" i="33" s="1"/>
  <c r="K10" i="33"/>
  <c r="K7" i="33" s="1"/>
  <c r="G10" i="33"/>
  <c r="O10" i="33"/>
  <c r="O7" i="33" s="1"/>
  <c r="M7" i="33"/>
  <c r="I9" i="33"/>
  <c r="M9" i="33"/>
  <c r="P22" i="33"/>
  <c r="P21" i="33" s="1"/>
  <c r="P44" i="33"/>
  <c r="H9" i="33"/>
  <c r="P28" i="33"/>
  <c r="P27" i="33" s="1"/>
  <c r="I26" i="33"/>
  <c r="I7" i="33" s="1"/>
  <c r="I8" i="33"/>
  <c r="F10" i="33"/>
  <c r="F8" i="33"/>
  <c r="J8" i="33"/>
  <c r="N8" i="33"/>
  <c r="K9" i="33"/>
  <c r="O9" i="33"/>
  <c r="G27" i="33"/>
  <c r="G9" i="33"/>
  <c r="H8" i="33"/>
  <c r="L8" i="33"/>
  <c r="F26" i="33" l="1"/>
  <c r="P26" i="33"/>
  <c r="P7" i="33" s="1"/>
  <c r="F7" i="33"/>
  <c r="P8" i="33"/>
  <c r="P10" i="33"/>
  <c r="P9" i="33"/>
  <c r="G26" i="33"/>
  <c r="G7" i="33" s="1"/>
  <c r="G8" i="33"/>
</calcChain>
</file>

<file path=xl/sharedStrings.xml><?xml version="1.0" encoding="utf-8"?>
<sst xmlns="http://schemas.openxmlformats.org/spreadsheetml/2006/main" count="575" uniqueCount="356">
  <si>
    <t>Wykaz przedsięwzięć wieloletnich</t>
  </si>
  <si>
    <t>Lp.</t>
  </si>
  <si>
    <t>Nazwa i cel przedsięwzięcia</t>
  </si>
  <si>
    <t>Jednostka odpowiedzialna                                          lub koordynująca program</t>
  </si>
  <si>
    <t>Okres realizacji programu</t>
  </si>
  <si>
    <t>Łączne nakłady finansowe</t>
  </si>
  <si>
    <t>Limit zobowiązań</t>
  </si>
  <si>
    <t>od</t>
  </si>
  <si>
    <t>do</t>
  </si>
  <si>
    <t>1.</t>
  </si>
  <si>
    <t>Wydatki na przedsięwzięcia - ogółem (1.1.+1.2.+1.3.), z tego:</t>
  </si>
  <si>
    <t>1.a</t>
  </si>
  <si>
    <t>wydatki bieżące</t>
  </si>
  <si>
    <t>1.b</t>
  </si>
  <si>
    <t>wydatki majątkowe</t>
  </si>
  <si>
    <t>1.1.</t>
  </si>
  <si>
    <t>1.1.1.</t>
  </si>
  <si>
    <t>Powiatowe Centrum Pomocy Rodzinie</t>
  </si>
  <si>
    <t>Zespół Szkół Ekonomiczno-Gastronomicznych</t>
  </si>
  <si>
    <t>1.1.1.4</t>
  </si>
  <si>
    <t>1.1.1.5</t>
  </si>
  <si>
    <t>Poprawa funkcjonowania osób niesamodzielnych z terenu powiatu otwockiego poprzez uruchomienie usług socjalnych świadczonych w formie wsparcia dziennego</t>
  </si>
  <si>
    <t>Poznawanie europejskiego rynku pracy</t>
  </si>
  <si>
    <t>1.1.2.</t>
  </si>
  <si>
    <t>Starostwo Powiatowe</t>
  </si>
  <si>
    <t>1.2.</t>
  </si>
  <si>
    <t>Wydatki na programy, projekty lub zadania związane z umowami partnerstwa publiczno-prywatnego, z tego:</t>
  </si>
  <si>
    <t>1.2.1.</t>
  </si>
  <si>
    <t>1.2.2.</t>
  </si>
  <si>
    <t>1.3.</t>
  </si>
  <si>
    <t>Wydatki na programy, projekty lub zadania pozostałe (inne niż wymienione w pkt 1.1, 1.2), z tego:</t>
  </si>
  <si>
    <t>1.3.1.</t>
  </si>
  <si>
    <t>1.3.1.1</t>
  </si>
  <si>
    <t>Dotacja na zadania z zakresu prowadzenia centrum interwencji kryzysowej</t>
  </si>
  <si>
    <t>1.3.1.2</t>
  </si>
  <si>
    <t>Ośrodek koordynacyjno-rehabilitacyjno-opiekuńczy w ramach programu "Za życiem"</t>
  </si>
  <si>
    <t>Specjalny Ośrodek Szkolno-Wychowawczy Nr 2</t>
  </si>
  <si>
    <t>1.3.2.</t>
  </si>
  <si>
    <t>1.3.2.1</t>
  </si>
  <si>
    <t>Budowa chodnika przy drodze powiatowej Nr 2709W w Czarnówce od skrzyżowania w Gliniance</t>
  </si>
  <si>
    <t>Zarząd Dróg Powiatowych</t>
  </si>
  <si>
    <t>1.3.2.2</t>
  </si>
  <si>
    <t>1.3.2.3</t>
  </si>
  <si>
    <t>Przebudowa i rozbudowa budynku w Otwocku przy ul. Komunardów wraz z towarzyszącą infrastrukturą na potrzeby siedziby Starostwa i jednostek organizacyjnych powiatu</t>
  </si>
  <si>
    <t>1.3.2.5</t>
  </si>
  <si>
    <t>1.3.2.6</t>
  </si>
  <si>
    <t>1.3.2.7</t>
  </si>
  <si>
    <t>1.3.2.8</t>
  </si>
  <si>
    <t>Przebudowa sygnalizacji świetlnej na skrzyżowaniu dróg powiatowych Nr 2765W - ul. Kołłątaja i Nr 2763W - ul. Majowej w Otwocku</t>
  </si>
  <si>
    <t>1.3.2.9</t>
  </si>
  <si>
    <t>1.3.2.10</t>
  </si>
  <si>
    <t>Budowa drogi powiatowej Nr 1311W w Natolinie</t>
  </si>
  <si>
    <t>1.3.2.11</t>
  </si>
  <si>
    <t>1.3.2.12</t>
  </si>
  <si>
    <t>Modernizacja drogi powiatowej Nr 2737W Anielinek-Sępochów-Rudno</t>
  </si>
  <si>
    <t>1.3.2.13</t>
  </si>
  <si>
    <t>1.3.2.14</t>
  </si>
  <si>
    <t>1.3.2.15</t>
  </si>
  <si>
    <t>Wykonanie nakładki asfaltobetonowej na drodze powiatowej Nr 2728W w Ostrówcu</t>
  </si>
  <si>
    <t>1.3.2.16</t>
  </si>
  <si>
    <t>Modernizacja drogi powiatowej Nr 2729W Kępa Gliniecka - Otwock Wielki - Otwock Mały - Karczew od drogi krajowej Nr 50 w kierunku wsi Glinki</t>
  </si>
  <si>
    <t>1.3.2.17</t>
  </si>
  <si>
    <t>1.3.2.18</t>
  </si>
  <si>
    <t>Modernizacja drogi powiatowej Nr 2739W w Radachówce</t>
  </si>
  <si>
    <t>1.3.2.19</t>
  </si>
  <si>
    <t>1.3.2.20</t>
  </si>
  <si>
    <t>1.3.2.21</t>
  </si>
  <si>
    <t>Przebudowa drogi powiatowej Nr 2705W - ul. Kąckiej w Wiązownie</t>
  </si>
  <si>
    <t>1.3.2.22</t>
  </si>
  <si>
    <t>1.3.2.23</t>
  </si>
  <si>
    <t>1.3.2.24</t>
  </si>
  <si>
    <t>1.3.2.25</t>
  </si>
  <si>
    <t>Modernizacja drogi powiatowej Nr 1303W we wsi Śniadków Dolny</t>
  </si>
  <si>
    <t>1.3.2.26</t>
  </si>
  <si>
    <t xml:space="preserve">Dom Pomocy Społecznej "Wrzos" </t>
  </si>
  <si>
    <t>1.3.2.27</t>
  </si>
  <si>
    <t>1.3.2.28</t>
  </si>
  <si>
    <t>1.3.2.29</t>
  </si>
  <si>
    <t>Modernizacja drogi powiatowej Nr 2706W Glinianka - Poręby</t>
  </si>
  <si>
    <t>1.3.2.30</t>
  </si>
  <si>
    <t>Budowa chodnika w drodze powiatowej Nr 2729W - ul. Częstochowskiej w Karczewie</t>
  </si>
  <si>
    <t>Budowa chodnika w drodze powiatowej Nr 2745W w miejscowości Kąty</t>
  </si>
  <si>
    <t xml:space="preserve">Rozbudowa szatni w Zespole Szkół Nr 1 w Otwocku wraz z przebudową części istniejącej </t>
  </si>
  <si>
    <t>Modernizacja drogi powiatowej Nr 2745W w Antoninku</t>
  </si>
  <si>
    <t>Modernizacja drogi powiatowej Nr 2744W w Ponurzycy</t>
  </si>
  <si>
    <t>Modernizacja drogi powiatowej Nr 2751W Sobienie Kiełczewskie-Zuzanów-Czarnowiec</t>
  </si>
  <si>
    <t>Modernizacja drogi powiatowej Nr 2752W Władysławów-Zambrzyków Stary-Sobienie Kiełczewskie</t>
  </si>
  <si>
    <t>Wykonanie nakładki asflatobetonowej na drodze powiatowej Nr 2741W w Kołbieli</t>
  </si>
  <si>
    <t>Modernizacja drogi powiatowej Nr 2746W Grabianka - Górki - Osieck</t>
  </si>
  <si>
    <t>Modernizacja drogi powiatowej Nr 1302W Piwonin - Wysoczyn - Szymanowice</t>
  </si>
  <si>
    <t xml:space="preserve">Modernizacja drogi powiatowej Nr 2712W w miejscowości Kruszówiec </t>
  </si>
  <si>
    <t>1.3.2.31</t>
  </si>
  <si>
    <t>1.3.2.32</t>
  </si>
  <si>
    <t>1.3.2.33</t>
  </si>
  <si>
    <t>1.3.2.34</t>
  </si>
  <si>
    <t>Zespół Szkół Nr 1</t>
  </si>
  <si>
    <t>Wykonanie nakładki asfaltobetonowej na drodze powiatowej Nr 2726W przez Sobiekursk</t>
  </si>
  <si>
    <t>Przebudowa drogi powiatowej Nr 2245 W m. Dobrzyniec, gmina Kołbiel</t>
  </si>
  <si>
    <t>1.1.1.1</t>
  </si>
  <si>
    <t>1.1.1.2</t>
  </si>
  <si>
    <t>1.1.1.3</t>
  </si>
  <si>
    <t>1.1.1.6</t>
  </si>
  <si>
    <t>1.3.2.35</t>
  </si>
  <si>
    <t>1.1.1.7</t>
  </si>
  <si>
    <t>1.1.1.8</t>
  </si>
  <si>
    <t>Podniesienie jakości kształcenia zawodowego w Zespole Szkół nr 2 w Otwocku</t>
  </si>
  <si>
    <t>Podniesienie jakości kształcenia zawodowego w Zespole Szkół Ekonomiczno-Gastronomicznych w Otwocku</t>
  </si>
  <si>
    <t>Zespół Szkół Nr 2</t>
  </si>
  <si>
    <t>Wykonanie nakładki asfaltobetonowej na drodze powiatowej Nr 2739W w Gadce na odcinku od drogi krajowej  Nr 17 do miejscowości Gadka</t>
  </si>
  <si>
    <t>1.3.2.36</t>
  </si>
  <si>
    <t>1.3.2.37</t>
  </si>
  <si>
    <t>1.3.2.38</t>
  </si>
  <si>
    <t>1.3.2.39</t>
  </si>
  <si>
    <t>Wykonanie ZRIDu ciągu pieszo-rowerowego między Izabelą a Zakrętem w ramach poprawy bezpieczeństwa na drodze powiatowej nr 2702W</t>
  </si>
  <si>
    <t>Budowa hali sportowej przy Zespole Szkół Nr 2 im. Marii Skłodowskiej-Curie w Otwocku</t>
  </si>
  <si>
    <t>1.3.2.40</t>
  </si>
  <si>
    <t>Aktywna integracja w powiecie otwockim</t>
  </si>
  <si>
    <t>Rozbudowa skrzyżowania dróg powiatowych Nr 2754W –                              ul. Reymonta i Nr 2758W – ul. Samorządowej w Otwocku na skrzyżowanie typu rondo</t>
  </si>
  <si>
    <t>Rozbudowa na rondo skrzyżowania dróg powiatowych Nr 2775W ul. Stare Miasto  i  Nr 2724W ul. Żaboklickiego  z drogą gminną ul. Bielińskiego w Karczewie</t>
  </si>
  <si>
    <t>1.3.2.41</t>
  </si>
  <si>
    <t>Przebudowa dróg powiatowych nr 2762W i 2763W - ul. Kraszewskiego i Majowej w Otwocku</t>
  </si>
  <si>
    <t>Wydatki na programy, projekty lub zadania związane z programami realizowanymi z udziałem środków, o których mowa w art. 5 ust. 1 pkt 2 i 3 ustawy z dnia 27 sierpnia 2009 r. o finansach publicznych (t.j. Dz. U. z 2019 r. poz. 869, z późn. zm.), z tego:</t>
  </si>
  <si>
    <t>1.3.2.42</t>
  </si>
  <si>
    <t>1.3.1.3</t>
  </si>
  <si>
    <t>Wypracowanie i pilotażowe wdrożenie modelu kompleksowej rehabilitacji umożliwiającej podjęcie lub powrót do pracy</t>
  </si>
  <si>
    <t>Wieloletnia prognoza finansowa</t>
  </si>
  <si>
    <t xml:space="preserve">Wykonanie </t>
  </si>
  <si>
    <t>Plan 3 kw.</t>
  </si>
  <si>
    <t>Wyszczególnienie</t>
  </si>
  <si>
    <t>Dochody ogółem</t>
  </si>
  <si>
    <t>1.1</t>
  </si>
  <si>
    <t>1.1.1</t>
  </si>
  <si>
    <t>dochody z tytułu udziału we wpływach z podatku dochodowego od osób fizycznych</t>
  </si>
  <si>
    <t>1.1.2</t>
  </si>
  <si>
    <t>dochody z tytułu udziału we wpływach z podatku dochodowego od osób prawnych</t>
  </si>
  <si>
    <t>1.1.3</t>
  </si>
  <si>
    <t>z podatku od nieruchomości</t>
  </si>
  <si>
    <t>1.1.4</t>
  </si>
  <si>
    <t>z subwencji ogólnej</t>
  </si>
  <si>
    <t>1.1.5</t>
  </si>
  <si>
    <t>z tytułu dotacji i środków przeznaczonych na cele bieżące</t>
  </si>
  <si>
    <t>1.2</t>
  </si>
  <si>
    <t>1.2.1</t>
  </si>
  <si>
    <t>ze sprzedaży majątku</t>
  </si>
  <si>
    <t>1.2.2</t>
  </si>
  <si>
    <t>z tytułu dotacji oraz środków przeznaczonych na inwestycje</t>
  </si>
  <si>
    <t>Wydatki ogółem</t>
  </si>
  <si>
    <t>2.1</t>
  </si>
  <si>
    <t>Wydatki bieżące, w tym:</t>
  </si>
  <si>
    <t>2.1.1</t>
  </si>
  <si>
    <t>2.1.2</t>
  </si>
  <si>
    <t>2.1.3</t>
  </si>
  <si>
    <t>wydatki na obsługę długu, w tym:</t>
  </si>
  <si>
    <t>2.1.3.1</t>
  </si>
  <si>
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</si>
  <si>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2.2</t>
  </si>
  <si>
    <t>Wynik budżetu</t>
  </si>
  <si>
    <t>Przychody budżetu</t>
  </si>
  <si>
    <t>4.1</t>
  </si>
  <si>
    <t>4.1.1</t>
  </si>
  <si>
    <t>4.2</t>
  </si>
  <si>
    <t>4.2.1</t>
  </si>
  <si>
    <t>4.3</t>
  </si>
  <si>
    <t>4.3.1</t>
  </si>
  <si>
    <t>4.4</t>
  </si>
  <si>
    <t>4.4.1</t>
  </si>
  <si>
    <t>Rozchody budżetu</t>
  </si>
  <si>
    <t>5.1</t>
  </si>
  <si>
    <t>5.1.1</t>
  </si>
  <si>
    <t>5.1.1.1</t>
  </si>
  <si>
    <t>5.1.1.2</t>
  </si>
  <si>
    <t>5.1.1.3</t>
  </si>
  <si>
    <t>5.2</t>
  </si>
  <si>
    <t>Relacja zrównoważenia wydatków bieżących, o której mowa w art. 242 ustawy</t>
  </si>
  <si>
    <t>x</t>
  </si>
  <si>
    <t>8.1</t>
  </si>
  <si>
    <t>8.2</t>
  </si>
  <si>
    <t>Wskaźnik spłaty zobowiązań</t>
  </si>
  <si>
    <t>9.1</t>
  </si>
  <si>
    <t>9.2</t>
  </si>
  <si>
    <t>9.3</t>
  </si>
  <si>
    <t>Kwota zobowiązań związku współtworzonego przez jednostkę samorządu terytorialnego przypadających do spłaty w danym roku budżetowym, podlegająca doliczeniu zgodnie z art. 244 ustawy</t>
  </si>
  <si>
    <t>9.4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</si>
  <si>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</si>
  <si>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</si>
  <si>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10.1</t>
  </si>
  <si>
    <t>11.1</t>
  </si>
  <si>
    <t>11.2</t>
  </si>
  <si>
    <t>bieżące</t>
  </si>
  <si>
    <t>majątkowe</t>
  </si>
  <si>
    <t>Finansowanie programów, projektów lub zadań realizowanych z udziałem środków, o których mowa w art. 5 ust. 1 pkt 2 i 3 ustawy</t>
  </si>
  <si>
    <t>12.1</t>
  </si>
  <si>
    <t>12.2</t>
  </si>
  <si>
    <t>12.3</t>
  </si>
  <si>
    <t>Wydatki bieżące na programy, projekty lub zadania finansowane z udziałem środków, o których mowa w art. 5 ust. 1 pkt 2 i 3 ustawy</t>
  </si>
  <si>
    <t>Wydatki majątkowe na programy, projekty lub zadania finansowane z udziałem środków, o których mowa w art. 5 ust. 1 pkt 2 i 3 ustawy</t>
  </si>
  <si>
    <t>Wydatki bieżące na pokrycie ujemnego wyniku finansowego samodzielnego publicznego zakładu opieki zdrowotnej</t>
  </si>
  <si>
    <t>wypłaty z tytułu wymagalnych poręczeń i gwarancji</t>
  </si>
  <si>
    <t>Mobilni w Europie</t>
  </si>
  <si>
    <t>Rozbudowa drogi powiatowej Nr 2713W w miejscowościach Stara Wieś, Dąbrówka i Celestynów</t>
  </si>
  <si>
    <t>Przebudowa drogi powiatowej Nr 2724W Karczew - Janów</t>
  </si>
  <si>
    <t xml:space="preserve">Przebudowa drogi powiatowej Nr 2722W – ul. Głównej w Pogorzeli </t>
  </si>
  <si>
    <t xml:space="preserve">Zarząd Dróg Powiatowych </t>
  </si>
  <si>
    <t>Przebudowa drogi powiatowej Nr 2715W – ul. Brzozowej w Pogorzeli</t>
  </si>
  <si>
    <t>Przebudowa mostu w drodze powiatowej Nr 2722W w Pogorzeli</t>
  </si>
  <si>
    <t>Budowa chodnika na drodze powiatowej Nr 2733W – ul. Żurawinowa w Zabieżkach</t>
  </si>
  <si>
    <t>Rozbudowa drogi powiatowej Nr 2765W ul. Staszica i ul. Kołłątaja w Otwocku na odcinku od ul. Karczewskiej do mostu na rzece Świder</t>
  </si>
  <si>
    <t xml:space="preserve">Budowa ciągu pieszo-rowerowego w ul. Warszawskiej i Jana Pawła II w Otwocku na odc. od ul. Willowej do ul. Majowej </t>
  </si>
  <si>
    <t xml:space="preserve">Przebudowa drogi powiatowej Nr 2759W – ul. Poniatowskiego w Otwocku na odcinku ul. Pułaskiego do ul. Narutowicza </t>
  </si>
  <si>
    <t>Rozbudowa dróg powiatowych Nr 2715W ul. Armii Krajowej i Nr 2759W ul. Narutowicza z droga gminną ul. Armii Krajowej w Otwocku</t>
  </si>
  <si>
    <t xml:space="preserve">Budowa chodnika przy drodze powiatowej Nr 2743W w miejsc. Człekówka od drogi krajowej nr 50 do istniejącego chodnika </t>
  </si>
  <si>
    <t>Budowa chodnika w drodze powiatowej Nr 2743W w miejsc. Chrząszczówka</t>
  </si>
  <si>
    <t xml:space="preserve">Modernizacja drogi powiatowej Nr 2736W w miejsc. Teresin </t>
  </si>
  <si>
    <t xml:space="preserve">Rozbudowa drogi powiatowej Nr 1302W Piwonin - Wysoczyn - Szymanowice </t>
  </si>
  <si>
    <t xml:space="preserve">Rozbudowa drogi powiatowej Nr 2712W Wola Karczewska – Kruszówiec </t>
  </si>
  <si>
    <t>Rozbudowa drogi powiatowej Nr 2711W Czarnówka - Rzakta</t>
  </si>
  <si>
    <t xml:space="preserve">Budowa chodnika w drodze powiatowej Nr 2709W w  Bolesławowie </t>
  </si>
  <si>
    <t>Nauczyciele przyszłości</t>
  </si>
  <si>
    <t xml:space="preserve">Rozbudowa skrzyżowania drogi powiatowej Nr 2709W - ulicy Napoleońskiej z drogą powiatową Nr 2710W - ulicą Łąkową na pograniczu miejscowości Lipowo i Glinianka w gminie Wiązowna </t>
  </si>
  <si>
    <t>1.3.2.43</t>
  </si>
  <si>
    <t>1.3.2.44</t>
  </si>
  <si>
    <t>1.3.2.45</t>
  </si>
  <si>
    <t>1.3.2.46</t>
  </si>
  <si>
    <t>1.3.2.47</t>
  </si>
  <si>
    <t>1.3.2.48</t>
  </si>
  <si>
    <t>1.3.2.49</t>
  </si>
  <si>
    <t>1.3.2.50</t>
  </si>
  <si>
    <t>1.3.2.51</t>
  </si>
  <si>
    <t>1.3.2.52</t>
  </si>
  <si>
    <t>1.3.2.53</t>
  </si>
  <si>
    <t>Budowa boiska wielofunkcyjnego w Specjalnym Ośrodku Szkolno-Wychowawczym Nr 1 im. Marii Konopnickiej w Otwocku</t>
  </si>
  <si>
    <t>Specjalny Ośrodek Szkolno-Wychowawczy Nr 1</t>
  </si>
  <si>
    <t>Dochody bieżące, z tego:</t>
  </si>
  <si>
    <t>pozostałe dochody bieżące, w tym:</t>
  </si>
  <si>
    <t>1.1.5.1</t>
  </si>
  <si>
    <t>Dochody majątkowe, w tym:</t>
  </si>
  <si>
    <t>na wynagrodzenia i składki od nich naliczane</t>
  </si>
  <si>
    <t>z tytułu poręczeń i gwarancji, w tym:</t>
  </si>
  <si>
    <t>2.1.2.1</t>
  </si>
  <si>
    <t>gwarancje i poręczenia podlegające wyłączeniu z limitu spłaty zobowiązań, o którym mowa w art. 243 ustawy</t>
  </si>
  <si>
    <t>2.1.3.2</t>
  </si>
  <si>
    <t>odsetki i dyskonto podlegające wyłączeniu z limitu spłaty zobowiązań, o którym mowa w art. 243 ustawy, z tytułu zobowiązań zaciągniętych na wkład krajowy</t>
  </si>
  <si>
    <t>Wydatki majątkowe, w tym:</t>
  </si>
  <si>
    <t>2.2.1</t>
  </si>
  <si>
    <t>Inwestycje i zakupy inwestycyjne, o których mowa w art. 236 ust. 4 pkt 1 ustawy, w tym:</t>
  </si>
  <si>
    <t>2.2.1.1</t>
  </si>
  <si>
    <t>wydatki o charakterze dotacyjnym na inwestycje i zakupy inwestycyjne</t>
  </si>
  <si>
    <t>3.1</t>
  </si>
  <si>
    <t>Kwota prognozowanej nadwyżki budżetu przeznaczana na spłatę kredytów, pożyczek i wykup papierów wartościowych</t>
  </si>
  <si>
    <t>Kredyty, pożyczki, emisja papierów wartościowych, w tym:</t>
  </si>
  <si>
    <t>na pokrycie deficytu budżetu</t>
  </si>
  <si>
    <t>Nadwyżka budżetowa z lat ubiegłych, w tym:</t>
  </si>
  <si>
    <t>Wolne środki, o których mowa w art. 217 ust. 2 pkt 6 ustawy, w tym:</t>
  </si>
  <si>
    <t>Spłaty udzielonych pożyczek w latach ubiegłych, w tym:</t>
  </si>
  <si>
    <t>4.5</t>
  </si>
  <si>
    <t>Inne przychody niezwiązane z zaciągnięciem długu, w tym:</t>
  </si>
  <si>
    <t>4.5.1</t>
  </si>
  <si>
    <t>Spłaty rat kapitałowych kredytów i pożyczek oraz wykup papierów wartościowych, w tym:</t>
  </si>
  <si>
    <t>łączna kwota przypadających na dany rok kwot ustawowych wyłączeń z limitu spłaty zobowiązań, w tym:</t>
  </si>
  <si>
    <t>kwota przypadających na dany rok kwot wyłączeń określonych w art. 243 ust. 3 ustawy</t>
  </si>
  <si>
    <t>kwota przypadających na dany rok kwot wyłączeń określonych w art. 243 ust. 3a ustawy</t>
  </si>
  <si>
    <t>kwota wyłączeń z tytułu wcześniejszej spłaty zobowiązań, określonych w art. 243 ust. 3b ustawy, z tego:</t>
  </si>
  <si>
    <t>5.1.1.3.1</t>
  </si>
  <si>
    <t>środkami nowego zobowiązania</t>
  </si>
  <si>
    <t>5.1.1.3.2</t>
  </si>
  <si>
    <t>wolnymi środkami, o których mowa w art. 217 ust. 2 pkt 6 ustawy</t>
  </si>
  <si>
    <t>5.1.1.3.3</t>
  </si>
  <si>
    <t>innymi środkami</t>
  </si>
  <si>
    <t>Inne rozchody niezwiązane ze spłatą długu</t>
  </si>
  <si>
    <t>6</t>
  </si>
  <si>
    <t>Kwota długu, w tym:</t>
  </si>
  <si>
    <t>6.1</t>
  </si>
  <si>
    <t>kwota długu, którego planowana spłata dokona się z wydatków</t>
  </si>
  <si>
    <t>7.1</t>
  </si>
  <si>
    <t>Różnica między dochodami bieżącymi a wydatkami bieżącymi</t>
  </si>
  <si>
    <t>7.2</t>
  </si>
  <si>
    <t>Relacja określona po lewej stronie nierówności we wzorze, o którym mowa w art. 243 ust. 1 ustawy (po uwzględnieniu zobowiązań związku współtworzonego przez jednostkę samorządu terytorialnego oraz po uwzględnieniu ustawowych wyłączeń przypadających na dany rok)</t>
  </si>
  <si>
    <t>8.1_vROD_2020</t>
  </si>
  <si>
    <t>8.1_vROD_2026</t>
  </si>
  <si>
    <t>8.2_v2020</t>
  </si>
  <si>
    <t>8.2_v2026</t>
  </si>
  <si>
    <t>8.3</t>
  </si>
  <si>
    <t>Dopuszczalny limit spłaty zobowiązań określony po prawej stronie nierówności we wzorze, o którym mowa w art. 243 ustawy, po uwzględnieniu ustawowych wyłączeń, obliczony w oparciu o plan 3 kwartału roku poprzedzającego pierwszy rok prognozy (wskaźnik ustalony w oparciu o średnią arytmetyczną z poprzednich lat)</t>
  </si>
  <si>
    <t>8.3.1</t>
  </si>
  <si>
    <t>Dopuszczalny limit spłaty zobowiązań określony po prawej stronie nierówności we wzorze, o którym mowa w art. 243 ustawy, po uwzględnieniu ustawowych wyłączeń, obliczony w oparciu o wykonanie roku poprzedzającego pierwszy rok prognozy (wskaźnik ustalony w oparciu o średnią arytmetyczną z poprzednich lat)</t>
  </si>
  <si>
    <t>8.4</t>
  </si>
  <si>
    <t>8.4.1</t>
  </si>
  <si>
    <t>Dochody bieżące na programy, projekty lub zadania finansowane z udziałem środków, o których mowa w art. 5 ust. 1 pkt 2 i 3 ustawy</t>
  </si>
  <si>
    <t>9.1.1</t>
  </si>
  <si>
    <t>Dotacje i środki o charakterze bieżącym na realizację programu, projektu lub zadania finansowanego z udziałem środków, o których mowa w art. 5 ust. 1 pkt 2 ustawy, w tym:</t>
  </si>
  <si>
    <t>9.1.1.1</t>
  </si>
  <si>
    <t>środki określone w art. 5 ust. 1 pkt 2 ustawy</t>
  </si>
  <si>
    <t>Dochody majątkowe na programy, projekty lub zadania finansowane z udziałem środków, o których mowa w art. 5 ust. 1 pkt 2 i 3 ustawy</t>
  </si>
  <si>
    <t>9.2.1</t>
  </si>
  <si>
    <t>Dochody majątkowe na programy, projekty lub zadania finansowane z udziałem środków, o których mowa w art. 5 ust. 1 pkt 2 ustawy, w tym:</t>
  </si>
  <si>
    <t>9.2.1.1</t>
  </si>
  <si>
    <t>9.3.1</t>
  </si>
  <si>
    <t>Wydatki bieżące na programy, projekty lub zadania finansowane z udziałem środków, o których mowa w art. 5 ust. 1 pkt 2 ustawy, w tym:</t>
  </si>
  <si>
    <t>9.3.1.1</t>
  </si>
  <si>
    <t>finansowane środkami określonymi w art. 5 ust. 1 pkt 2 ustawy</t>
  </si>
  <si>
    <t>9.4.1</t>
  </si>
  <si>
    <t>Wydatki majątkowe na programy, projekty lub zadania finansowane z udziałem środków, o których mowa w art. 5 ust. 1 pkt 2 ustawy, w tym:</t>
  </si>
  <si>
    <t>9.4.1.1</t>
  </si>
  <si>
    <t>Informacje uzupełniające o wybranych kategoriach finansowych</t>
  </si>
  <si>
    <t>Wydatki objęte limitem, o którym mowa w art. 226 ust. 3 pkt 4 ustawy, z tego:</t>
  </si>
  <si>
    <t>10.1.1</t>
  </si>
  <si>
    <t>10.1.2</t>
  </si>
  <si>
    <t>10.2</t>
  </si>
  <si>
    <t>10.3</t>
  </si>
  <si>
    <t>Wydatki na spłatę zobowiązań przejmowanych w związku z likwidacją lub przekształceniem samodzielnego publicznego zakładu opieki zdrowotnej</t>
  </si>
  <si>
    <t>10.4</t>
  </si>
  <si>
    <t>10.5</t>
  </si>
  <si>
    <t>Kwota zobowiązań wynikających z przejęcia przez jednostkę samorządu terytorialnego zobowiązań po likwidowanych i przekształcanych samorządowych osobach prawnych</t>
  </si>
  <si>
    <t>10.6</t>
  </si>
  <si>
    <t>Spłaty, o których mowa w pkt. 5.1., wynikające wyłącznie z tytułu zobowiązań już zaciągniętych</t>
  </si>
  <si>
    <t>10.7</t>
  </si>
  <si>
    <t>Wydatki zmniejszające dług, w tym:</t>
  </si>
  <si>
    <t>10.7.1</t>
  </si>
  <si>
    <t>spłata zobowiązań wymagalnych z lat poprzednich, innych niż w pkt 10.7.3.</t>
  </si>
  <si>
    <t>10.7.2</t>
  </si>
  <si>
    <t>spłata zobowiązań zaliczanych do tytułu dłużnego – kredyt i pożyczka, w tym:</t>
  </si>
  <si>
    <t>10.7.2.1</t>
  </si>
  <si>
    <t>zobowiązań zaciągniętych po dniu 1 stycznia 2019 r. ,w tym:</t>
  </si>
  <si>
    <t>10.7.2.1.1</t>
  </si>
  <si>
    <t>dokonywana w formie wydatku bieżącego</t>
  </si>
  <si>
    <t>10.7.3</t>
  </si>
  <si>
    <t>10.8</t>
  </si>
  <si>
    <t>Kwota wzrostu(+)/spadku(-) kwoty długu wynikająca z operacji niekasowych (m.in. umorzenia, różnice kursowe)</t>
  </si>
  <si>
    <t>10.9</t>
  </si>
  <si>
    <t>Wcześniejsza spłata zobowiązań, wyłączona z limitu spłaty zobowiązań, dokonywana w formie wydatków budżetowych</t>
  </si>
  <si>
    <t>Dane dotyczące emitowanych obligacji przychodowych</t>
  </si>
  <si>
    <t>Środki z przedsięwzięcia gromadzone na rachunku bankowym, w tym:</t>
  </si>
  <si>
    <t>11.1.1</t>
  </si>
  <si>
    <t>środki na zaspokojenie roszczeń obligatariuszy</t>
  </si>
  <si>
    <t>Wydatki bieżące z tytułu świadczenia emitenta należnego obligatariuszom, nieuwzględniane w limicie spłaty zobowiązań</t>
  </si>
  <si>
    <t>Stopnie niezachowania relacji określonych w art. 242-244 w przypadku określonym w ... ustawy</t>
  </si>
  <si>
    <t>Stopień niezachowania relacji zrównoważenia wydatków bieżących, o której mowa w poz. 7.2.</t>
  </si>
  <si>
    <t>Stopień niezachowania wskaźnika spłaty zobowiązań, o którym mowa w poz. 8.4.</t>
  </si>
  <si>
    <t>Stopień niezachowania wskaźnika spłaty zobowiązań, o którym mowa w poz. 8.4.1.</t>
  </si>
  <si>
    <t>1.1.1.9</t>
  </si>
  <si>
    <t>Bardziej aktywny dzięki sztuce współczesnej</t>
  </si>
  <si>
    <t>Specjalny                    Ośrodek Szkolno - Wychowawczy Nr 1</t>
  </si>
  <si>
    <t>Różnica między dochodami bieżącymi, skorygowanymi o środki a wydatkami bieżącymi</t>
  </si>
  <si>
    <t>Relacja określona po prawej stronie nierówności we wzorze, o którym mowa w art. 243 ust. 1 ustawy, ustalona dla danego roku (wskaźnik jednoroczny)</t>
  </si>
  <si>
    <t>1.3.2.4</t>
  </si>
  <si>
    <t>Dotacja dla Gminy Celestynów na zadanie w drodze powiatowej pn. "Budowa skrzyżowania bezkolizyjnego z linią kolejową nr 7 w ciągu ul. Jankowskiego w Celestynowie wraz z budową przyległego układu drogowego, w zamian za likwidację przejazdu kolejowo-drogowego kat. A w km 38,364 linii kolejowej nr 7 w ul. Jankowskiego, w ramach projektu pn. „Poprawa bezpieczeństwa na skrzyżowaniach linii kolejowych z drogami – etap III</t>
  </si>
  <si>
    <t>1.1.2.1</t>
  </si>
  <si>
    <t>1.3.1.4</t>
  </si>
  <si>
    <t>Utrzymanie ciągłości projektu pn. " Poprawa funkcjonowania osób niesamodzielnych z terenu powiatu otwockiego poprzez uruchomienie usług socjalnych świadczonych w formie wsparcia dziennego"</t>
  </si>
  <si>
    <t>Limity wydatków w poszczególnych latach</t>
  </si>
  <si>
    <t>Regionalne partnerstwo samorządów Mazowsza dla aktywizacji społeczeństwa informacyjnego w zakresie                                               e-administracji i geoinformacji</t>
  </si>
  <si>
    <t>Budowa sygnalizacji świetlnej radarowej</t>
  </si>
  <si>
    <t>Przebudowa mostów przez rzekę Świder w ciągu drogi powiatowej Nr 2737W w miejsc. Sępochów</t>
  </si>
  <si>
    <t xml:space="preserve">Budowa Domu Pomocy Społecznej "Wrzos" </t>
  </si>
  <si>
    <t>Budowa parkingu na pojazdy usunięte z dróg zgodnie z art. 130a ust. 1, 2 i 5c ustawy Prawo o ruchu drogowym</t>
  </si>
  <si>
    <t>1.3.2.54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</si>
</sst>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\-#,##0.00\ "/>
    <numFmt numFmtId="165" formatCode="#,##0.00_ ;[Red]\-#,##0.00\ "/>
  </numFmts>
  <fonts count="9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8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b/>
      <sz val="16"/>
      <color indexed="8"/>
      <name val="Times New Roman"/>
      <family val="1"/>
      <charset val="238"/>
    </font>
    <font>
      <sz val="9"/>
      <color indexed="8"/>
      <name val="Czcionka tekstu podstawowego"/>
      <family val="2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Czcionka tekstu podstawowego"/>
      <charset val="238"/>
    </font>
    <font>
      <b/>
      <sz val="9"/>
      <color theme="1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color theme="1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0"/>
      <color rgb="FFFF0000"/>
      <name val="Czcionka tekstu podstawowego"/>
      <charset val="238"/>
    </font>
    <font>
      <sz val="10"/>
      <color rgb="FFFF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0"/>
      <color theme="1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b/>
      <i/>
      <sz val="10"/>
      <color theme="1"/>
      <name val="Arial"/>
      <family val="2"/>
      <charset val="238"/>
    </font>
  </fonts>
  <fills count="60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47">
    <xf numFmtId="0" fontId="0" fillId="0" borderId="0"/>
    <xf numFmtId="0" fontId="38" fillId="0" borderId="0"/>
    <xf numFmtId="0" fontId="38" fillId="0" borderId="0"/>
    <xf numFmtId="0" fontId="39" fillId="0" borderId="0"/>
    <xf numFmtId="0" fontId="40" fillId="0" borderId="0"/>
    <xf numFmtId="0" fontId="39" fillId="0" borderId="0"/>
    <xf numFmtId="9" fontId="40" fillId="0" borderId="0" applyFont="0" applyFill="0" applyBorder="0" applyAlignment="0" applyProtection="0"/>
    <xf numFmtId="0" fontId="37" fillId="0" borderId="0"/>
    <xf numFmtId="0" fontId="36" fillId="0" borderId="0"/>
    <xf numFmtId="0" fontId="35" fillId="0" borderId="0"/>
    <xf numFmtId="0" fontId="34" fillId="0" borderId="0"/>
    <xf numFmtId="0" fontId="41" fillId="0" borderId="0" applyNumberFormat="0" applyFill="0" applyBorder="0" applyAlignment="0" applyProtection="0">
      <alignment vertical="top"/>
    </xf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42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0" fillId="38" borderId="0" applyNumberFormat="0" applyBorder="0" applyAlignment="0" applyProtection="0"/>
    <xf numFmtId="0" fontId="4" fillId="15" borderId="0" applyNumberFormat="0" applyBorder="0" applyAlignment="0" applyProtection="0"/>
    <xf numFmtId="0" fontId="40" fillId="39" borderId="0" applyNumberFormat="0" applyBorder="0" applyAlignment="0" applyProtection="0"/>
    <xf numFmtId="0" fontId="4" fillId="19" borderId="0" applyNumberFormat="0" applyBorder="0" applyAlignment="0" applyProtection="0"/>
    <xf numFmtId="0" fontId="40" fillId="40" borderId="0" applyNumberFormat="0" applyBorder="0" applyAlignment="0" applyProtection="0"/>
    <xf numFmtId="0" fontId="4" fillId="23" borderId="0" applyNumberFormat="0" applyBorder="0" applyAlignment="0" applyProtection="0"/>
    <xf numFmtId="0" fontId="40" fillId="41" borderId="0" applyNumberFormat="0" applyBorder="0" applyAlignment="0" applyProtection="0"/>
    <xf numFmtId="0" fontId="4" fillId="27" borderId="0" applyNumberFormat="0" applyBorder="0" applyAlignment="0" applyProtection="0"/>
    <xf numFmtId="0" fontId="40" fillId="42" borderId="0" applyNumberFormat="0" applyBorder="0" applyAlignment="0" applyProtection="0"/>
    <xf numFmtId="0" fontId="4" fillId="31" borderId="0" applyNumberFormat="0" applyBorder="0" applyAlignment="0" applyProtection="0"/>
    <xf numFmtId="0" fontId="40" fillId="43" borderId="0" applyNumberFormat="0" applyBorder="0" applyAlignment="0" applyProtection="0"/>
    <xf numFmtId="0" fontId="4" fillId="35" borderId="0" applyNumberFormat="0" applyBorder="0" applyAlignment="0" applyProtection="0"/>
    <xf numFmtId="0" fontId="40" fillId="44" borderId="0" applyNumberFormat="0" applyBorder="0" applyAlignment="0" applyProtection="0"/>
    <xf numFmtId="0" fontId="4" fillId="16" borderId="0" applyNumberFormat="0" applyBorder="0" applyAlignment="0" applyProtection="0"/>
    <xf numFmtId="0" fontId="40" fillId="45" borderId="0" applyNumberFormat="0" applyBorder="0" applyAlignment="0" applyProtection="0"/>
    <xf numFmtId="0" fontId="4" fillId="20" borderId="0" applyNumberFormat="0" applyBorder="0" applyAlignment="0" applyProtection="0"/>
    <xf numFmtId="0" fontId="40" fillId="46" borderId="0" applyNumberFormat="0" applyBorder="0" applyAlignment="0" applyProtection="0"/>
    <xf numFmtId="0" fontId="4" fillId="24" borderId="0" applyNumberFormat="0" applyBorder="0" applyAlignment="0" applyProtection="0"/>
    <xf numFmtId="0" fontId="40" fillId="41" borderId="0" applyNumberFormat="0" applyBorder="0" applyAlignment="0" applyProtection="0"/>
    <xf numFmtId="0" fontId="4" fillId="28" borderId="0" applyNumberFormat="0" applyBorder="0" applyAlignment="0" applyProtection="0"/>
    <xf numFmtId="0" fontId="40" fillId="44" borderId="0" applyNumberFormat="0" applyBorder="0" applyAlignment="0" applyProtection="0"/>
    <xf numFmtId="0" fontId="4" fillId="32" borderId="0" applyNumberFormat="0" applyBorder="0" applyAlignment="0" applyProtection="0"/>
    <xf numFmtId="0" fontId="40" fillId="47" borderId="0" applyNumberFormat="0" applyBorder="0" applyAlignment="0" applyProtection="0"/>
    <xf numFmtId="0" fontId="4" fillId="36" borderId="0" applyNumberFormat="0" applyBorder="0" applyAlignment="0" applyProtection="0"/>
    <xf numFmtId="0" fontId="76" fillId="48" borderId="0" applyNumberFormat="0" applyBorder="0" applyAlignment="0" applyProtection="0"/>
    <xf numFmtId="0" fontId="74" fillId="17" borderId="0" applyNumberFormat="0" applyBorder="0" applyAlignment="0" applyProtection="0"/>
    <xf numFmtId="0" fontId="76" fillId="45" borderId="0" applyNumberFormat="0" applyBorder="0" applyAlignment="0" applyProtection="0"/>
    <xf numFmtId="0" fontId="74" fillId="21" borderId="0" applyNumberFormat="0" applyBorder="0" applyAlignment="0" applyProtection="0"/>
    <xf numFmtId="0" fontId="76" fillId="46" borderId="0" applyNumberFormat="0" applyBorder="0" applyAlignment="0" applyProtection="0"/>
    <xf numFmtId="0" fontId="74" fillId="25" borderId="0" applyNumberFormat="0" applyBorder="0" applyAlignment="0" applyProtection="0"/>
    <xf numFmtId="0" fontId="76" fillId="49" borderId="0" applyNumberFormat="0" applyBorder="0" applyAlignment="0" applyProtection="0"/>
    <xf numFmtId="0" fontId="74" fillId="29" borderId="0" applyNumberFormat="0" applyBorder="0" applyAlignment="0" applyProtection="0"/>
    <xf numFmtId="0" fontId="76" fillId="50" borderId="0" applyNumberFormat="0" applyBorder="0" applyAlignment="0" applyProtection="0"/>
    <xf numFmtId="0" fontId="74" fillId="33" borderId="0" applyNumberFormat="0" applyBorder="0" applyAlignment="0" applyProtection="0"/>
    <xf numFmtId="0" fontId="76" fillId="51" borderId="0" applyNumberFormat="0" applyBorder="0" applyAlignment="0" applyProtection="0"/>
    <xf numFmtId="0" fontId="74" fillId="37" borderId="0" applyNumberFormat="0" applyBorder="0" applyAlignment="0" applyProtection="0"/>
    <xf numFmtId="0" fontId="76" fillId="52" borderId="0" applyNumberFormat="0" applyBorder="0" applyAlignment="0" applyProtection="0"/>
    <xf numFmtId="0" fontId="74" fillId="14" borderId="0" applyNumberFormat="0" applyBorder="0" applyAlignment="0" applyProtection="0"/>
    <xf numFmtId="0" fontId="76" fillId="53" borderId="0" applyNumberFormat="0" applyBorder="0" applyAlignment="0" applyProtection="0"/>
    <xf numFmtId="0" fontId="74" fillId="18" borderId="0" applyNumberFormat="0" applyBorder="0" applyAlignment="0" applyProtection="0"/>
    <xf numFmtId="0" fontId="76" fillId="54" borderId="0" applyNumberFormat="0" applyBorder="0" applyAlignment="0" applyProtection="0"/>
    <xf numFmtId="0" fontId="74" fillId="22" borderId="0" applyNumberFormat="0" applyBorder="0" applyAlignment="0" applyProtection="0"/>
    <xf numFmtId="0" fontId="76" fillId="49" borderId="0" applyNumberFormat="0" applyBorder="0" applyAlignment="0" applyProtection="0"/>
    <xf numFmtId="0" fontId="74" fillId="26" borderId="0" applyNumberFormat="0" applyBorder="0" applyAlignment="0" applyProtection="0"/>
    <xf numFmtId="0" fontId="76" fillId="50" borderId="0" applyNumberFormat="0" applyBorder="0" applyAlignment="0" applyProtection="0"/>
    <xf numFmtId="0" fontId="74" fillId="30" borderId="0" applyNumberFormat="0" applyBorder="0" applyAlignment="0" applyProtection="0"/>
    <xf numFmtId="0" fontId="76" fillId="55" borderId="0" applyNumberFormat="0" applyBorder="0" applyAlignment="0" applyProtection="0"/>
    <xf numFmtId="0" fontId="74" fillId="34" borderId="0" applyNumberFormat="0" applyBorder="0" applyAlignment="0" applyProtection="0"/>
    <xf numFmtId="0" fontId="77" fillId="43" borderId="42" applyNumberFormat="0" applyAlignment="0" applyProtection="0"/>
    <xf numFmtId="0" fontId="67" fillId="10" borderId="36" applyNumberFormat="0" applyAlignment="0" applyProtection="0"/>
    <xf numFmtId="0" fontId="78" fillId="56" borderId="43" applyNumberFormat="0" applyAlignment="0" applyProtection="0"/>
    <xf numFmtId="0" fontId="68" fillId="11" borderId="37" applyNumberFormat="0" applyAlignment="0" applyProtection="0"/>
    <xf numFmtId="0" fontId="79" fillId="40" borderId="0" applyNumberFormat="0" applyBorder="0" applyAlignment="0" applyProtection="0"/>
    <xf numFmtId="0" fontId="64" fillId="7" borderId="0" applyNumberFormat="0" applyBorder="0" applyAlignment="0" applyProtection="0"/>
    <xf numFmtId="0" fontId="80" fillId="0" borderId="44" applyNumberFormat="0" applyFill="0" applyAlignment="0" applyProtection="0"/>
    <xf numFmtId="0" fontId="70" fillId="0" borderId="38" applyNumberFormat="0" applyFill="0" applyAlignment="0" applyProtection="0"/>
    <xf numFmtId="0" fontId="81" fillId="57" borderId="45" applyNumberFormat="0" applyAlignment="0" applyProtection="0"/>
    <xf numFmtId="0" fontId="71" fillId="12" borderId="39" applyNumberFormat="0" applyAlignment="0" applyProtection="0"/>
    <xf numFmtId="0" fontId="82" fillId="0" borderId="46" applyNumberFormat="0" applyFill="0" applyAlignment="0" applyProtection="0"/>
    <xf numFmtId="0" fontId="61" fillId="0" borderId="33" applyNumberFormat="0" applyFill="0" applyAlignment="0" applyProtection="0"/>
    <xf numFmtId="0" fontId="83" fillId="0" borderId="47" applyNumberFormat="0" applyFill="0" applyAlignment="0" applyProtection="0"/>
    <xf numFmtId="0" fontId="62" fillId="0" borderId="34" applyNumberFormat="0" applyFill="0" applyAlignment="0" applyProtection="0"/>
    <xf numFmtId="0" fontId="84" fillId="0" borderId="48" applyNumberFormat="0" applyFill="0" applyAlignment="0" applyProtection="0"/>
    <xf numFmtId="0" fontId="63" fillId="0" borderId="35" applyNumberFormat="0" applyFill="0" applyAlignment="0" applyProtection="0"/>
    <xf numFmtId="0" fontId="8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85" fillId="58" borderId="0" applyNumberFormat="0" applyBorder="0" applyAlignment="0" applyProtection="0"/>
    <xf numFmtId="0" fontId="66" fillId="9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75" fillId="0" borderId="0"/>
    <xf numFmtId="0" fontId="38" fillId="0" borderId="0"/>
    <xf numFmtId="0" fontId="38" fillId="0" borderId="0"/>
    <xf numFmtId="0" fontId="75" fillId="0" borderId="0" applyProtection="0"/>
    <xf numFmtId="0" fontId="40" fillId="0" borderId="0"/>
    <xf numFmtId="0" fontId="38" fillId="0" borderId="0"/>
    <xf numFmtId="0" fontId="38" fillId="0" borderId="0"/>
    <xf numFmtId="0" fontId="4" fillId="0" borderId="0"/>
    <xf numFmtId="0" fontId="86" fillId="56" borderId="42" applyNumberFormat="0" applyAlignment="0" applyProtection="0"/>
    <xf numFmtId="0" fontId="69" fillId="11" borderId="36" applyNumberFormat="0" applyAlignment="0" applyProtection="0"/>
    <xf numFmtId="9" fontId="4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87" fillId="0" borderId="49" applyNumberFormat="0" applyFill="0" applyAlignment="0" applyProtection="0"/>
    <xf numFmtId="0" fontId="60" fillId="0" borderId="41" applyNumberFormat="0" applyFill="0" applyAlignment="0" applyProtection="0"/>
    <xf numFmtId="0" fontId="88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75" fillId="59" borderId="50" applyNumberFormat="0" applyFont="0" applyAlignment="0" applyProtection="0"/>
    <xf numFmtId="0" fontId="4" fillId="13" borderId="40" applyNumberFormat="0" applyFont="0" applyAlignment="0" applyProtection="0"/>
    <xf numFmtId="0" fontId="91" fillId="39" borderId="0" applyNumberFormat="0" applyBorder="0" applyAlignment="0" applyProtection="0"/>
    <xf numFmtId="0" fontId="65" fillId="8" borderId="0" applyNumberFormat="0" applyBorder="0" applyAlignment="0" applyProtection="0"/>
    <xf numFmtId="0" fontId="3" fillId="0" borderId="0"/>
    <xf numFmtId="0" fontId="2" fillId="0" borderId="0"/>
    <xf numFmtId="0" fontId="1" fillId="0" borderId="0"/>
  </cellStyleXfs>
  <cellXfs count="222">
    <xf numFmtId="0" fontId="0" fillId="0" borderId="0" xfId="0"/>
    <xf numFmtId="165" fontId="48" fillId="3" borderId="10" xfId="4" applyNumberFormat="1" applyFont="1" applyFill="1" applyBorder="1" applyAlignment="1">
      <alignment vertical="center" shrinkToFit="1"/>
    </xf>
    <xf numFmtId="165" fontId="48" fillId="3" borderId="11" xfId="4" applyNumberFormat="1" applyFont="1" applyFill="1" applyBorder="1" applyAlignment="1">
      <alignment vertical="center" shrinkToFit="1"/>
    </xf>
    <xf numFmtId="165" fontId="48" fillId="0" borderId="10" xfId="4" applyNumberFormat="1" applyFont="1" applyFill="1" applyBorder="1" applyAlignment="1">
      <alignment vertical="center" shrinkToFit="1"/>
    </xf>
    <xf numFmtId="165" fontId="50" fillId="3" borderId="10" xfId="4" applyNumberFormat="1" applyFont="1" applyFill="1" applyBorder="1" applyAlignment="1">
      <alignment vertical="center" shrinkToFit="1"/>
    </xf>
    <xf numFmtId="165" fontId="50" fillId="3" borderId="11" xfId="4" applyNumberFormat="1" applyFont="1" applyFill="1" applyBorder="1" applyAlignment="1">
      <alignment vertical="center" shrinkToFit="1"/>
    </xf>
    <xf numFmtId="165" fontId="50" fillId="0" borderId="12" xfId="4" applyNumberFormat="1" applyFont="1" applyFill="1" applyBorder="1" applyAlignment="1">
      <alignment vertical="center" shrinkToFit="1"/>
    </xf>
    <xf numFmtId="165" fontId="50" fillId="0" borderId="10" xfId="4" applyNumberFormat="1" applyFont="1" applyFill="1" applyBorder="1" applyAlignment="1">
      <alignment vertical="center" shrinkToFit="1"/>
    </xf>
    <xf numFmtId="165" fontId="48" fillId="3" borderId="10" xfId="4" applyNumberFormat="1" applyFont="1" applyFill="1" applyBorder="1" applyAlignment="1">
      <alignment horizontal="center" vertical="center" shrinkToFit="1"/>
    </xf>
    <xf numFmtId="165" fontId="48" fillId="3" borderId="11" xfId="4" applyNumberFormat="1" applyFont="1" applyFill="1" applyBorder="1" applyAlignment="1">
      <alignment horizontal="center" vertical="center" shrinkToFit="1"/>
    </xf>
    <xf numFmtId="165" fontId="48" fillId="0" borderId="12" xfId="4" applyNumberFormat="1" applyFont="1" applyFill="1" applyBorder="1" applyAlignment="1">
      <alignment horizontal="center" vertical="center" shrinkToFit="1"/>
    </xf>
    <xf numFmtId="165" fontId="48" fillId="0" borderId="10" xfId="4" applyNumberFormat="1" applyFont="1" applyFill="1" applyBorder="1" applyAlignment="1">
      <alignment horizontal="center" vertical="center" shrinkToFit="1"/>
    </xf>
    <xf numFmtId="0" fontId="38" fillId="0" borderId="0" xfId="1" applyFont="1"/>
    <xf numFmtId="0" fontId="52" fillId="0" borderId="0" xfId="1" applyFont="1" applyAlignment="1">
      <alignment vertical="center"/>
    </xf>
    <xf numFmtId="0" fontId="38" fillId="0" borderId="0" xfId="1" applyFont="1" applyAlignment="1">
      <alignment horizontal="center"/>
    </xf>
    <xf numFmtId="0" fontId="53" fillId="0" borderId="0" xfId="1" applyFont="1"/>
    <xf numFmtId="0" fontId="54" fillId="0" borderId="1" xfId="1" applyFont="1" applyFill="1" applyBorder="1" applyAlignment="1">
      <alignment horizontal="center" vertical="center" wrapText="1"/>
    </xf>
    <xf numFmtId="0" fontId="55" fillId="0" borderId="1" xfId="1" applyFont="1" applyFill="1" applyBorder="1" applyAlignment="1">
      <alignment horizontal="center" vertical="center" wrapText="1"/>
    </xf>
    <xf numFmtId="0" fontId="54" fillId="0" borderId="0" xfId="1" applyFont="1" applyFill="1" applyAlignment="1">
      <alignment horizontal="center"/>
    </xf>
    <xf numFmtId="0" fontId="53" fillId="3" borderId="1" xfId="1" applyFont="1" applyFill="1" applyBorder="1" applyAlignment="1">
      <alignment horizontal="center" vertical="center"/>
    </xf>
    <xf numFmtId="4" fontId="53" fillId="3" borderId="1" xfId="1" applyNumberFormat="1" applyFont="1" applyFill="1" applyBorder="1" applyAlignment="1">
      <alignment horizontal="right" vertical="center" wrapText="1"/>
    </xf>
    <xf numFmtId="0" fontId="53" fillId="0" borderId="0" xfId="1" applyFont="1" applyFill="1"/>
    <xf numFmtId="4" fontId="53" fillId="3" borderId="1" xfId="1" applyNumberFormat="1" applyFont="1" applyFill="1" applyBorder="1" applyAlignment="1"/>
    <xf numFmtId="0" fontId="53" fillId="0" borderId="0" xfId="1" applyFont="1" applyAlignment="1">
      <alignment vertical="center"/>
    </xf>
    <xf numFmtId="0" fontId="38" fillId="0" borderId="1" xfId="1" applyFont="1" applyFill="1" applyBorder="1" applyAlignment="1">
      <alignment horizontal="left" vertical="center" wrapText="1"/>
    </xf>
    <xf numFmtId="0" fontId="38" fillId="0" borderId="1" xfId="1" applyFont="1" applyFill="1" applyBorder="1" applyAlignment="1">
      <alignment horizontal="center" vertical="center" wrapText="1"/>
    </xf>
    <xf numFmtId="0" fontId="53" fillId="0" borderId="1" xfId="1" applyFont="1" applyFill="1" applyBorder="1" applyAlignment="1">
      <alignment horizontal="center" vertical="center"/>
    </xf>
    <xf numFmtId="4" fontId="53" fillId="0" borderId="1" xfId="1" applyNumberFormat="1" applyFont="1" applyFill="1" applyBorder="1" applyAlignment="1"/>
    <xf numFmtId="4" fontId="38" fillId="0" borderId="1" xfId="1" applyNumberFormat="1" applyFont="1" applyFill="1" applyBorder="1" applyAlignment="1"/>
    <xf numFmtId="4" fontId="53" fillId="0" borderId="1" xfId="1" applyNumberFormat="1" applyFont="1" applyBorder="1" applyAlignment="1"/>
    <xf numFmtId="0" fontId="38" fillId="0" borderId="0" xfId="1" applyFont="1" applyAlignment="1">
      <alignment vertical="center"/>
    </xf>
    <xf numFmtId="0" fontId="38" fillId="0" borderId="17" xfId="1" applyFont="1" applyFill="1" applyBorder="1" applyAlignment="1">
      <alignment horizontal="left" vertical="center" wrapText="1"/>
    </xf>
    <xf numFmtId="0" fontId="53" fillId="0" borderId="17" xfId="1" applyFont="1" applyFill="1" applyBorder="1" applyAlignment="1">
      <alignment horizontal="center" vertical="center"/>
    </xf>
    <xf numFmtId="4" fontId="38" fillId="0" borderId="17" xfId="1" applyNumberFormat="1" applyFont="1" applyFill="1" applyBorder="1" applyAlignment="1"/>
    <xf numFmtId="4" fontId="53" fillId="0" borderId="17" xfId="1" applyNumberFormat="1" applyFont="1" applyBorder="1" applyAlignment="1"/>
    <xf numFmtId="4" fontId="38" fillId="0" borderId="1" xfId="1" applyNumberFormat="1" applyFont="1" applyBorder="1" applyAlignment="1"/>
    <xf numFmtId="0" fontId="38" fillId="0" borderId="0" xfId="1" applyFont="1" applyFill="1" applyAlignment="1">
      <alignment vertical="center"/>
    </xf>
    <xf numFmtId="0" fontId="53" fillId="0" borderId="0" xfId="1" applyFont="1" applyFill="1" applyAlignment="1">
      <alignment horizontal="right"/>
    </xf>
    <xf numFmtId="0" fontId="38" fillId="0" borderId="20" xfId="1" applyFont="1" applyFill="1" applyBorder="1" applyAlignment="1">
      <alignment horizontal="left" vertical="center" wrapText="1"/>
    </xf>
    <xf numFmtId="0" fontId="38" fillId="0" borderId="2" xfId="1" applyFont="1" applyFill="1" applyBorder="1" applyAlignment="1">
      <alignment horizontal="center" vertical="center" wrapText="1"/>
    </xf>
    <xf numFmtId="0" fontId="53" fillId="0" borderId="2" xfId="1" applyFont="1" applyFill="1" applyBorder="1" applyAlignment="1">
      <alignment horizontal="center" vertical="center"/>
    </xf>
    <xf numFmtId="4" fontId="38" fillId="0" borderId="2" xfId="1" applyNumberFormat="1" applyFont="1" applyFill="1" applyBorder="1" applyAlignment="1"/>
    <xf numFmtId="0" fontId="38" fillId="0" borderId="0" xfId="1" applyFont="1" applyFill="1" applyBorder="1"/>
    <xf numFmtId="0" fontId="38" fillId="0" borderId="1" xfId="2" applyFont="1" applyFill="1" applyBorder="1" applyAlignment="1">
      <alignment vertical="center" wrapText="1"/>
    </xf>
    <xf numFmtId="0" fontId="38" fillId="0" borderId="1" xfId="2" applyFont="1" applyFill="1" applyBorder="1" applyAlignment="1">
      <alignment horizontal="left" vertical="center" wrapText="1"/>
    </xf>
    <xf numFmtId="0" fontId="38" fillId="0" borderId="3" xfId="1" applyFont="1" applyFill="1" applyBorder="1" applyAlignment="1">
      <alignment horizontal="center" vertical="center" wrapText="1"/>
    </xf>
    <xf numFmtId="164" fontId="38" fillId="0" borderId="1" xfId="1" applyNumberFormat="1" applyFont="1" applyFill="1" applyBorder="1" applyAlignment="1"/>
    <xf numFmtId="164" fontId="38" fillId="0" borderId="1" xfId="1" applyNumberFormat="1" applyFont="1" applyBorder="1" applyAlignment="1"/>
    <xf numFmtId="4" fontId="38" fillId="0" borderId="1" xfId="1" applyNumberFormat="1" applyFont="1" applyFill="1" applyBorder="1" applyAlignment="1">
      <alignment horizontal="right"/>
    </xf>
    <xf numFmtId="4" fontId="38" fillId="0" borderId="1" xfId="1" applyNumberFormat="1" applyFont="1" applyBorder="1" applyAlignment="1">
      <alignment horizontal="right"/>
    </xf>
    <xf numFmtId="0" fontId="38" fillId="0" borderId="5" xfId="2" applyFont="1" applyFill="1" applyBorder="1" applyAlignment="1">
      <alignment vertical="center" wrapText="1"/>
    </xf>
    <xf numFmtId="0" fontId="38" fillId="0" borderId="1" xfId="2" applyFont="1" applyFill="1" applyBorder="1" applyAlignment="1">
      <alignment horizontal="center" vertical="center" wrapText="1"/>
    </xf>
    <xf numFmtId="0" fontId="53" fillId="0" borderId="1" xfId="2" applyFont="1" applyFill="1" applyBorder="1" applyAlignment="1">
      <alignment horizontal="center" vertical="center"/>
    </xf>
    <xf numFmtId="4" fontId="38" fillId="0" borderId="1" xfId="2" applyNumberFormat="1" applyFont="1" applyFill="1" applyBorder="1"/>
    <xf numFmtId="0" fontId="38" fillId="0" borderId="0" xfId="1" applyFont="1" applyFill="1"/>
    <xf numFmtId="0" fontId="38" fillId="0" borderId="5" xfId="0" applyFont="1" applyFill="1" applyBorder="1" applyAlignment="1">
      <alignment vertical="center" wrapText="1"/>
    </xf>
    <xf numFmtId="0" fontId="38" fillId="0" borderId="5" xfId="2" applyFont="1" applyFill="1" applyBorder="1" applyAlignment="1">
      <alignment horizontal="center" vertical="center" wrapText="1"/>
    </xf>
    <xf numFmtId="0" fontId="53" fillId="0" borderId="5" xfId="2" applyFont="1" applyFill="1" applyBorder="1" applyAlignment="1">
      <alignment horizontal="center" vertical="center"/>
    </xf>
    <xf numFmtId="4" fontId="38" fillId="0" borderId="5" xfId="2" applyNumberFormat="1" applyFont="1" applyFill="1" applyBorder="1"/>
    <xf numFmtId="0" fontId="38" fillId="0" borderId="6" xfId="2" applyFont="1" applyFill="1" applyBorder="1" applyAlignment="1">
      <alignment vertical="center" wrapText="1"/>
    </xf>
    <xf numFmtId="0" fontId="38" fillId="0" borderId="3" xfId="2" applyFont="1" applyFill="1" applyBorder="1" applyAlignment="1">
      <alignment horizontal="center" vertical="center" wrapText="1"/>
    </xf>
    <xf numFmtId="4" fontId="38" fillId="0" borderId="1" xfId="1" applyNumberFormat="1" applyFont="1" applyFill="1" applyBorder="1"/>
    <xf numFmtId="0" fontId="56" fillId="0" borderId="1" xfId="0" applyFont="1" applyBorder="1" applyAlignment="1">
      <alignment horizontal="left" vertical="center" wrapText="1"/>
    </xf>
    <xf numFmtId="0" fontId="38" fillId="0" borderId="1" xfId="1" applyFont="1" applyBorder="1" applyAlignment="1">
      <alignment horizontal="center" vertical="center"/>
    </xf>
    <xf numFmtId="4" fontId="38" fillId="0" borderId="1" xfId="1" applyNumberFormat="1" applyFont="1" applyBorder="1" applyAlignment="1">
      <alignment horizontal="right" vertical="center"/>
    </xf>
    <xf numFmtId="0" fontId="38" fillId="0" borderId="7" xfId="11" applyFont="1" applyFill="1" applyBorder="1" applyAlignment="1" applyProtection="1">
      <alignment horizontal="left" vertical="center" wrapText="1"/>
    </xf>
    <xf numFmtId="0" fontId="38" fillId="0" borderId="2" xfId="2" applyFont="1" applyFill="1" applyBorder="1" applyAlignment="1">
      <alignment horizontal="center" vertical="center" wrapText="1"/>
    </xf>
    <xf numFmtId="4" fontId="38" fillId="0" borderId="2" xfId="1" applyNumberFormat="1" applyFont="1" applyBorder="1"/>
    <xf numFmtId="0" fontId="38" fillId="0" borderId="2" xfId="11" applyFont="1" applyFill="1" applyBorder="1" applyAlignment="1" applyProtection="1">
      <alignment vertical="center" wrapText="1"/>
    </xf>
    <xf numFmtId="4" fontId="38" fillId="0" borderId="2" xfId="1" applyNumberFormat="1" applyFont="1" applyFill="1" applyBorder="1"/>
    <xf numFmtId="0" fontId="38" fillId="0" borderId="17" xfId="2" applyFont="1" applyFill="1" applyBorder="1" applyAlignment="1">
      <alignment horizontal="left" vertical="center" wrapText="1"/>
    </xf>
    <xf numFmtId="0" fontId="38" fillId="0" borderId="17" xfId="2" applyFont="1" applyFill="1" applyBorder="1" applyAlignment="1">
      <alignment horizontal="center" vertical="center" wrapText="1"/>
    </xf>
    <xf numFmtId="0" fontId="53" fillId="0" borderId="17" xfId="2" applyFont="1" applyFill="1" applyBorder="1" applyAlignment="1">
      <alignment horizontal="center" vertical="center"/>
    </xf>
    <xf numFmtId="4" fontId="38" fillId="0" borderId="17" xfId="2" applyNumberFormat="1" applyFont="1" applyBorder="1" applyAlignment="1"/>
    <xf numFmtId="0" fontId="38" fillId="5" borderId="17" xfId="2" applyFont="1" applyFill="1" applyBorder="1" applyAlignment="1">
      <alignment horizontal="left" vertical="center" wrapText="1"/>
    </xf>
    <xf numFmtId="0" fontId="53" fillId="0" borderId="0" xfId="1" applyFont="1" applyAlignment="1">
      <alignment horizontal="center"/>
    </xf>
    <xf numFmtId="0" fontId="53" fillId="0" borderId="22" xfId="1" applyFont="1" applyFill="1" applyBorder="1" applyAlignment="1">
      <alignment horizontal="center" vertical="center"/>
    </xf>
    <xf numFmtId="49" fontId="45" fillId="4" borderId="23" xfId="4" applyNumberFormat="1" applyFont="1" applyFill="1" applyBorder="1" applyAlignment="1">
      <alignment horizontal="center" vertical="center"/>
    </xf>
    <xf numFmtId="49" fontId="45" fillId="4" borderId="25" xfId="4" applyNumberFormat="1" applyFont="1" applyFill="1" applyBorder="1" applyAlignment="1">
      <alignment horizontal="center" vertical="center"/>
    </xf>
    <xf numFmtId="1" fontId="45" fillId="4" borderId="26" xfId="4" applyNumberFormat="1" applyFont="1" applyFill="1" applyBorder="1" applyAlignment="1">
      <alignment horizontal="center" vertical="center" wrapText="1"/>
    </xf>
    <xf numFmtId="1" fontId="45" fillId="4" borderId="24" xfId="4" applyNumberFormat="1" applyFont="1" applyFill="1" applyBorder="1" applyAlignment="1">
      <alignment horizontal="center" vertical="center" wrapText="1"/>
    </xf>
    <xf numFmtId="1" fontId="45" fillId="4" borderId="25" xfId="4" applyNumberFormat="1" applyFont="1" applyFill="1" applyBorder="1" applyAlignment="1">
      <alignment horizontal="center" vertical="center" wrapText="1"/>
    </xf>
    <xf numFmtId="1" fontId="45" fillId="4" borderId="24" xfId="4" applyNumberFormat="1" applyFont="1" applyFill="1" applyBorder="1" applyAlignment="1">
      <alignment horizontal="center" vertical="center"/>
    </xf>
    <xf numFmtId="165" fontId="50" fillId="3" borderId="12" xfId="4" applyNumberFormat="1" applyFont="1" applyFill="1" applyBorder="1" applyAlignment="1">
      <alignment vertical="center" shrinkToFit="1"/>
    </xf>
    <xf numFmtId="165" fontId="48" fillId="3" borderId="12" xfId="4" applyNumberFormat="1" applyFont="1" applyFill="1" applyBorder="1" applyAlignment="1">
      <alignment vertical="center" shrinkToFit="1"/>
    </xf>
    <xf numFmtId="165" fontId="48" fillId="3" borderId="12" xfId="4" applyNumberFormat="1" applyFont="1" applyFill="1" applyBorder="1" applyAlignment="1">
      <alignment horizontal="center" vertical="center" shrinkToFit="1"/>
    </xf>
    <xf numFmtId="10" fontId="50" fillId="0" borderId="10" xfId="4" applyNumberFormat="1" applyFont="1" applyFill="1" applyBorder="1" applyAlignment="1">
      <alignment vertical="center" shrinkToFit="1"/>
    </xf>
    <xf numFmtId="10" fontId="50" fillId="3" borderId="12" xfId="4" applyNumberFormat="1" applyFont="1" applyFill="1" applyBorder="1" applyAlignment="1">
      <alignment vertical="center" shrinkToFit="1"/>
    </xf>
    <xf numFmtId="10" fontId="50" fillId="3" borderId="10" xfId="4" applyNumberFormat="1" applyFont="1" applyFill="1" applyBorder="1" applyAlignment="1">
      <alignment vertical="center" shrinkToFit="1"/>
    </xf>
    <xf numFmtId="10" fontId="50" fillId="3" borderId="11" xfId="4" applyNumberFormat="1" applyFont="1" applyFill="1" applyBorder="1" applyAlignment="1">
      <alignment vertical="center" shrinkToFit="1"/>
    </xf>
    <xf numFmtId="165" fontId="50" fillId="0" borderId="10" xfId="4" applyNumberFormat="1" applyFont="1" applyFill="1" applyBorder="1" applyAlignment="1">
      <alignment horizontal="center" vertical="center" shrinkToFit="1"/>
    </xf>
    <xf numFmtId="165" fontId="48" fillId="3" borderId="16" xfId="4" applyNumberFormat="1" applyFont="1" applyFill="1" applyBorder="1" applyAlignment="1">
      <alignment horizontal="center" vertical="center" shrinkToFit="1"/>
    </xf>
    <xf numFmtId="165" fontId="48" fillId="3" borderId="14" xfId="4" applyNumberFormat="1" applyFont="1" applyFill="1" applyBorder="1" applyAlignment="1">
      <alignment horizontal="center" vertical="center" shrinkToFit="1"/>
    </xf>
    <xf numFmtId="165" fontId="48" fillId="3" borderId="15" xfId="4" applyNumberFormat="1" applyFont="1" applyFill="1" applyBorder="1" applyAlignment="1">
      <alignment horizontal="center" vertical="center" shrinkToFit="1"/>
    </xf>
    <xf numFmtId="0" fontId="38" fillId="0" borderId="22" xfId="1" applyFont="1" applyFill="1" applyBorder="1" applyAlignment="1">
      <alignment horizontal="left" vertical="center" wrapText="1"/>
    </xf>
    <xf numFmtId="0" fontId="38" fillId="0" borderId="22" xfId="1" applyFont="1" applyFill="1" applyBorder="1" applyAlignment="1">
      <alignment horizontal="center" vertical="center" wrapText="1"/>
    </xf>
    <xf numFmtId="4" fontId="53" fillId="0" borderId="22" xfId="1" applyNumberFormat="1" applyFont="1" applyFill="1" applyBorder="1" applyAlignment="1"/>
    <xf numFmtId="4" fontId="38" fillId="0" borderId="22" xfId="1" applyNumberFormat="1" applyFont="1" applyFill="1" applyBorder="1" applyAlignment="1"/>
    <xf numFmtId="0" fontId="38" fillId="0" borderId="2" xfId="1" applyFont="1" applyFill="1" applyBorder="1" applyAlignment="1">
      <alignment horizontal="left" vertical="center" wrapText="1"/>
    </xf>
    <xf numFmtId="0" fontId="57" fillId="0" borderId="0" xfId="1" applyFont="1" applyFill="1"/>
    <xf numFmtId="0" fontId="57" fillId="0" borderId="0" xfId="1" applyFont="1" applyFill="1" applyAlignment="1">
      <alignment horizontal="right"/>
    </xf>
    <xf numFmtId="0" fontId="38" fillId="0" borderId="2" xfId="1" applyFont="1" applyFill="1" applyBorder="1" applyAlignment="1">
      <alignment horizontal="center" vertical="center"/>
    </xf>
    <xf numFmtId="0" fontId="38" fillId="0" borderId="2" xfId="11" applyFont="1" applyFill="1" applyBorder="1" applyAlignment="1">
      <alignment vertical="center" wrapText="1"/>
    </xf>
    <xf numFmtId="0" fontId="56" fillId="0" borderId="1" xfId="0" applyFont="1" applyFill="1" applyBorder="1" applyAlignment="1">
      <alignment vertical="center" wrapText="1"/>
    </xf>
    <xf numFmtId="0" fontId="53" fillId="0" borderId="1" xfId="1" applyFont="1" applyFill="1" applyBorder="1" applyAlignment="1">
      <alignment horizontal="center"/>
    </xf>
    <xf numFmtId="0" fontId="53" fillId="2" borderId="1" xfId="1" applyFont="1" applyFill="1" applyBorder="1" applyAlignment="1">
      <alignment horizontal="center" vertical="center"/>
    </xf>
    <xf numFmtId="4" fontId="38" fillId="3" borderId="1" xfId="1" applyNumberFormat="1" applyFont="1" applyFill="1" applyBorder="1" applyAlignment="1"/>
    <xf numFmtId="164" fontId="38" fillId="0" borderId="1" xfId="1" applyNumberFormat="1" applyFont="1" applyFill="1" applyBorder="1" applyAlignment="1">
      <alignment horizontal="right"/>
    </xf>
    <xf numFmtId="4" fontId="38" fillId="0" borderId="1" xfId="1" applyNumberFormat="1" applyFont="1" applyFill="1" applyBorder="1" applyAlignment="1">
      <alignment horizontal="right" vertical="center"/>
    </xf>
    <xf numFmtId="0" fontId="57" fillId="6" borderId="1" xfId="1" applyFont="1" applyFill="1" applyBorder="1" applyAlignment="1">
      <alignment horizontal="center" vertical="center"/>
    </xf>
    <xf numFmtId="4" fontId="57" fillId="6" borderId="1" xfId="1" applyNumberFormat="1" applyFont="1" applyFill="1" applyBorder="1" applyAlignment="1"/>
    <xf numFmtId="0" fontId="57" fillId="6" borderId="1" xfId="1" applyFont="1" applyFill="1" applyBorder="1" applyAlignment="1">
      <alignment horizontal="left" vertical="center" wrapText="1"/>
    </xf>
    <xf numFmtId="0" fontId="57" fillId="6" borderId="1" xfId="1" applyFont="1" applyFill="1" applyBorder="1" applyAlignment="1">
      <alignment horizontal="center" vertical="center" wrapText="1"/>
    </xf>
    <xf numFmtId="0" fontId="38" fillId="0" borderId="2" xfId="2" applyFont="1" applyFill="1" applyBorder="1" applyAlignment="1">
      <alignment vertical="center" wrapText="1"/>
    </xf>
    <xf numFmtId="4" fontId="38" fillId="0" borderId="2" xfId="1" applyNumberFormat="1" applyFont="1" applyFill="1" applyBorder="1" applyAlignment="1">
      <alignment horizontal="right"/>
    </xf>
    <xf numFmtId="0" fontId="57" fillId="6" borderId="22" xfId="1" applyFont="1" applyFill="1" applyBorder="1" applyAlignment="1">
      <alignment horizontal="center" vertical="center"/>
    </xf>
    <xf numFmtId="0" fontId="57" fillId="6" borderId="22" xfId="1" applyFont="1" applyFill="1" applyBorder="1" applyAlignment="1">
      <alignment horizontal="center" vertical="center" wrapText="1"/>
    </xf>
    <xf numFmtId="4" fontId="57" fillId="6" borderId="22" xfId="1" applyNumberFormat="1" applyFont="1" applyFill="1" applyBorder="1" applyAlignment="1">
      <alignment horizontal="right" vertical="center" wrapText="1"/>
    </xf>
    <xf numFmtId="0" fontId="57" fillId="6" borderId="31" xfId="1" applyFont="1" applyFill="1" applyBorder="1" applyAlignment="1">
      <alignment vertical="center" wrapText="1"/>
    </xf>
    <xf numFmtId="4" fontId="57" fillId="6" borderId="22" xfId="1" applyNumberFormat="1" applyFont="1" applyFill="1" applyBorder="1" applyAlignment="1"/>
    <xf numFmtId="0" fontId="57" fillId="6" borderId="22" xfId="1" applyFont="1" applyFill="1" applyBorder="1" applyAlignment="1">
      <alignment horizontal="left" vertical="center" wrapText="1"/>
    </xf>
    <xf numFmtId="4" fontId="38" fillId="0" borderId="22" xfId="1" applyNumberFormat="1" applyFont="1" applyFill="1" applyBorder="1" applyAlignment="1">
      <alignment horizontal="right"/>
    </xf>
    <xf numFmtId="0" fontId="59" fillId="0" borderId="0" xfId="1" applyFont="1" applyFill="1"/>
    <xf numFmtId="0" fontId="57" fillId="6" borderId="22" xfId="2" applyFont="1" applyFill="1" applyBorder="1" applyAlignment="1" applyProtection="1">
      <alignment vertical="center" wrapText="1"/>
    </xf>
    <xf numFmtId="0" fontId="57" fillId="6" borderId="21" xfId="1" applyFont="1" applyFill="1" applyBorder="1" applyAlignment="1">
      <alignment horizontal="center" vertical="center" wrapText="1"/>
    </xf>
    <xf numFmtId="0" fontId="57" fillId="0" borderId="0" xfId="1" applyFont="1" applyFill="1" applyBorder="1"/>
    <xf numFmtId="0" fontId="56" fillId="0" borderId="0" xfId="1" applyFont="1" applyFill="1"/>
    <xf numFmtId="0" fontId="38" fillId="0" borderId="2" xfId="2" applyFont="1" applyFill="1" applyBorder="1" applyAlignment="1">
      <alignment horizontal="left" vertical="center" wrapText="1"/>
    </xf>
    <xf numFmtId="0" fontId="38" fillId="0" borderId="4" xfId="1" applyFont="1" applyFill="1" applyBorder="1" applyAlignment="1">
      <alignment horizontal="center" vertical="center" wrapText="1"/>
    </xf>
    <xf numFmtId="164" fontId="38" fillId="0" borderId="2" xfId="1" applyNumberFormat="1" applyFont="1" applyFill="1" applyBorder="1" applyAlignment="1"/>
    <xf numFmtId="0" fontId="52" fillId="0" borderId="0" xfId="1" applyFont="1" applyFill="1" applyAlignment="1">
      <alignment vertical="center"/>
    </xf>
    <xf numFmtId="0" fontId="38" fillId="0" borderId="0" xfId="1" applyFont="1" applyFill="1" applyAlignment="1">
      <alignment horizontal="center"/>
    </xf>
    <xf numFmtId="0" fontId="53" fillId="0" borderId="0" xfId="1" applyFont="1" applyFill="1" applyAlignment="1">
      <alignment vertical="center"/>
    </xf>
    <xf numFmtId="0" fontId="38" fillId="0" borderId="5" xfId="1" applyFont="1" applyFill="1" applyBorder="1" applyAlignment="1">
      <alignment horizontal="left" vertical="center" wrapText="1"/>
    </xf>
    <xf numFmtId="0" fontId="38" fillId="0" borderId="5" xfId="1" applyFont="1" applyFill="1" applyBorder="1" applyAlignment="1">
      <alignment horizontal="center" vertical="center" wrapText="1"/>
    </xf>
    <xf numFmtId="0" fontId="53" fillId="0" borderId="5" xfId="1" applyFont="1" applyFill="1" applyBorder="1" applyAlignment="1">
      <alignment horizontal="center" vertical="center"/>
    </xf>
    <xf numFmtId="4" fontId="38" fillId="0" borderId="5" xfId="1" applyNumberFormat="1" applyFont="1" applyFill="1" applyBorder="1" applyAlignment="1"/>
    <xf numFmtId="4" fontId="38" fillId="0" borderId="22" xfId="1" applyNumberFormat="1" applyFont="1" applyFill="1" applyBorder="1"/>
    <xf numFmtId="4" fontId="38" fillId="0" borderId="17" xfId="2" applyNumberFormat="1" applyFont="1" applyFill="1" applyBorder="1" applyAlignment="1"/>
    <xf numFmtId="0" fontId="38" fillId="0" borderId="22" xfId="2" applyFont="1" applyFill="1" applyBorder="1" applyAlignment="1" applyProtection="1">
      <alignment horizontal="left" vertical="center" wrapText="1"/>
    </xf>
    <xf numFmtId="4" fontId="53" fillId="0" borderId="22" xfId="1" applyNumberFormat="1" applyFont="1" applyFill="1" applyBorder="1"/>
    <xf numFmtId="0" fontId="53" fillId="2" borderId="1" xfId="1" applyFont="1" applyFill="1" applyBorder="1" applyAlignment="1">
      <alignment horizontal="center" vertical="center" wrapText="1"/>
    </xf>
    <xf numFmtId="0" fontId="58" fillId="0" borderId="0" xfId="110" applyFont="1" applyProtection="1">
      <protection locked="0"/>
    </xf>
    <xf numFmtId="0" fontId="44" fillId="0" borderId="0" xfId="110" applyFont="1" applyProtection="1">
      <protection locked="0"/>
    </xf>
    <xf numFmtId="0" fontId="39" fillId="0" borderId="0" xfId="110"/>
    <xf numFmtId="0" fontId="44" fillId="0" borderId="0" xfId="110" applyFont="1"/>
    <xf numFmtId="0" fontId="44" fillId="0" borderId="0" xfId="110" applyFont="1" applyBorder="1" applyProtection="1">
      <protection locked="0"/>
    </xf>
    <xf numFmtId="0" fontId="46" fillId="0" borderId="8" xfId="110" applyFont="1" applyBorder="1" applyAlignment="1" applyProtection="1">
      <alignment vertical="center" wrapText="1"/>
      <protection locked="0"/>
    </xf>
    <xf numFmtId="0" fontId="49" fillId="0" borderId="9" xfId="110" applyFont="1" applyBorder="1" applyAlignment="1">
      <alignment horizontal="left" vertical="center"/>
    </xf>
    <xf numFmtId="0" fontId="49" fillId="0" borderId="11" xfId="110" applyFont="1" applyBorder="1" applyAlignment="1">
      <alignment horizontal="left" vertical="center" wrapText="1" indent="2"/>
    </xf>
    <xf numFmtId="0" fontId="49" fillId="0" borderId="11" xfId="110" applyFont="1" applyBorder="1" applyAlignment="1">
      <alignment horizontal="left" vertical="center" wrapText="1" indent="4"/>
    </xf>
    <xf numFmtId="0" fontId="49" fillId="0" borderId="11" xfId="110" applyFont="1" applyBorder="1" applyAlignment="1">
      <alignment horizontal="left" vertical="center" wrapText="1" indent="6"/>
    </xf>
    <xf numFmtId="0" fontId="47" fillId="0" borderId="9" xfId="110" applyFont="1" applyBorder="1" applyAlignment="1">
      <alignment horizontal="left" vertical="center"/>
    </xf>
    <xf numFmtId="0" fontId="47" fillId="0" borderId="11" xfId="110" applyFont="1" applyBorder="1" applyAlignment="1">
      <alignment vertical="center" wrapText="1"/>
    </xf>
    <xf numFmtId="0" fontId="49" fillId="0" borderId="11" xfId="110" applyFont="1" applyBorder="1" applyAlignment="1">
      <alignment horizontal="left" vertical="center" wrapText="1" indent="8"/>
    </xf>
    <xf numFmtId="0" fontId="47" fillId="0" borderId="9" xfId="110" quotePrefix="1" applyFont="1" applyBorder="1" applyAlignment="1">
      <alignment horizontal="left" vertical="center"/>
    </xf>
    <xf numFmtId="0" fontId="49" fillId="0" borderId="9" xfId="110" applyFont="1" applyBorder="1" applyAlignment="1" applyProtection="1">
      <alignment horizontal="left" vertical="center"/>
      <protection locked="0"/>
    </xf>
    <xf numFmtId="0" fontId="49" fillId="0" borderId="11" xfId="110" applyFont="1" applyBorder="1" applyAlignment="1" applyProtection="1">
      <alignment horizontal="left" vertical="center" wrapText="1" indent="2"/>
      <protection locked="0"/>
    </xf>
    <xf numFmtId="0" fontId="49" fillId="0" borderId="11" xfId="110" quotePrefix="1" applyFont="1" applyBorder="1" applyAlignment="1">
      <alignment horizontal="left" vertical="center" wrapText="1" indent="2"/>
    </xf>
    <xf numFmtId="10" fontId="50" fillId="0" borderId="10" xfId="125" applyNumberFormat="1" applyFont="1" applyFill="1" applyBorder="1" applyAlignment="1">
      <alignment vertical="center" shrinkToFit="1"/>
    </xf>
    <xf numFmtId="0" fontId="49" fillId="0" borderId="13" xfId="110" applyFont="1" applyBorder="1" applyAlignment="1">
      <alignment horizontal="left" vertical="center"/>
    </xf>
    <xf numFmtId="0" fontId="49" fillId="0" borderId="15" xfId="110" applyFont="1" applyBorder="1" applyAlignment="1">
      <alignment horizontal="left" vertical="center" wrapText="1" indent="2"/>
    </xf>
    <xf numFmtId="10" fontId="50" fillId="0" borderId="14" xfId="125" applyNumberFormat="1" applyFont="1" applyFill="1" applyBorder="1" applyAlignment="1">
      <alignment vertical="center" shrinkToFit="1"/>
    </xf>
    <xf numFmtId="0" fontId="44" fillId="0" borderId="0" xfId="110" applyFont="1" applyBorder="1" applyAlignment="1" applyProtection="1">
      <alignment vertical="center"/>
      <protection locked="0"/>
    </xf>
    <xf numFmtId="0" fontId="93" fillId="0" borderId="1" xfId="1" applyFont="1" applyFill="1" applyBorder="1" applyAlignment="1">
      <alignment horizontal="center" vertical="center"/>
    </xf>
    <xf numFmtId="0" fontId="93" fillId="0" borderId="5" xfId="1" applyFont="1" applyFill="1" applyBorder="1" applyAlignment="1">
      <alignment horizontal="center" vertical="center"/>
    </xf>
    <xf numFmtId="0" fontId="56" fillId="0" borderId="5" xfId="1" applyFont="1" applyFill="1" applyBorder="1" applyAlignment="1">
      <alignment horizontal="left" vertical="center" wrapText="1"/>
    </xf>
    <xf numFmtId="0" fontId="56" fillId="0" borderId="5" xfId="1" applyFont="1" applyFill="1" applyBorder="1" applyAlignment="1">
      <alignment horizontal="center" vertical="center" wrapText="1"/>
    </xf>
    <xf numFmtId="4" fontId="56" fillId="0" borderId="5" xfId="1" applyNumberFormat="1" applyFont="1" applyFill="1" applyBorder="1" applyAlignment="1"/>
    <xf numFmtId="0" fontId="57" fillId="6" borderId="20" xfId="1" applyFont="1" applyFill="1" applyBorder="1" applyAlignment="1">
      <alignment horizontal="center"/>
    </xf>
    <xf numFmtId="4" fontId="57" fillId="6" borderId="20" xfId="1" applyNumberFormat="1" applyFont="1" applyFill="1" applyBorder="1"/>
    <xf numFmtId="0" fontId="57" fillId="6" borderId="18" xfId="11" applyFont="1" applyFill="1" applyBorder="1" applyAlignment="1" applyProtection="1">
      <alignment vertical="center" wrapText="1"/>
    </xf>
    <xf numFmtId="0" fontId="57" fillId="6" borderId="19" xfId="2" applyFont="1" applyFill="1" applyBorder="1" applyAlignment="1">
      <alignment horizontal="center" vertical="center" wrapText="1"/>
    </xf>
    <xf numFmtId="0" fontId="57" fillId="6" borderId="20" xfId="1" applyFont="1" applyFill="1" applyBorder="1"/>
    <xf numFmtId="0" fontId="57" fillId="6" borderId="20" xfId="0" applyFont="1" applyFill="1" applyBorder="1" applyAlignment="1">
      <alignment vertical="center" wrapText="1"/>
    </xf>
    <xf numFmtId="0" fontId="57" fillId="6" borderId="20" xfId="2" applyFont="1" applyFill="1" applyBorder="1" applyAlignment="1">
      <alignment horizontal="center" vertical="center" wrapText="1"/>
    </xf>
    <xf numFmtId="0" fontId="94" fillId="0" borderId="0" xfId="1" applyFont="1" applyFill="1"/>
    <xf numFmtId="0" fontId="57" fillId="0" borderId="0" xfId="1" applyFont="1"/>
    <xf numFmtId="0" fontId="57" fillId="6" borderId="17" xfId="2" applyFont="1" applyFill="1" applyBorder="1" applyAlignment="1">
      <alignment horizontal="center" vertical="center"/>
    </xf>
    <xf numFmtId="0" fontId="57" fillId="6" borderId="17" xfId="2" applyFont="1" applyFill="1" applyBorder="1" applyAlignment="1">
      <alignment horizontal="left" vertical="center" wrapText="1"/>
    </xf>
    <xf numFmtId="0" fontId="57" fillId="6" borderId="17" xfId="2" applyFont="1" applyFill="1" applyBorder="1" applyAlignment="1">
      <alignment horizontal="center" vertical="center" wrapText="1"/>
    </xf>
    <xf numFmtId="4" fontId="57" fillId="6" borderId="17" xfId="2" applyNumberFormat="1" applyFont="1" applyFill="1" applyBorder="1" applyAlignment="1"/>
    <xf numFmtId="0" fontId="57" fillId="6" borderId="20" xfId="2" applyFont="1" applyFill="1" applyBorder="1" applyAlignment="1">
      <alignment horizontal="center" vertical="center"/>
    </xf>
    <xf numFmtId="4" fontId="57" fillId="6" borderId="20" xfId="2" applyNumberFormat="1" applyFont="1" applyFill="1" applyBorder="1" applyAlignment="1"/>
    <xf numFmtId="4" fontId="57" fillId="6" borderId="20" xfId="1" applyNumberFormat="1" applyFont="1" applyFill="1" applyBorder="1" applyAlignment="1"/>
    <xf numFmtId="0" fontId="57" fillId="6" borderId="20" xfId="2" applyFont="1" applyFill="1" applyBorder="1" applyAlignment="1">
      <alignment horizontal="left" vertical="center" wrapText="1"/>
    </xf>
    <xf numFmtId="0" fontId="57" fillId="6" borderId="1" xfId="1" applyFont="1" applyFill="1" applyBorder="1" applyAlignment="1">
      <alignment vertical="center" wrapText="1"/>
    </xf>
    <xf numFmtId="0" fontId="57" fillId="6" borderId="1" xfId="2" applyFont="1" applyFill="1" applyBorder="1" applyAlignment="1">
      <alignment horizontal="center" vertical="center" wrapText="1"/>
    </xf>
    <xf numFmtId="4" fontId="57" fillId="6" borderId="1" xfId="1" applyNumberFormat="1" applyFont="1" applyFill="1" applyBorder="1"/>
    <xf numFmtId="0" fontId="94" fillId="0" borderId="0" xfId="1" applyFont="1" applyFill="1" applyAlignment="1">
      <alignment vertical="center"/>
    </xf>
    <xf numFmtId="0" fontId="38" fillId="0" borderId="1" xfId="1" applyFont="1" applyFill="1" applyBorder="1" applyAlignment="1">
      <alignment horizontal="center" vertical="center"/>
    </xf>
    <xf numFmtId="0" fontId="38" fillId="0" borderId="17" xfId="2" applyFont="1" applyFill="1" applyBorder="1" applyAlignment="1">
      <alignment horizontal="center" vertical="center"/>
    </xf>
    <xf numFmtId="165" fontId="48" fillId="0" borderId="12" xfId="4" applyNumberFormat="1" applyFont="1" applyFill="1" applyBorder="1" applyAlignment="1">
      <alignment vertical="center" shrinkToFit="1"/>
    </xf>
    <xf numFmtId="10" fontId="50" fillId="0" borderId="12" xfId="4" applyNumberFormat="1" applyFont="1" applyFill="1" applyBorder="1" applyAlignment="1">
      <alignment vertical="center" shrinkToFit="1"/>
    </xf>
    <xf numFmtId="165" fontId="50" fillId="0" borderId="12" xfId="4" applyNumberFormat="1" applyFont="1" applyFill="1" applyBorder="1" applyAlignment="1">
      <alignment horizontal="center" vertical="center" shrinkToFit="1"/>
    </xf>
    <xf numFmtId="10" fontId="50" fillId="0" borderId="12" xfId="125" applyNumberFormat="1" applyFont="1" applyFill="1" applyBorder="1" applyAlignment="1">
      <alignment vertical="center" shrinkToFit="1"/>
    </xf>
    <xf numFmtId="10" fontId="50" fillId="0" borderId="16" xfId="125" applyNumberFormat="1" applyFont="1" applyFill="1" applyBorder="1" applyAlignment="1">
      <alignment vertical="center" shrinkToFit="1"/>
    </xf>
    <xf numFmtId="1" fontId="45" fillId="4" borderId="26" xfId="4" applyNumberFormat="1" applyFont="1" applyFill="1" applyBorder="1" applyAlignment="1">
      <alignment horizontal="center" vertical="center"/>
    </xf>
    <xf numFmtId="0" fontId="46" fillId="0" borderId="0" xfId="110" applyFont="1" applyBorder="1" applyAlignment="1" applyProtection="1">
      <alignment horizontal="left" vertical="center"/>
      <protection locked="0"/>
    </xf>
    <xf numFmtId="0" fontId="47" fillId="0" borderId="27" xfId="110" applyFont="1" applyBorder="1" applyAlignment="1">
      <alignment horizontal="left" vertical="center"/>
    </xf>
    <xf numFmtId="0" fontId="47" fillId="0" borderId="29" xfId="110" applyFont="1" applyBorder="1" applyAlignment="1">
      <alignment vertical="center" wrapText="1"/>
    </xf>
    <xf numFmtId="165" fontId="48" fillId="3" borderId="30" xfId="4" applyNumberFormat="1" applyFont="1" applyFill="1" applyBorder="1" applyAlignment="1">
      <alignment vertical="center" shrinkToFit="1"/>
    </xf>
    <xf numFmtId="165" fontId="48" fillId="3" borderId="28" xfId="4" applyNumberFormat="1" applyFont="1" applyFill="1" applyBorder="1" applyAlignment="1">
      <alignment vertical="center" shrinkToFit="1"/>
    </xf>
    <xf numFmtId="165" fontId="48" fillId="3" borderId="29" xfId="4" applyNumberFormat="1" applyFont="1" applyFill="1" applyBorder="1" applyAlignment="1">
      <alignment vertical="center" shrinkToFit="1"/>
    </xf>
    <xf numFmtId="165" fontId="48" fillId="0" borderId="30" xfId="4" applyNumberFormat="1" applyFont="1" applyFill="1" applyBorder="1" applyAlignment="1">
      <alignment vertical="center" shrinkToFit="1"/>
    </xf>
    <xf numFmtId="165" fontId="48" fillId="0" borderId="28" xfId="4" applyNumberFormat="1" applyFont="1" applyFill="1" applyBorder="1" applyAlignment="1">
      <alignment vertical="center" shrinkToFit="1"/>
    </xf>
    <xf numFmtId="0" fontId="43" fillId="0" borderId="0" xfId="3" applyFont="1" applyAlignment="1"/>
    <xf numFmtId="0" fontId="95" fillId="6" borderId="22" xfId="0" applyFont="1" applyFill="1" applyBorder="1" applyAlignment="1">
      <alignment wrapText="1"/>
    </xf>
    <xf numFmtId="0" fontId="57" fillId="6" borderId="22" xfId="1" applyFont="1" applyFill="1" applyBorder="1" applyAlignment="1">
      <alignment horizontal="center"/>
    </xf>
    <xf numFmtId="4" fontId="57" fillId="6" borderId="22" xfId="1" applyNumberFormat="1" applyFont="1" applyFill="1" applyBorder="1"/>
    <xf numFmtId="0" fontId="45" fillId="0" borderId="8" xfId="110" applyFont="1" applyBorder="1" applyAlignment="1" applyProtection="1">
      <alignment horizontal="center" vertical="center" wrapText="1"/>
      <protection locked="0"/>
    </xf>
    <xf numFmtId="0" fontId="45" fillId="0" borderId="8" xfId="110" applyFont="1" applyBorder="1" applyAlignment="1" applyProtection="1">
      <alignment horizontal="center" vertical="center" wrapText="1"/>
      <protection locked="0"/>
    </xf>
    <xf numFmtId="0" fontId="43" fillId="0" borderId="0" xfId="3" applyFont="1" applyAlignment="1">
      <alignment horizontal="center"/>
    </xf>
    <xf numFmtId="0" fontId="53" fillId="3" borderId="31" xfId="1" applyFont="1" applyFill="1" applyBorder="1" applyAlignment="1">
      <alignment horizontal="left" vertical="center" wrapText="1"/>
    </xf>
    <xf numFmtId="0" fontId="53" fillId="3" borderId="32" xfId="1" applyFont="1" applyFill="1" applyBorder="1" applyAlignment="1">
      <alignment horizontal="left" vertical="center" wrapText="1"/>
    </xf>
    <xf numFmtId="0" fontId="53" fillId="3" borderId="21" xfId="1" applyFont="1" applyFill="1" applyBorder="1" applyAlignment="1">
      <alignment horizontal="left" vertical="center" wrapText="1"/>
    </xf>
    <xf numFmtId="0" fontId="53" fillId="3" borderId="1" xfId="1" applyFont="1" applyFill="1" applyBorder="1" applyAlignment="1">
      <alignment horizontal="left" vertical="center" wrapText="1"/>
    </xf>
    <xf numFmtId="0" fontId="51" fillId="0" borderId="0" xfId="1" applyFont="1" applyAlignment="1">
      <alignment horizontal="center" vertical="center"/>
    </xf>
    <xf numFmtId="0" fontId="53" fillId="2" borderId="1" xfId="1" applyFont="1" applyFill="1" applyBorder="1" applyAlignment="1">
      <alignment horizontal="center" vertical="center" wrapText="1"/>
    </xf>
    <xf numFmtId="0" fontId="53" fillId="2" borderId="31" xfId="1" applyFont="1" applyFill="1" applyBorder="1" applyAlignment="1">
      <alignment horizontal="center" vertical="center"/>
    </xf>
    <xf numFmtId="0" fontId="53" fillId="2" borderId="32" xfId="1" applyFont="1" applyFill="1" applyBorder="1" applyAlignment="1">
      <alignment horizontal="center" vertical="center"/>
    </xf>
    <xf numFmtId="0" fontId="53" fillId="2" borderId="21" xfId="1" applyFont="1" applyFill="1" applyBorder="1" applyAlignment="1">
      <alignment horizontal="center" vertical="center"/>
    </xf>
  </cellXfs>
  <cellStyles count="147">
    <cellStyle name="20% - akcent 1 2" xfId="42"/>
    <cellStyle name="20% - akcent 1 3" xfId="43"/>
    <cellStyle name="20% - akcent 2 2" xfId="44"/>
    <cellStyle name="20% - akcent 2 3" xfId="45"/>
    <cellStyle name="20% - akcent 3 2" xfId="46"/>
    <cellStyle name="20% - akcent 3 3" xfId="47"/>
    <cellStyle name="20% - akcent 4 2" xfId="48"/>
    <cellStyle name="20% - akcent 4 3" xfId="49"/>
    <cellStyle name="20% - akcent 5 2" xfId="50"/>
    <cellStyle name="20% - akcent 5 3" xfId="51"/>
    <cellStyle name="20% - akcent 6 2" xfId="52"/>
    <cellStyle name="20% - akcent 6 3" xfId="53"/>
    <cellStyle name="40% - akcent 1 2" xfId="54"/>
    <cellStyle name="40% - akcent 1 3" xfId="55"/>
    <cellStyle name="40% - akcent 2 2" xfId="56"/>
    <cellStyle name="40% - akcent 2 3" xfId="57"/>
    <cellStyle name="40% - akcent 3 2" xfId="58"/>
    <cellStyle name="40% - akcent 3 3" xfId="59"/>
    <cellStyle name="40% - akcent 4 2" xfId="60"/>
    <cellStyle name="40% - akcent 4 3" xfId="61"/>
    <cellStyle name="40% - akcent 5 2" xfId="62"/>
    <cellStyle name="40% - akcent 5 3" xfId="63"/>
    <cellStyle name="40% - akcent 6 2" xfId="64"/>
    <cellStyle name="40% - akcent 6 3" xfId="65"/>
    <cellStyle name="60% - akcent 1 2" xfId="66"/>
    <cellStyle name="60% - akcent 1 3" xfId="67"/>
    <cellStyle name="60% - akcent 2 2" xfId="68"/>
    <cellStyle name="60% - akcent 2 3" xfId="69"/>
    <cellStyle name="60% - akcent 3 2" xfId="70"/>
    <cellStyle name="60% - akcent 3 3" xfId="71"/>
    <cellStyle name="60% - akcent 4 2" xfId="72"/>
    <cellStyle name="60% - akcent 4 3" xfId="73"/>
    <cellStyle name="60% - akcent 5 2" xfId="74"/>
    <cellStyle name="60% - akcent 5 3" xfId="75"/>
    <cellStyle name="60% - akcent 6 2" xfId="76"/>
    <cellStyle name="60% - akcent 6 3" xfId="77"/>
    <cellStyle name="Akcent 1 2" xfId="78"/>
    <cellStyle name="Akcent 1 3" xfId="79"/>
    <cellStyle name="Akcent 2 2" xfId="80"/>
    <cellStyle name="Akcent 2 3" xfId="81"/>
    <cellStyle name="Akcent 3 2" xfId="82"/>
    <cellStyle name="Akcent 3 3" xfId="83"/>
    <cellStyle name="Akcent 4 2" xfId="84"/>
    <cellStyle name="Akcent 4 3" xfId="85"/>
    <cellStyle name="Akcent 5 2" xfId="86"/>
    <cellStyle name="Akcent 5 3" xfId="87"/>
    <cellStyle name="Akcent 6 2" xfId="88"/>
    <cellStyle name="Akcent 6 3" xfId="89"/>
    <cellStyle name="Dane wejściowe 2" xfId="90"/>
    <cellStyle name="Dane wejściowe 3" xfId="91"/>
    <cellStyle name="Dane wyjściowe 2" xfId="92"/>
    <cellStyle name="Dane wyjściowe 3" xfId="93"/>
    <cellStyle name="Dobre 2" xfId="94"/>
    <cellStyle name="Dobre 3" xfId="95"/>
    <cellStyle name="Komórka połączona 2" xfId="96"/>
    <cellStyle name="Komórka połączona 3" xfId="97"/>
    <cellStyle name="Komórka zaznaczona 2" xfId="98"/>
    <cellStyle name="Komórka zaznaczona 3" xfId="99"/>
    <cellStyle name="Nagłówek 1 2" xfId="100"/>
    <cellStyle name="Nagłówek 1 3" xfId="101"/>
    <cellStyle name="Nagłówek 2 2" xfId="102"/>
    <cellStyle name="Nagłówek 2 3" xfId="103"/>
    <cellStyle name="Nagłówek 3 2" xfId="104"/>
    <cellStyle name="Nagłówek 3 3" xfId="105"/>
    <cellStyle name="Nagłówek 4 2" xfId="106"/>
    <cellStyle name="Nagłówek 4 3" xfId="107"/>
    <cellStyle name="Neutralne 2" xfId="108"/>
    <cellStyle name="Neutralne 3" xfId="109"/>
    <cellStyle name="Normalny" xfId="0" builtinId="0"/>
    <cellStyle name="Normalny 2" xfId="1"/>
    <cellStyle name="Normalny 2 2" xfId="23"/>
    <cellStyle name="Normalny 2 2 2" xfId="2"/>
    <cellStyle name="Normalny 2 2 3" xfId="110"/>
    <cellStyle name="Normalny 2 3" xfId="111"/>
    <cellStyle name="Normalny 2 4" xfId="11"/>
    <cellStyle name="Normalny 2 4 2" xfId="112"/>
    <cellStyle name="Normalny 2 5" xfId="113"/>
    <cellStyle name="Normalny 2 6" xfId="114"/>
    <cellStyle name="Normalny 2 7" xfId="115"/>
    <cellStyle name="Normalny 3" xfId="3"/>
    <cellStyle name="Normalny 3 2" xfId="116"/>
    <cellStyle name="Normalny 4" xfId="117"/>
    <cellStyle name="Normalny 5" xfId="118"/>
    <cellStyle name="Normalny 6" xfId="119"/>
    <cellStyle name="Normalny 6 2" xfId="4"/>
    <cellStyle name="Normalny 7" xfId="120"/>
    <cellStyle name="Normalny 7 2" xfId="121"/>
    <cellStyle name="Normalny 8" xfId="7"/>
    <cellStyle name="Normalny 8 10" xfId="17"/>
    <cellStyle name="Normalny 8 11" xfId="18"/>
    <cellStyle name="Normalny 8 12" xfId="19"/>
    <cellStyle name="Normalny 8 13" xfId="20"/>
    <cellStyle name="Normalny 8 14" xfId="21"/>
    <cellStyle name="Normalny 8 15" xfId="22"/>
    <cellStyle name="Normalny 8 16" xfId="24"/>
    <cellStyle name="Normalny 8 17" xfId="25"/>
    <cellStyle name="Normalny 8 18" xfId="26"/>
    <cellStyle name="Normalny 8 19" xfId="27"/>
    <cellStyle name="Normalny 8 2" xfId="8"/>
    <cellStyle name="Normalny 8 20" xfId="28"/>
    <cellStyle name="Normalny 8 21" xfId="29"/>
    <cellStyle name="Normalny 8 22" xfId="30"/>
    <cellStyle name="Normalny 8 23" xfId="31"/>
    <cellStyle name="Normalny 8 24" xfId="32"/>
    <cellStyle name="Normalny 8 25" xfId="33"/>
    <cellStyle name="Normalny 8 26" xfId="34"/>
    <cellStyle name="Normalny 8 27" xfId="35"/>
    <cellStyle name="Normalny 8 28" xfId="36"/>
    <cellStyle name="Normalny 8 29" xfId="37"/>
    <cellStyle name="Normalny 8 3" xfId="9"/>
    <cellStyle name="Normalny 8 30" xfId="38"/>
    <cellStyle name="Normalny 8 31" xfId="39"/>
    <cellStyle name="Normalny 8 32" xfId="40"/>
    <cellStyle name="Normalny 8 33" xfId="41"/>
    <cellStyle name="Normalny 8 34" xfId="122"/>
    <cellStyle name="Normalny 8 35" xfId="144"/>
    <cellStyle name="Normalny 8 36" xfId="145"/>
    <cellStyle name="Normalny 8 37" xfId="146"/>
    <cellStyle name="Normalny 8 4" xfId="10"/>
    <cellStyle name="Normalny 8 5" xfId="12"/>
    <cellStyle name="Normalny 8 6" xfId="13"/>
    <cellStyle name="Normalny 8 7" xfId="14"/>
    <cellStyle name="Normalny 8 8" xfId="15"/>
    <cellStyle name="Normalny 8 9" xfId="16"/>
    <cellStyle name="Normalny 9" xfId="5"/>
    <cellStyle name="Obliczenia 2" xfId="123"/>
    <cellStyle name="Obliczenia 3" xfId="124"/>
    <cellStyle name="Procentowy 2" xfId="125"/>
    <cellStyle name="Procentowy 2 2" xfId="6"/>
    <cellStyle name="Procentowy 2 3" xfId="126"/>
    <cellStyle name="Procentowy 3" xfId="127"/>
    <cellStyle name="Procentowy 3 2" xfId="128"/>
    <cellStyle name="Procentowy 4" xfId="129"/>
    <cellStyle name="Procentowy 5" xfId="130"/>
    <cellStyle name="Procentowy 6" xfId="131"/>
    <cellStyle name="Suma 2" xfId="132"/>
    <cellStyle name="Suma 3" xfId="133"/>
    <cellStyle name="Tekst objaśnienia 2" xfId="134"/>
    <cellStyle name="Tekst objaśnienia 3" xfId="135"/>
    <cellStyle name="Tekst ostrzeżenia 2" xfId="136"/>
    <cellStyle name="Tekst ostrzeżenia 3" xfId="137"/>
    <cellStyle name="Tytuł 2" xfId="139"/>
    <cellStyle name="Tytuł 3" xfId="138"/>
    <cellStyle name="Uwaga 2" xfId="140"/>
    <cellStyle name="Uwaga 3" xfId="141"/>
    <cellStyle name="Złe 2" xfId="142"/>
    <cellStyle name="Złe 3" xfId="143"/>
  </cellStyles>
  <dxfs count="2"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</dxfs>
  <tableStyles count="0" defaultTableStyle="TableStyleMedium2" defaultPivotStyle="PivotStyleMedium9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or&#243;wnanie_31_10_20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Raport%2002-07-20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raport_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icja"/>
      <sheetName val="WPF=Budzet (rok N)"/>
      <sheetName val="WPF a wykonanie (wybr okr)"/>
      <sheetName val="OpisZmian"/>
      <sheetName val="DaneBudzet"/>
      <sheetName val="DaneZrodlowe"/>
    </sheetNames>
    <sheetDataSet>
      <sheetData sheetId="0">
        <row r="4">
          <cell r="B4">
            <v>2019</v>
          </cell>
        </row>
        <row r="5">
          <cell r="B5">
            <v>4</v>
          </cell>
          <cell r="H5" t="b">
            <v>1</v>
          </cell>
        </row>
      </sheetData>
      <sheetData sheetId="1"/>
      <sheetData sheetId="2" refreshError="1"/>
      <sheetData sheetId="3" refreshError="1"/>
      <sheetData sheetId="4" refreshError="1"/>
      <sheetData sheetId="5">
        <row r="1">
          <cell r="O1">
            <v>2019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eZrodlowe"/>
      <sheetName val="DaneZrodloweDoWsk"/>
      <sheetName val="WPF_bazowy"/>
      <sheetName val="WskArt_31zl"/>
      <sheetName val="WPF_Analiza"/>
      <sheetName val="rysunki"/>
      <sheetName val="opis zmian"/>
      <sheetName val="definicja"/>
    </sheetNames>
    <sheetDataSet>
      <sheetData sheetId="0">
        <row r="1">
          <cell r="N1">
            <v>2020</v>
          </cell>
        </row>
        <row r="2">
          <cell r="N2">
            <v>2033</v>
          </cell>
        </row>
      </sheetData>
      <sheetData sheetId="1"/>
      <sheetData sheetId="2"/>
      <sheetData sheetId="3"/>
      <sheetData sheetId="4">
        <row r="1">
          <cell r="M1">
            <v>2033</v>
          </cell>
        </row>
      </sheetData>
      <sheetData sheetId="5"/>
      <sheetData sheetId="6"/>
      <sheetData sheetId="7">
        <row r="1">
          <cell r="D1" t="str">
            <v>ver 2020-05-20a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ł.1_WPF_bazowy"/>
      <sheetName val="WPF_Analiza"/>
      <sheetName val="rysunki"/>
      <sheetName val="opis zmian"/>
      <sheetName val="definicja"/>
      <sheetName val="DaneZrodlowe"/>
      <sheetName val="DaneZrodloweDoWsk"/>
    </sheetNames>
    <sheetDataSet>
      <sheetData sheetId="0"/>
      <sheetData sheetId="1">
        <row r="1">
          <cell r="L1" t="str">
            <v>Ostatni rok analizy:</v>
          </cell>
        </row>
      </sheetData>
      <sheetData sheetId="2" refreshError="1"/>
      <sheetData sheetId="3" refreshError="1"/>
      <sheetData sheetId="4">
        <row r="1">
          <cell r="D1" t="str">
            <v>ver 2019-11-26b</v>
          </cell>
        </row>
      </sheetData>
      <sheetData sheetId="5">
        <row r="1">
          <cell r="N1">
            <v>2020</v>
          </cell>
          <cell r="Q1">
            <v>2033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outlinePr summaryBelow="0"/>
  </sheetPr>
  <dimension ref="A1:U103"/>
  <sheetViews>
    <sheetView tabSelected="1" zoomScaleNormal="100" zoomScaleSheetLayoutView="100" workbookViewId="0">
      <pane xSplit="2" ySplit="3" topLeftCell="C50" activePane="bottomRight" state="frozen"/>
      <selection activeCell="F124" sqref="F124"/>
      <selection pane="topRight" activeCell="F124" sqref="F124"/>
      <selection pane="bottomLeft" activeCell="F124" sqref="F124"/>
      <selection pane="bottomRight" activeCell="C67" sqref="C67"/>
    </sheetView>
  </sheetViews>
  <sheetFormatPr defaultRowHeight="14.25"/>
  <cols>
    <col min="1" max="1" width="6.85546875" style="145" customWidth="1"/>
    <col min="2" max="2" width="36.7109375" style="145" customWidth="1"/>
    <col min="3" max="20" width="11.28515625" style="145" customWidth="1"/>
    <col min="21" max="217" width="9.140625" style="144"/>
    <col min="218" max="219" width="4.85546875" style="144" customWidth="1"/>
    <col min="220" max="220" width="7.5703125" style="144" customWidth="1"/>
    <col min="221" max="221" width="0" style="144" hidden="1" customWidth="1"/>
    <col min="222" max="222" width="63.7109375" style="144" customWidth="1"/>
    <col min="223" max="226" width="0" style="144" hidden="1" customWidth="1"/>
    <col min="227" max="266" width="16" style="144" customWidth="1"/>
    <col min="267" max="473" width="9.140625" style="144"/>
    <col min="474" max="475" width="4.85546875" style="144" customWidth="1"/>
    <col min="476" max="476" width="7.5703125" style="144" customWidth="1"/>
    <col min="477" max="477" width="0" style="144" hidden="1" customWidth="1"/>
    <col min="478" max="478" width="63.7109375" style="144" customWidth="1"/>
    <col min="479" max="482" width="0" style="144" hidden="1" customWidth="1"/>
    <col min="483" max="522" width="16" style="144" customWidth="1"/>
    <col min="523" max="729" width="9.140625" style="144"/>
    <col min="730" max="731" width="4.85546875" style="144" customWidth="1"/>
    <col min="732" max="732" width="7.5703125" style="144" customWidth="1"/>
    <col min="733" max="733" width="0" style="144" hidden="1" customWidth="1"/>
    <col min="734" max="734" width="63.7109375" style="144" customWidth="1"/>
    <col min="735" max="738" width="0" style="144" hidden="1" customWidth="1"/>
    <col min="739" max="778" width="16" style="144" customWidth="1"/>
    <col min="779" max="985" width="9.140625" style="144"/>
    <col min="986" max="987" width="4.85546875" style="144" customWidth="1"/>
    <col min="988" max="988" width="7.5703125" style="144" customWidth="1"/>
    <col min="989" max="989" width="0" style="144" hidden="1" customWidth="1"/>
    <col min="990" max="990" width="63.7109375" style="144" customWidth="1"/>
    <col min="991" max="994" width="0" style="144" hidden="1" customWidth="1"/>
    <col min="995" max="1034" width="16" style="144" customWidth="1"/>
    <col min="1035" max="1241" width="9.140625" style="144"/>
    <col min="1242" max="1243" width="4.85546875" style="144" customWidth="1"/>
    <col min="1244" max="1244" width="7.5703125" style="144" customWidth="1"/>
    <col min="1245" max="1245" width="0" style="144" hidden="1" customWidth="1"/>
    <col min="1246" max="1246" width="63.7109375" style="144" customWidth="1"/>
    <col min="1247" max="1250" width="0" style="144" hidden="1" customWidth="1"/>
    <col min="1251" max="1290" width="16" style="144" customWidth="1"/>
    <col min="1291" max="1497" width="9.140625" style="144"/>
    <col min="1498" max="1499" width="4.85546875" style="144" customWidth="1"/>
    <col min="1500" max="1500" width="7.5703125" style="144" customWidth="1"/>
    <col min="1501" max="1501" width="0" style="144" hidden="1" customWidth="1"/>
    <col min="1502" max="1502" width="63.7109375" style="144" customWidth="1"/>
    <col min="1503" max="1506" width="0" style="144" hidden="1" customWidth="1"/>
    <col min="1507" max="1546" width="16" style="144" customWidth="1"/>
    <col min="1547" max="1753" width="9.140625" style="144"/>
    <col min="1754" max="1755" width="4.85546875" style="144" customWidth="1"/>
    <col min="1756" max="1756" width="7.5703125" style="144" customWidth="1"/>
    <col min="1757" max="1757" width="0" style="144" hidden="1" customWidth="1"/>
    <col min="1758" max="1758" width="63.7109375" style="144" customWidth="1"/>
    <col min="1759" max="1762" width="0" style="144" hidden="1" customWidth="1"/>
    <col min="1763" max="1802" width="16" style="144" customWidth="1"/>
    <col min="1803" max="2009" width="9.140625" style="144"/>
    <col min="2010" max="2011" width="4.85546875" style="144" customWidth="1"/>
    <col min="2012" max="2012" width="7.5703125" style="144" customWidth="1"/>
    <col min="2013" max="2013" width="0" style="144" hidden="1" customWidth="1"/>
    <col min="2014" max="2014" width="63.7109375" style="144" customWidth="1"/>
    <col min="2015" max="2018" width="0" style="144" hidden="1" customWidth="1"/>
    <col min="2019" max="2058" width="16" style="144" customWidth="1"/>
    <col min="2059" max="2265" width="9.140625" style="144"/>
    <col min="2266" max="2267" width="4.85546875" style="144" customWidth="1"/>
    <col min="2268" max="2268" width="7.5703125" style="144" customWidth="1"/>
    <col min="2269" max="2269" width="0" style="144" hidden="1" customWidth="1"/>
    <col min="2270" max="2270" width="63.7109375" style="144" customWidth="1"/>
    <col min="2271" max="2274" width="0" style="144" hidden="1" customWidth="1"/>
    <col min="2275" max="2314" width="16" style="144" customWidth="1"/>
    <col min="2315" max="2521" width="9.140625" style="144"/>
    <col min="2522" max="2523" width="4.85546875" style="144" customWidth="1"/>
    <col min="2524" max="2524" width="7.5703125" style="144" customWidth="1"/>
    <col min="2525" max="2525" width="0" style="144" hidden="1" customWidth="1"/>
    <col min="2526" max="2526" width="63.7109375" style="144" customWidth="1"/>
    <col min="2527" max="2530" width="0" style="144" hidden="1" customWidth="1"/>
    <col min="2531" max="2570" width="16" style="144" customWidth="1"/>
    <col min="2571" max="2777" width="9.140625" style="144"/>
    <col min="2778" max="2779" width="4.85546875" style="144" customWidth="1"/>
    <col min="2780" max="2780" width="7.5703125" style="144" customWidth="1"/>
    <col min="2781" max="2781" width="0" style="144" hidden="1" customWidth="1"/>
    <col min="2782" max="2782" width="63.7109375" style="144" customWidth="1"/>
    <col min="2783" max="2786" width="0" style="144" hidden="1" customWidth="1"/>
    <col min="2787" max="2826" width="16" style="144" customWidth="1"/>
    <col min="2827" max="3033" width="9.140625" style="144"/>
    <col min="3034" max="3035" width="4.85546875" style="144" customWidth="1"/>
    <col min="3036" max="3036" width="7.5703125" style="144" customWidth="1"/>
    <col min="3037" max="3037" width="0" style="144" hidden="1" customWidth="1"/>
    <col min="3038" max="3038" width="63.7109375" style="144" customWidth="1"/>
    <col min="3039" max="3042" width="0" style="144" hidden="1" customWidth="1"/>
    <col min="3043" max="3082" width="16" style="144" customWidth="1"/>
    <col min="3083" max="3289" width="9.140625" style="144"/>
    <col min="3290" max="3291" width="4.85546875" style="144" customWidth="1"/>
    <col min="3292" max="3292" width="7.5703125" style="144" customWidth="1"/>
    <col min="3293" max="3293" width="0" style="144" hidden="1" customWidth="1"/>
    <col min="3294" max="3294" width="63.7109375" style="144" customWidth="1"/>
    <col min="3295" max="3298" width="0" style="144" hidden="1" customWidth="1"/>
    <col min="3299" max="3338" width="16" style="144" customWidth="1"/>
    <col min="3339" max="3545" width="9.140625" style="144"/>
    <col min="3546" max="3547" width="4.85546875" style="144" customWidth="1"/>
    <col min="3548" max="3548" width="7.5703125" style="144" customWidth="1"/>
    <col min="3549" max="3549" width="0" style="144" hidden="1" customWidth="1"/>
    <col min="3550" max="3550" width="63.7109375" style="144" customWidth="1"/>
    <col min="3551" max="3554" width="0" style="144" hidden="1" customWidth="1"/>
    <col min="3555" max="3594" width="16" style="144" customWidth="1"/>
    <col min="3595" max="3801" width="9.140625" style="144"/>
    <col min="3802" max="3803" width="4.85546875" style="144" customWidth="1"/>
    <col min="3804" max="3804" width="7.5703125" style="144" customWidth="1"/>
    <col min="3805" max="3805" width="0" style="144" hidden="1" customWidth="1"/>
    <col min="3806" max="3806" width="63.7109375" style="144" customWidth="1"/>
    <col min="3807" max="3810" width="0" style="144" hidden="1" customWidth="1"/>
    <col min="3811" max="3850" width="16" style="144" customWidth="1"/>
    <col min="3851" max="4057" width="9.140625" style="144"/>
    <col min="4058" max="4059" width="4.85546875" style="144" customWidth="1"/>
    <col min="4060" max="4060" width="7.5703125" style="144" customWidth="1"/>
    <col min="4061" max="4061" width="0" style="144" hidden="1" customWidth="1"/>
    <col min="4062" max="4062" width="63.7109375" style="144" customWidth="1"/>
    <col min="4063" max="4066" width="0" style="144" hidden="1" customWidth="1"/>
    <col min="4067" max="4106" width="16" style="144" customWidth="1"/>
    <col min="4107" max="4313" width="9.140625" style="144"/>
    <col min="4314" max="4315" width="4.85546875" style="144" customWidth="1"/>
    <col min="4316" max="4316" width="7.5703125" style="144" customWidth="1"/>
    <col min="4317" max="4317" width="0" style="144" hidden="1" customWidth="1"/>
    <col min="4318" max="4318" width="63.7109375" style="144" customWidth="1"/>
    <col min="4319" max="4322" width="0" style="144" hidden="1" customWidth="1"/>
    <col min="4323" max="4362" width="16" style="144" customWidth="1"/>
    <col min="4363" max="4569" width="9.140625" style="144"/>
    <col min="4570" max="4571" width="4.85546875" style="144" customWidth="1"/>
    <col min="4572" max="4572" width="7.5703125" style="144" customWidth="1"/>
    <col min="4573" max="4573" width="0" style="144" hidden="1" customWidth="1"/>
    <col min="4574" max="4574" width="63.7109375" style="144" customWidth="1"/>
    <col min="4575" max="4578" width="0" style="144" hidden="1" customWidth="1"/>
    <col min="4579" max="4618" width="16" style="144" customWidth="1"/>
    <col min="4619" max="4825" width="9.140625" style="144"/>
    <col min="4826" max="4827" width="4.85546875" style="144" customWidth="1"/>
    <col min="4828" max="4828" width="7.5703125" style="144" customWidth="1"/>
    <col min="4829" max="4829" width="0" style="144" hidden="1" customWidth="1"/>
    <col min="4830" max="4830" width="63.7109375" style="144" customWidth="1"/>
    <col min="4831" max="4834" width="0" style="144" hidden="1" customWidth="1"/>
    <col min="4835" max="4874" width="16" style="144" customWidth="1"/>
    <col min="4875" max="5081" width="9.140625" style="144"/>
    <col min="5082" max="5083" width="4.85546875" style="144" customWidth="1"/>
    <col min="5084" max="5084" width="7.5703125" style="144" customWidth="1"/>
    <col min="5085" max="5085" width="0" style="144" hidden="1" customWidth="1"/>
    <col min="5086" max="5086" width="63.7109375" style="144" customWidth="1"/>
    <col min="5087" max="5090" width="0" style="144" hidden="1" customWidth="1"/>
    <col min="5091" max="5130" width="16" style="144" customWidth="1"/>
    <col min="5131" max="5337" width="9.140625" style="144"/>
    <col min="5338" max="5339" width="4.85546875" style="144" customWidth="1"/>
    <col min="5340" max="5340" width="7.5703125" style="144" customWidth="1"/>
    <col min="5341" max="5341" width="0" style="144" hidden="1" customWidth="1"/>
    <col min="5342" max="5342" width="63.7109375" style="144" customWidth="1"/>
    <col min="5343" max="5346" width="0" style="144" hidden="1" customWidth="1"/>
    <col min="5347" max="5386" width="16" style="144" customWidth="1"/>
    <col min="5387" max="5593" width="9.140625" style="144"/>
    <col min="5594" max="5595" width="4.85546875" style="144" customWidth="1"/>
    <col min="5596" max="5596" width="7.5703125" style="144" customWidth="1"/>
    <col min="5597" max="5597" width="0" style="144" hidden="1" customWidth="1"/>
    <col min="5598" max="5598" width="63.7109375" style="144" customWidth="1"/>
    <col min="5599" max="5602" width="0" style="144" hidden="1" customWidth="1"/>
    <col min="5603" max="5642" width="16" style="144" customWidth="1"/>
    <col min="5643" max="5849" width="9.140625" style="144"/>
    <col min="5850" max="5851" width="4.85546875" style="144" customWidth="1"/>
    <col min="5852" max="5852" width="7.5703125" style="144" customWidth="1"/>
    <col min="5853" max="5853" width="0" style="144" hidden="1" customWidth="1"/>
    <col min="5854" max="5854" width="63.7109375" style="144" customWidth="1"/>
    <col min="5855" max="5858" width="0" style="144" hidden="1" customWidth="1"/>
    <col min="5859" max="5898" width="16" style="144" customWidth="1"/>
    <col min="5899" max="6105" width="9.140625" style="144"/>
    <col min="6106" max="6107" width="4.85546875" style="144" customWidth="1"/>
    <col min="6108" max="6108" width="7.5703125" style="144" customWidth="1"/>
    <col min="6109" max="6109" width="0" style="144" hidden="1" customWidth="1"/>
    <col min="6110" max="6110" width="63.7109375" style="144" customWidth="1"/>
    <col min="6111" max="6114" width="0" style="144" hidden="1" customWidth="1"/>
    <col min="6115" max="6154" width="16" style="144" customWidth="1"/>
    <col min="6155" max="6361" width="9.140625" style="144"/>
    <col min="6362" max="6363" width="4.85546875" style="144" customWidth="1"/>
    <col min="6364" max="6364" width="7.5703125" style="144" customWidth="1"/>
    <col min="6365" max="6365" width="0" style="144" hidden="1" customWidth="1"/>
    <col min="6366" max="6366" width="63.7109375" style="144" customWidth="1"/>
    <col min="6367" max="6370" width="0" style="144" hidden="1" customWidth="1"/>
    <col min="6371" max="6410" width="16" style="144" customWidth="1"/>
    <col min="6411" max="6617" width="9.140625" style="144"/>
    <col min="6618" max="6619" width="4.85546875" style="144" customWidth="1"/>
    <col min="6620" max="6620" width="7.5703125" style="144" customWidth="1"/>
    <col min="6621" max="6621" width="0" style="144" hidden="1" customWidth="1"/>
    <col min="6622" max="6622" width="63.7109375" style="144" customWidth="1"/>
    <col min="6623" max="6626" width="0" style="144" hidden="1" customWidth="1"/>
    <col min="6627" max="6666" width="16" style="144" customWidth="1"/>
    <col min="6667" max="6873" width="9.140625" style="144"/>
    <col min="6874" max="6875" width="4.85546875" style="144" customWidth="1"/>
    <col min="6876" max="6876" width="7.5703125" style="144" customWidth="1"/>
    <col min="6877" max="6877" width="0" style="144" hidden="1" customWidth="1"/>
    <col min="6878" max="6878" width="63.7109375" style="144" customWidth="1"/>
    <col min="6879" max="6882" width="0" style="144" hidden="1" customWidth="1"/>
    <col min="6883" max="6922" width="16" style="144" customWidth="1"/>
    <col min="6923" max="7129" width="9.140625" style="144"/>
    <col min="7130" max="7131" width="4.85546875" style="144" customWidth="1"/>
    <col min="7132" max="7132" width="7.5703125" style="144" customWidth="1"/>
    <col min="7133" max="7133" width="0" style="144" hidden="1" customWidth="1"/>
    <col min="7134" max="7134" width="63.7109375" style="144" customWidth="1"/>
    <col min="7135" max="7138" width="0" style="144" hidden="1" customWidth="1"/>
    <col min="7139" max="7178" width="16" style="144" customWidth="1"/>
    <col min="7179" max="7385" width="9.140625" style="144"/>
    <col min="7386" max="7387" width="4.85546875" style="144" customWidth="1"/>
    <col min="7388" max="7388" width="7.5703125" style="144" customWidth="1"/>
    <col min="7389" max="7389" width="0" style="144" hidden="1" customWidth="1"/>
    <col min="7390" max="7390" width="63.7109375" style="144" customWidth="1"/>
    <col min="7391" max="7394" width="0" style="144" hidden="1" customWidth="1"/>
    <col min="7395" max="7434" width="16" style="144" customWidth="1"/>
    <col min="7435" max="7641" width="9.140625" style="144"/>
    <col min="7642" max="7643" width="4.85546875" style="144" customWidth="1"/>
    <col min="7644" max="7644" width="7.5703125" style="144" customWidth="1"/>
    <col min="7645" max="7645" width="0" style="144" hidden="1" customWidth="1"/>
    <col min="7646" max="7646" width="63.7109375" style="144" customWidth="1"/>
    <col min="7647" max="7650" width="0" style="144" hidden="1" customWidth="1"/>
    <col min="7651" max="7690" width="16" style="144" customWidth="1"/>
    <col min="7691" max="7897" width="9.140625" style="144"/>
    <col min="7898" max="7899" width="4.85546875" style="144" customWidth="1"/>
    <col min="7900" max="7900" width="7.5703125" style="144" customWidth="1"/>
    <col min="7901" max="7901" width="0" style="144" hidden="1" customWidth="1"/>
    <col min="7902" max="7902" width="63.7109375" style="144" customWidth="1"/>
    <col min="7903" max="7906" width="0" style="144" hidden="1" customWidth="1"/>
    <col min="7907" max="7946" width="16" style="144" customWidth="1"/>
    <col min="7947" max="8153" width="9.140625" style="144"/>
    <col min="8154" max="8155" width="4.85546875" style="144" customWidth="1"/>
    <col min="8156" max="8156" width="7.5703125" style="144" customWidth="1"/>
    <col min="8157" max="8157" width="0" style="144" hidden="1" customWidth="1"/>
    <col min="8158" max="8158" width="63.7109375" style="144" customWidth="1"/>
    <col min="8159" max="8162" width="0" style="144" hidden="1" customWidth="1"/>
    <col min="8163" max="8202" width="16" style="144" customWidth="1"/>
    <col min="8203" max="8409" width="9.140625" style="144"/>
    <col min="8410" max="8411" width="4.85546875" style="144" customWidth="1"/>
    <col min="8412" max="8412" width="7.5703125" style="144" customWidth="1"/>
    <col min="8413" max="8413" width="0" style="144" hidden="1" customWidth="1"/>
    <col min="8414" max="8414" width="63.7109375" style="144" customWidth="1"/>
    <col min="8415" max="8418" width="0" style="144" hidden="1" customWidth="1"/>
    <col min="8419" max="8458" width="16" style="144" customWidth="1"/>
    <col min="8459" max="8665" width="9.140625" style="144"/>
    <col min="8666" max="8667" width="4.85546875" style="144" customWidth="1"/>
    <col min="8668" max="8668" width="7.5703125" style="144" customWidth="1"/>
    <col min="8669" max="8669" width="0" style="144" hidden="1" customWidth="1"/>
    <col min="8670" max="8670" width="63.7109375" style="144" customWidth="1"/>
    <col min="8671" max="8674" width="0" style="144" hidden="1" customWidth="1"/>
    <col min="8675" max="8714" width="16" style="144" customWidth="1"/>
    <col min="8715" max="8921" width="9.140625" style="144"/>
    <col min="8922" max="8923" width="4.85546875" style="144" customWidth="1"/>
    <col min="8924" max="8924" width="7.5703125" style="144" customWidth="1"/>
    <col min="8925" max="8925" width="0" style="144" hidden="1" customWidth="1"/>
    <col min="8926" max="8926" width="63.7109375" style="144" customWidth="1"/>
    <col min="8927" max="8930" width="0" style="144" hidden="1" customWidth="1"/>
    <col min="8931" max="8970" width="16" style="144" customWidth="1"/>
    <col min="8971" max="9177" width="9.140625" style="144"/>
    <col min="9178" max="9179" width="4.85546875" style="144" customWidth="1"/>
    <col min="9180" max="9180" width="7.5703125" style="144" customWidth="1"/>
    <col min="9181" max="9181" width="0" style="144" hidden="1" customWidth="1"/>
    <col min="9182" max="9182" width="63.7109375" style="144" customWidth="1"/>
    <col min="9183" max="9186" width="0" style="144" hidden="1" customWidth="1"/>
    <col min="9187" max="9226" width="16" style="144" customWidth="1"/>
    <col min="9227" max="9433" width="9.140625" style="144"/>
    <col min="9434" max="9435" width="4.85546875" style="144" customWidth="1"/>
    <col min="9436" max="9436" width="7.5703125" style="144" customWidth="1"/>
    <col min="9437" max="9437" width="0" style="144" hidden="1" customWidth="1"/>
    <col min="9438" max="9438" width="63.7109375" style="144" customWidth="1"/>
    <col min="9439" max="9442" width="0" style="144" hidden="1" customWidth="1"/>
    <col min="9443" max="9482" width="16" style="144" customWidth="1"/>
    <col min="9483" max="9689" width="9.140625" style="144"/>
    <col min="9690" max="9691" width="4.85546875" style="144" customWidth="1"/>
    <col min="9692" max="9692" width="7.5703125" style="144" customWidth="1"/>
    <col min="9693" max="9693" width="0" style="144" hidden="1" customWidth="1"/>
    <col min="9694" max="9694" width="63.7109375" style="144" customWidth="1"/>
    <col min="9695" max="9698" width="0" style="144" hidden="1" customWidth="1"/>
    <col min="9699" max="9738" width="16" style="144" customWidth="1"/>
    <col min="9739" max="9945" width="9.140625" style="144"/>
    <col min="9946" max="9947" width="4.85546875" style="144" customWidth="1"/>
    <col min="9948" max="9948" width="7.5703125" style="144" customWidth="1"/>
    <col min="9949" max="9949" width="0" style="144" hidden="1" customWidth="1"/>
    <col min="9950" max="9950" width="63.7109375" style="144" customWidth="1"/>
    <col min="9951" max="9954" width="0" style="144" hidden="1" customWidth="1"/>
    <col min="9955" max="9994" width="16" style="144" customWidth="1"/>
    <col min="9995" max="10201" width="9.140625" style="144"/>
    <col min="10202" max="10203" width="4.85546875" style="144" customWidth="1"/>
    <col min="10204" max="10204" width="7.5703125" style="144" customWidth="1"/>
    <col min="10205" max="10205" width="0" style="144" hidden="1" customWidth="1"/>
    <col min="10206" max="10206" width="63.7109375" style="144" customWidth="1"/>
    <col min="10207" max="10210" width="0" style="144" hidden="1" customWidth="1"/>
    <col min="10211" max="10250" width="16" style="144" customWidth="1"/>
    <col min="10251" max="10457" width="9.140625" style="144"/>
    <col min="10458" max="10459" width="4.85546875" style="144" customWidth="1"/>
    <col min="10460" max="10460" width="7.5703125" style="144" customWidth="1"/>
    <col min="10461" max="10461" width="0" style="144" hidden="1" customWidth="1"/>
    <col min="10462" max="10462" width="63.7109375" style="144" customWidth="1"/>
    <col min="10463" max="10466" width="0" style="144" hidden="1" customWidth="1"/>
    <col min="10467" max="10506" width="16" style="144" customWidth="1"/>
    <col min="10507" max="10713" width="9.140625" style="144"/>
    <col min="10714" max="10715" width="4.85546875" style="144" customWidth="1"/>
    <col min="10716" max="10716" width="7.5703125" style="144" customWidth="1"/>
    <col min="10717" max="10717" width="0" style="144" hidden="1" customWidth="1"/>
    <col min="10718" max="10718" width="63.7109375" style="144" customWidth="1"/>
    <col min="10719" max="10722" width="0" style="144" hidden="1" customWidth="1"/>
    <col min="10723" max="10762" width="16" style="144" customWidth="1"/>
    <col min="10763" max="10969" width="9.140625" style="144"/>
    <col min="10970" max="10971" width="4.85546875" style="144" customWidth="1"/>
    <col min="10972" max="10972" width="7.5703125" style="144" customWidth="1"/>
    <col min="10973" max="10973" width="0" style="144" hidden="1" customWidth="1"/>
    <col min="10974" max="10974" width="63.7109375" style="144" customWidth="1"/>
    <col min="10975" max="10978" width="0" style="144" hidden="1" customWidth="1"/>
    <col min="10979" max="11018" width="16" style="144" customWidth="1"/>
    <col min="11019" max="11225" width="9.140625" style="144"/>
    <col min="11226" max="11227" width="4.85546875" style="144" customWidth="1"/>
    <col min="11228" max="11228" width="7.5703125" style="144" customWidth="1"/>
    <col min="11229" max="11229" width="0" style="144" hidden="1" customWidth="1"/>
    <col min="11230" max="11230" width="63.7109375" style="144" customWidth="1"/>
    <col min="11231" max="11234" width="0" style="144" hidden="1" customWidth="1"/>
    <col min="11235" max="11274" width="16" style="144" customWidth="1"/>
    <col min="11275" max="11481" width="9.140625" style="144"/>
    <col min="11482" max="11483" width="4.85546875" style="144" customWidth="1"/>
    <col min="11484" max="11484" width="7.5703125" style="144" customWidth="1"/>
    <col min="11485" max="11485" width="0" style="144" hidden="1" customWidth="1"/>
    <col min="11486" max="11486" width="63.7109375" style="144" customWidth="1"/>
    <col min="11487" max="11490" width="0" style="144" hidden="1" customWidth="1"/>
    <col min="11491" max="11530" width="16" style="144" customWidth="1"/>
    <col min="11531" max="11737" width="9.140625" style="144"/>
    <col min="11738" max="11739" width="4.85546875" style="144" customWidth="1"/>
    <col min="11740" max="11740" width="7.5703125" style="144" customWidth="1"/>
    <col min="11741" max="11741" width="0" style="144" hidden="1" customWidth="1"/>
    <col min="11742" max="11742" width="63.7109375" style="144" customWidth="1"/>
    <col min="11743" max="11746" width="0" style="144" hidden="1" customWidth="1"/>
    <col min="11747" max="11786" width="16" style="144" customWidth="1"/>
    <col min="11787" max="11993" width="9.140625" style="144"/>
    <col min="11994" max="11995" width="4.85546875" style="144" customWidth="1"/>
    <col min="11996" max="11996" width="7.5703125" style="144" customWidth="1"/>
    <col min="11997" max="11997" width="0" style="144" hidden="1" customWidth="1"/>
    <col min="11998" max="11998" width="63.7109375" style="144" customWidth="1"/>
    <col min="11999" max="12002" width="0" style="144" hidden="1" customWidth="1"/>
    <col min="12003" max="12042" width="16" style="144" customWidth="1"/>
    <col min="12043" max="12249" width="9.140625" style="144"/>
    <col min="12250" max="12251" width="4.85546875" style="144" customWidth="1"/>
    <col min="12252" max="12252" width="7.5703125" style="144" customWidth="1"/>
    <col min="12253" max="12253" width="0" style="144" hidden="1" customWidth="1"/>
    <col min="12254" max="12254" width="63.7109375" style="144" customWidth="1"/>
    <col min="12255" max="12258" width="0" style="144" hidden="1" customWidth="1"/>
    <col min="12259" max="12298" width="16" style="144" customWidth="1"/>
    <col min="12299" max="12505" width="9.140625" style="144"/>
    <col min="12506" max="12507" width="4.85546875" style="144" customWidth="1"/>
    <col min="12508" max="12508" width="7.5703125" style="144" customWidth="1"/>
    <col min="12509" max="12509" width="0" style="144" hidden="1" customWidth="1"/>
    <col min="12510" max="12510" width="63.7109375" style="144" customWidth="1"/>
    <col min="12511" max="12514" width="0" style="144" hidden="1" customWidth="1"/>
    <col min="12515" max="12554" width="16" style="144" customWidth="1"/>
    <col min="12555" max="12761" width="9.140625" style="144"/>
    <col min="12762" max="12763" width="4.85546875" style="144" customWidth="1"/>
    <col min="12764" max="12764" width="7.5703125" style="144" customWidth="1"/>
    <col min="12765" max="12765" width="0" style="144" hidden="1" customWidth="1"/>
    <col min="12766" max="12766" width="63.7109375" style="144" customWidth="1"/>
    <col min="12767" max="12770" width="0" style="144" hidden="1" customWidth="1"/>
    <col min="12771" max="12810" width="16" style="144" customWidth="1"/>
    <col min="12811" max="13017" width="9.140625" style="144"/>
    <col min="13018" max="13019" width="4.85546875" style="144" customWidth="1"/>
    <col min="13020" max="13020" width="7.5703125" style="144" customWidth="1"/>
    <col min="13021" max="13021" width="0" style="144" hidden="1" customWidth="1"/>
    <col min="13022" max="13022" width="63.7109375" style="144" customWidth="1"/>
    <col min="13023" max="13026" width="0" style="144" hidden="1" customWidth="1"/>
    <col min="13027" max="13066" width="16" style="144" customWidth="1"/>
    <col min="13067" max="13273" width="9.140625" style="144"/>
    <col min="13274" max="13275" width="4.85546875" style="144" customWidth="1"/>
    <col min="13276" max="13276" width="7.5703125" style="144" customWidth="1"/>
    <col min="13277" max="13277" width="0" style="144" hidden="1" customWidth="1"/>
    <col min="13278" max="13278" width="63.7109375" style="144" customWidth="1"/>
    <col min="13279" max="13282" width="0" style="144" hidden="1" customWidth="1"/>
    <col min="13283" max="13322" width="16" style="144" customWidth="1"/>
    <col min="13323" max="13529" width="9.140625" style="144"/>
    <col min="13530" max="13531" width="4.85546875" style="144" customWidth="1"/>
    <col min="13532" max="13532" width="7.5703125" style="144" customWidth="1"/>
    <col min="13533" max="13533" width="0" style="144" hidden="1" customWidth="1"/>
    <col min="13534" max="13534" width="63.7109375" style="144" customWidth="1"/>
    <col min="13535" max="13538" width="0" style="144" hidden="1" customWidth="1"/>
    <col min="13539" max="13578" width="16" style="144" customWidth="1"/>
    <col min="13579" max="13785" width="9.140625" style="144"/>
    <col min="13786" max="13787" width="4.85546875" style="144" customWidth="1"/>
    <col min="13788" max="13788" width="7.5703125" style="144" customWidth="1"/>
    <col min="13789" max="13789" width="0" style="144" hidden="1" customWidth="1"/>
    <col min="13790" max="13790" width="63.7109375" style="144" customWidth="1"/>
    <col min="13791" max="13794" width="0" style="144" hidden="1" customWidth="1"/>
    <col min="13795" max="13834" width="16" style="144" customWidth="1"/>
    <col min="13835" max="14041" width="9.140625" style="144"/>
    <col min="14042" max="14043" width="4.85546875" style="144" customWidth="1"/>
    <col min="14044" max="14044" width="7.5703125" style="144" customWidth="1"/>
    <col min="14045" max="14045" width="0" style="144" hidden="1" customWidth="1"/>
    <col min="14046" max="14046" width="63.7109375" style="144" customWidth="1"/>
    <col min="14047" max="14050" width="0" style="144" hidden="1" customWidth="1"/>
    <col min="14051" max="14090" width="16" style="144" customWidth="1"/>
    <col min="14091" max="14297" width="9.140625" style="144"/>
    <col min="14298" max="14299" width="4.85546875" style="144" customWidth="1"/>
    <col min="14300" max="14300" width="7.5703125" style="144" customWidth="1"/>
    <col min="14301" max="14301" width="0" style="144" hidden="1" customWidth="1"/>
    <col min="14302" max="14302" width="63.7109375" style="144" customWidth="1"/>
    <col min="14303" max="14306" width="0" style="144" hidden="1" customWidth="1"/>
    <col min="14307" max="14346" width="16" style="144" customWidth="1"/>
    <col min="14347" max="14553" width="9.140625" style="144"/>
    <col min="14554" max="14555" width="4.85546875" style="144" customWidth="1"/>
    <col min="14556" max="14556" width="7.5703125" style="144" customWidth="1"/>
    <col min="14557" max="14557" width="0" style="144" hidden="1" customWidth="1"/>
    <col min="14558" max="14558" width="63.7109375" style="144" customWidth="1"/>
    <col min="14559" max="14562" width="0" style="144" hidden="1" customWidth="1"/>
    <col min="14563" max="14602" width="16" style="144" customWidth="1"/>
    <col min="14603" max="14809" width="9.140625" style="144"/>
    <col min="14810" max="14811" width="4.85546875" style="144" customWidth="1"/>
    <col min="14812" max="14812" width="7.5703125" style="144" customWidth="1"/>
    <col min="14813" max="14813" width="0" style="144" hidden="1" customWidth="1"/>
    <col min="14814" max="14814" width="63.7109375" style="144" customWidth="1"/>
    <col min="14815" max="14818" width="0" style="144" hidden="1" customWidth="1"/>
    <col min="14819" max="14858" width="16" style="144" customWidth="1"/>
    <col min="14859" max="15065" width="9.140625" style="144"/>
    <col min="15066" max="15067" width="4.85546875" style="144" customWidth="1"/>
    <col min="15068" max="15068" width="7.5703125" style="144" customWidth="1"/>
    <col min="15069" max="15069" width="0" style="144" hidden="1" customWidth="1"/>
    <col min="15070" max="15070" width="63.7109375" style="144" customWidth="1"/>
    <col min="15071" max="15074" width="0" style="144" hidden="1" customWidth="1"/>
    <col min="15075" max="15114" width="16" style="144" customWidth="1"/>
    <col min="15115" max="15321" width="9.140625" style="144"/>
    <col min="15322" max="15323" width="4.85546875" style="144" customWidth="1"/>
    <col min="15324" max="15324" width="7.5703125" style="144" customWidth="1"/>
    <col min="15325" max="15325" width="0" style="144" hidden="1" customWidth="1"/>
    <col min="15326" max="15326" width="63.7109375" style="144" customWidth="1"/>
    <col min="15327" max="15330" width="0" style="144" hidden="1" customWidth="1"/>
    <col min="15331" max="15370" width="16" style="144" customWidth="1"/>
    <col min="15371" max="15577" width="9.140625" style="144"/>
    <col min="15578" max="15579" width="4.85546875" style="144" customWidth="1"/>
    <col min="15580" max="15580" width="7.5703125" style="144" customWidth="1"/>
    <col min="15581" max="15581" width="0" style="144" hidden="1" customWidth="1"/>
    <col min="15582" max="15582" width="63.7109375" style="144" customWidth="1"/>
    <col min="15583" max="15586" width="0" style="144" hidden="1" customWidth="1"/>
    <col min="15587" max="15626" width="16" style="144" customWidth="1"/>
    <col min="15627" max="15833" width="9.140625" style="144"/>
    <col min="15834" max="15835" width="4.85546875" style="144" customWidth="1"/>
    <col min="15836" max="15836" width="7.5703125" style="144" customWidth="1"/>
    <col min="15837" max="15837" width="0" style="144" hidden="1" customWidth="1"/>
    <col min="15838" max="15838" width="63.7109375" style="144" customWidth="1"/>
    <col min="15839" max="15842" width="0" style="144" hidden="1" customWidth="1"/>
    <col min="15843" max="15882" width="16" style="144" customWidth="1"/>
    <col min="15883" max="16089" width="9.140625" style="144"/>
    <col min="16090" max="16091" width="4.85546875" style="144" customWidth="1"/>
    <col min="16092" max="16092" width="7.5703125" style="144" customWidth="1"/>
    <col min="16093" max="16093" width="0" style="144" hidden="1" customWidth="1"/>
    <col min="16094" max="16094" width="63.7109375" style="144" customWidth="1"/>
    <col min="16095" max="16098" width="0" style="144" hidden="1" customWidth="1"/>
    <col min="16099" max="16138" width="16" style="144" customWidth="1"/>
    <col min="16139" max="16384" width="9.140625" style="144"/>
  </cols>
  <sheetData>
    <row r="1" spans="1:21" ht="20.25">
      <c r="A1" s="212" t="s">
        <v>125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06"/>
    </row>
    <row r="2" spans="1:21" ht="28.5">
      <c r="A2" s="142"/>
      <c r="B2" s="146"/>
      <c r="C2" s="211" t="s">
        <v>126</v>
      </c>
      <c r="D2" s="211"/>
      <c r="E2" s="210" t="s">
        <v>127</v>
      </c>
      <c r="F2" s="210" t="s">
        <v>126</v>
      </c>
      <c r="G2" s="198" t="str">
        <f>""</f>
        <v/>
      </c>
      <c r="H2" s="147"/>
      <c r="I2" s="147"/>
      <c r="J2" s="147"/>
      <c r="K2" s="147"/>
      <c r="L2" s="143"/>
      <c r="M2" s="143"/>
      <c r="N2" s="143"/>
      <c r="O2" s="143"/>
      <c r="P2" s="143"/>
      <c r="Q2" s="143"/>
      <c r="R2" s="143"/>
      <c r="S2" s="143"/>
      <c r="T2" s="143"/>
    </row>
    <row r="3" spans="1:21" ht="24" customHeight="1">
      <c r="A3" s="77" t="s">
        <v>1</v>
      </c>
      <c r="B3" s="78" t="s">
        <v>128</v>
      </c>
      <c r="C3" s="79">
        <f>+D3-1</f>
        <v>2017</v>
      </c>
      <c r="D3" s="80">
        <f>+E3-1</f>
        <v>2018</v>
      </c>
      <c r="E3" s="80">
        <f>+F3</f>
        <v>2019</v>
      </c>
      <c r="F3" s="81">
        <f>+G3-1</f>
        <v>2019</v>
      </c>
      <c r="G3" s="197">
        <f>+[2]DaneZrodlowe!$N$1</f>
        <v>2020</v>
      </c>
      <c r="H3" s="82">
        <f t="shared" ref="H3:T3" si="0">+G3+1</f>
        <v>2021</v>
      </c>
      <c r="I3" s="82">
        <f t="shared" si="0"/>
        <v>2022</v>
      </c>
      <c r="J3" s="82">
        <f t="shared" si="0"/>
        <v>2023</v>
      </c>
      <c r="K3" s="82">
        <f t="shared" si="0"/>
        <v>2024</v>
      </c>
      <c r="L3" s="82">
        <f t="shared" si="0"/>
        <v>2025</v>
      </c>
      <c r="M3" s="82">
        <f t="shared" si="0"/>
        <v>2026</v>
      </c>
      <c r="N3" s="82">
        <f t="shared" si="0"/>
        <v>2027</v>
      </c>
      <c r="O3" s="82">
        <f t="shared" si="0"/>
        <v>2028</v>
      </c>
      <c r="P3" s="82">
        <f t="shared" si="0"/>
        <v>2029</v>
      </c>
      <c r="Q3" s="82">
        <f t="shared" si="0"/>
        <v>2030</v>
      </c>
      <c r="R3" s="82">
        <f t="shared" si="0"/>
        <v>2031</v>
      </c>
      <c r="S3" s="82">
        <f t="shared" si="0"/>
        <v>2032</v>
      </c>
      <c r="T3" s="82">
        <f t="shared" si="0"/>
        <v>2033</v>
      </c>
    </row>
    <row r="4" spans="1:21" ht="23.25" customHeight="1">
      <c r="A4" s="199">
        <v>1</v>
      </c>
      <c r="B4" s="200" t="s">
        <v>129</v>
      </c>
      <c r="C4" s="201">
        <f>135769078.54</f>
        <v>135769078.53999999</v>
      </c>
      <c r="D4" s="202">
        <f>145269730.18</f>
        <v>145269730.18000001</v>
      </c>
      <c r="E4" s="202">
        <f>151645715.55</f>
        <v>151645715.55000001</v>
      </c>
      <c r="F4" s="203">
        <f>153315639.25</f>
        <v>153315639.25</v>
      </c>
      <c r="G4" s="204">
        <f>159869826</f>
        <v>159869826</v>
      </c>
      <c r="H4" s="205">
        <f>161512406</f>
        <v>161512406</v>
      </c>
      <c r="I4" s="205">
        <f>165712684</f>
        <v>165712684</v>
      </c>
      <c r="J4" s="205">
        <f>168886876</f>
        <v>168886876</v>
      </c>
      <c r="K4" s="205">
        <f>171899883</f>
        <v>171899883</v>
      </c>
      <c r="L4" s="205">
        <f>175351179</f>
        <v>175351179</v>
      </c>
      <c r="M4" s="205">
        <f>180795214</f>
        <v>180795214</v>
      </c>
      <c r="N4" s="205">
        <f>185766526</f>
        <v>185766526</v>
      </c>
      <c r="O4" s="205">
        <f>190953990</f>
        <v>190953990</v>
      </c>
      <c r="P4" s="205">
        <f>196096247</f>
        <v>196096247</v>
      </c>
      <c r="Q4" s="205">
        <f>201377345</f>
        <v>201377345</v>
      </c>
      <c r="R4" s="205">
        <f>206600157</f>
        <v>206600157</v>
      </c>
      <c r="S4" s="205">
        <f>211752660</f>
        <v>211752660</v>
      </c>
      <c r="T4" s="205">
        <f>216822724</f>
        <v>216822724</v>
      </c>
    </row>
    <row r="5" spans="1:21" ht="20.25" customHeight="1">
      <c r="A5" s="148" t="s">
        <v>130</v>
      </c>
      <c r="B5" s="149" t="s">
        <v>232</v>
      </c>
      <c r="C5" s="83">
        <f>116715488.34</f>
        <v>116715488.34</v>
      </c>
      <c r="D5" s="4">
        <f>126568566.74</f>
        <v>126568566.73999999</v>
      </c>
      <c r="E5" s="4">
        <f>138448744.55</f>
        <v>138448744.55000001</v>
      </c>
      <c r="F5" s="5">
        <f>141340639.13</f>
        <v>141340639.13</v>
      </c>
      <c r="G5" s="6">
        <f>145584551</f>
        <v>145584551</v>
      </c>
      <c r="H5" s="7">
        <f>154735206</f>
        <v>154735206</v>
      </c>
      <c r="I5" s="7">
        <f>159812684</f>
        <v>159812684</v>
      </c>
      <c r="J5" s="7">
        <f>164766876</f>
        <v>164766876</v>
      </c>
      <c r="K5" s="7">
        <f>169709883</f>
        <v>169709883</v>
      </c>
      <c r="L5" s="7">
        <f>174801179</f>
        <v>174801179</v>
      </c>
      <c r="M5" s="7">
        <f>180045214</f>
        <v>180045214</v>
      </c>
      <c r="N5" s="7">
        <f>185266526</f>
        <v>185266526</v>
      </c>
      <c r="O5" s="7">
        <f>190453990</f>
        <v>190453990</v>
      </c>
      <c r="P5" s="7">
        <f>195596247</f>
        <v>195596247</v>
      </c>
      <c r="Q5" s="7">
        <f>200877345</f>
        <v>200877345</v>
      </c>
      <c r="R5" s="7">
        <f>206100157</f>
        <v>206100157</v>
      </c>
      <c r="S5" s="7">
        <f>211252660</f>
        <v>211252660</v>
      </c>
      <c r="T5" s="7">
        <f>216322724</f>
        <v>216322724</v>
      </c>
    </row>
    <row r="6" spans="1:21" ht="30" customHeight="1">
      <c r="A6" s="148" t="s">
        <v>131</v>
      </c>
      <c r="B6" s="150" t="s">
        <v>132</v>
      </c>
      <c r="C6" s="83">
        <f>44035115</f>
        <v>44035115</v>
      </c>
      <c r="D6" s="4">
        <f>50171188</f>
        <v>50171188</v>
      </c>
      <c r="E6" s="4">
        <f>53890702</f>
        <v>53890702</v>
      </c>
      <c r="F6" s="5">
        <f>54400021</f>
        <v>54400021</v>
      </c>
      <c r="G6" s="6">
        <f>52992669</f>
        <v>52992669</v>
      </c>
      <c r="H6" s="7">
        <f>58512200</f>
        <v>58512200</v>
      </c>
      <c r="I6" s="7">
        <f>60443103</f>
        <v>60443103</v>
      </c>
      <c r="J6" s="7">
        <f>62316839</f>
        <v>62316839</v>
      </c>
      <c r="K6" s="7">
        <f>64186344</f>
        <v>64186344</v>
      </c>
      <c r="L6" s="7">
        <f>66111934</f>
        <v>66111934</v>
      </c>
      <c r="M6" s="7">
        <f>68095292</f>
        <v>68095292</v>
      </c>
      <c r="N6" s="7">
        <f>70070055</f>
        <v>70070055</v>
      </c>
      <c r="O6" s="7">
        <f>72032017</f>
        <v>72032017</v>
      </c>
      <c r="P6" s="7">
        <f>73976881</f>
        <v>73976881</v>
      </c>
      <c r="Q6" s="7">
        <f>75974257</f>
        <v>75974257</v>
      </c>
      <c r="R6" s="7">
        <f>77949588</f>
        <v>77949588</v>
      </c>
      <c r="S6" s="7">
        <f>79898328</f>
        <v>79898328</v>
      </c>
      <c r="T6" s="7">
        <f>81815888</f>
        <v>81815888</v>
      </c>
    </row>
    <row r="7" spans="1:21" ht="32.25" customHeight="1">
      <c r="A7" s="148" t="s">
        <v>133</v>
      </c>
      <c r="B7" s="150" t="s">
        <v>134</v>
      </c>
      <c r="C7" s="83">
        <f>987572.58</f>
        <v>987572.58</v>
      </c>
      <c r="D7" s="4">
        <f>888145.77</f>
        <v>888145.77</v>
      </c>
      <c r="E7" s="4">
        <f>1000000</f>
        <v>1000000</v>
      </c>
      <c r="F7" s="5">
        <f>883588.42</f>
        <v>883588.42</v>
      </c>
      <c r="G7" s="6">
        <f>1000000</f>
        <v>1000000</v>
      </c>
      <c r="H7" s="7">
        <f>1064000</f>
        <v>1064000</v>
      </c>
      <c r="I7" s="7">
        <f>1099112</f>
        <v>1099112</v>
      </c>
      <c r="J7" s="7">
        <f>1133184</f>
        <v>1133184</v>
      </c>
      <c r="K7" s="7">
        <f>1167180</f>
        <v>1167180</v>
      </c>
      <c r="L7" s="7">
        <f>1202195</f>
        <v>1202195</v>
      </c>
      <c r="M7" s="7">
        <f>1238261</f>
        <v>1238261</v>
      </c>
      <c r="N7" s="7">
        <f>1274171</f>
        <v>1274171</v>
      </c>
      <c r="O7" s="7">
        <f>1309848</f>
        <v>1309848</v>
      </c>
      <c r="P7" s="7">
        <f>1345214</f>
        <v>1345214</v>
      </c>
      <c r="Q7" s="7">
        <f>1381535</f>
        <v>1381535</v>
      </c>
      <c r="R7" s="7">
        <f>1417455</f>
        <v>1417455</v>
      </c>
      <c r="S7" s="7">
        <f>1452891</f>
        <v>1452891</v>
      </c>
      <c r="T7" s="7">
        <f>1487760</f>
        <v>1487760</v>
      </c>
    </row>
    <row r="8" spans="1:21" ht="17.25" customHeight="1">
      <c r="A8" s="148" t="s">
        <v>135</v>
      </c>
      <c r="B8" s="150" t="s">
        <v>138</v>
      </c>
      <c r="C8" s="83">
        <f>43955181</f>
        <v>43955181</v>
      </c>
      <c r="D8" s="4">
        <f>46201081</f>
        <v>46201081</v>
      </c>
      <c r="E8" s="4">
        <f>52247818</f>
        <v>52247818</v>
      </c>
      <c r="F8" s="5">
        <f>53406551</f>
        <v>53406551</v>
      </c>
      <c r="G8" s="6">
        <f>60362862</f>
        <v>60362862</v>
      </c>
      <c r="H8" s="7">
        <f>63550908</f>
        <v>63550908</v>
      </c>
      <c r="I8" s="7">
        <f>65648088</f>
        <v>65648088</v>
      </c>
      <c r="J8" s="7">
        <f>67683179</f>
        <v>67683179</v>
      </c>
      <c r="K8" s="7">
        <f>69713674</f>
        <v>69713674</v>
      </c>
      <c r="L8" s="7">
        <f>71805084</f>
        <v>71805084</v>
      </c>
      <c r="M8" s="7">
        <f>73959237</f>
        <v>73959237</v>
      </c>
      <c r="N8" s="7">
        <f>76104055</f>
        <v>76104055</v>
      </c>
      <c r="O8" s="7">
        <f>78234969</f>
        <v>78234969</v>
      </c>
      <c r="P8" s="7">
        <f>80347313</f>
        <v>80347313</v>
      </c>
      <c r="Q8" s="7">
        <f>82516690</f>
        <v>82516690</v>
      </c>
      <c r="R8" s="7">
        <f>84662124</f>
        <v>84662124</v>
      </c>
      <c r="S8" s="7">
        <f>86778677</f>
        <v>86778677</v>
      </c>
      <c r="T8" s="7">
        <f>88861365</f>
        <v>88861365</v>
      </c>
    </row>
    <row r="9" spans="1:21" ht="29.25" customHeight="1">
      <c r="A9" s="148" t="s">
        <v>137</v>
      </c>
      <c r="B9" s="150" t="s">
        <v>140</v>
      </c>
      <c r="C9" s="83">
        <f>16878810.53</f>
        <v>16878810.530000001</v>
      </c>
      <c r="D9" s="4">
        <f>17583692.65</f>
        <v>17583692.649999999</v>
      </c>
      <c r="E9" s="4">
        <f>19736951.55</f>
        <v>19736951.550000001</v>
      </c>
      <c r="F9" s="5">
        <f>20211589.81</f>
        <v>20211589.809999999</v>
      </c>
      <c r="G9" s="6">
        <f>19007178</f>
        <v>19007178</v>
      </c>
      <c r="H9" s="7">
        <f>18627477</f>
        <v>18627477</v>
      </c>
      <c r="I9" s="7">
        <f>19213400</f>
        <v>19213400</v>
      </c>
      <c r="J9" s="7">
        <f>19809015</f>
        <v>19809015</v>
      </c>
      <c r="K9" s="7">
        <f>20403285</f>
        <v>20403285</v>
      </c>
      <c r="L9" s="7">
        <f>21015384</f>
        <v>21015384</v>
      </c>
      <c r="M9" s="7">
        <f>21645846</f>
        <v>21645846</v>
      </c>
      <c r="N9" s="7">
        <f>22273576</f>
        <v>22273576</v>
      </c>
      <c r="O9" s="7">
        <f>22897236</f>
        <v>22897236</v>
      </c>
      <c r="P9" s="7">
        <f>23515461</f>
        <v>23515461</v>
      </c>
      <c r="Q9" s="7">
        <f>24150378</f>
        <v>24150378</v>
      </c>
      <c r="R9" s="7">
        <f>24778288</f>
        <v>24778288</v>
      </c>
      <c r="S9" s="7">
        <f>25397744</f>
        <v>25397744</v>
      </c>
      <c r="T9" s="7">
        <f>26007291</f>
        <v>26007291</v>
      </c>
    </row>
    <row r="10" spans="1:21" ht="18" customHeight="1">
      <c r="A10" s="148" t="s">
        <v>139</v>
      </c>
      <c r="B10" s="150" t="s">
        <v>233</v>
      </c>
      <c r="C10" s="83">
        <f>10858809.23</f>
        <v>10858809.23</v>
      </c>
      <c r="D10" s="4">
        <f>11724459.32</f>
        <v>11724459.32</v>
      </c>
      <c r="E10" s="4">
        <f>11573273</f>
        <v>11573273</v>
      </c>
      <c r="F10" s="5">
        <f>12438888.9</f>
        <v>12438888.9</v>
      </c>
      <c r="G10" s="6">
        <f>12221842</f>
        <v>12221842</v>
      </c>
      <c r="H10" s="7">
        <f>12980621</f>
        <v>12980621</v>
      </c>
      <c r="I10" s="7">
        <f>13408981</f>
        <v>13408981</v>
      </c>
      <c r="J10" s="7">
        <f>13824659</f>
        <v>13824659</v>
      </c>
      <c r="K10" s="7">
        <f>14239399</f>
        <v>14239399</v>
      </c>
      <c r="L10" s="7">
        <f>14666581</f>
        <v>14666581</v>
      </c>
      <c r="M10" s="7">
        <f>15106578</f>
        <v>15106578</v>
      </c>
      <c r="N10" s="7">
        <f>15544669</f>
        <v>15544669</v>
      </c>
      <c r="O10" s="7">
        <f>15979920</f>
        <v>15979920</v>
      </c>
      <c r="P10" s="7">
        <f>16411378</f>
        <v>16411378</v>
      </c>
      <c r="Q10" s="7">
        <f>16854485</f>
        <v>16854485</v>
      </c>
      <c r="R10" s="7">
        <f>17292702</f>
        <v>17292702</v>
      </c>
      <c r="S10" s="7">
        <f>17725020</f>
        <v>17725020</v>
      </c>
      <c r="T10" s="7">
        <f>18150420</f>
        <v>18150420</v>
      </c>
    </row>
    <row r="11" spans="1:21" ht="18" customHeight="1">
      <c r="A11" s="148" t="s">
        <v>234</v>
      </c>
      <c r="B11" s="151" t="s">
        <v>136</v>
      </c>
      <c r="C11" s="83">
        <f>0</f>
        <v>0</v>
      </c>
      <c r="D11" s="4">
        <f>0</f>
        <v>0</v>
      </c>
      <c r="E11" s="4">
        <f>0</f>
        <v>0</v>
      </c>
      <c r="F11" s="5">
        <f>0</f>
        <v>0</v>
      </c>
      <c r="G11" s="6">
        <f>0</f>
        <v>0</v>
      </c>
      <c r="H11" s="7">
        <f>0</f>
        <v>0</v>
      </c>
      <c r="I11" s="7">
        <f>0</f>
        <v>0</v>
      </c>
      <c r="J11" s="7">
        <f>0</f>
        <v>0</v>
      </c>
      <c r="K11" s="7">
        <f>0</f>
        <v>0</v>
      </c>
      <c r="L11" s="7">
        <f>0</f>
        <v>0</v>
      </c>
      <c r="M11" s="7">
        <f>0</f>
        <v>0</v>
      </c>
      <c r="N11" s="7">
        <f>0</f>
        <v>0</v>
      </c>
      <c r="O11" s="7">
        <f>0</f>
        <v>0</v>
      </c>
      <c r="P11" s="7">
        <f>0</f>
        <v>0</v>
      </c>
      <c r="Q11" s="7">
        <f>0</f>
        <v>0</v>
      </c>
      <c r="R11" s="7">
        <f>0</f>
        <v>0</v>
      </c>
      <c r="S11" s="7">
        <f>0</f>
        <v>0</v>
      </c>
      <c r="T11" s="7">
        <f>0</f>
        <v>0</v>
      </c>
    </row>
    <row r="12" spans="1:21" ht="18" customHeight="1">
      <c r="A12" s="148" t="s">
        <v>141</v>
      </c>
      <c r="B12" s="149" t="s">
        <v>235</v>
      </c>
      <c r="C12" s="83">
        <f>19053590.2</f>
        <v>19053590.199999999</v>
      </c>
      <c r="D12" s="4">
        <f>18701163.44</f>
        <v>18701163.440000001</v>
      </c>
      <c r="E12" s="4">
        <f>13196971</f>
        <v>13196971</v>
      </c>
      <c r="F12" s="5">
        <f>11975000.12</f>
        <v>11975000.119999999</v>
      </c>
      <c r="G12" s="6">
        <f>14285275</f>
        <v>14285275</v>
      </c>
      <c r="H12" s="7">
        <f>6777200</f>
        <v>6777200</v>
      </c>
      <c r="I12" s="7">
        <f>5900000</f>
        <v>5900000</v>
      </c>
      <c r="J12" s="7">
        <f>4120000</f>
        <v>4120000</v>
      </c>
      <c r="K12" s="7">
        <f>2190000</f>
        <v>2190000</v>
      </c>
      <c r="L12" s="7">
        <f>550000</f>
        <v>550000</v>
      </c>
      <c r="M12" s="7">
        <f>750000</f>
        <v>750000</v>
      </c>
      <c r="N12" s="7">
        <f t="shared" ref="N12:T12" si="1">500000</f>
        <v>500000</v>
      </c>
      <c r="O12" s="7">
        <f t="shared" si="1"/>
        <v>500000</v>
      </c>
      <c r="P12" s="7">
        <f t="shared" si="1"/>
        <v>500000</v>
      </c>
      <c r="Q12" s="7">
        <f t="shared" si="1"/>
        <v>500000</v>
      </c>
      <c r="R12" s="7">
        <f t="shared" si="1"/>
        <v>500000</v>
      </c>
      <c r="S12" s="7">
        <f t="shared" si="1"/>
        <v>500000</v>
      </c>
      <c r="T12" s="7">
        <f t="shared" si="1"/>
        <v>500000</v>
      </c>
    </row>
    <row r="13" spans="1:21" ht="18" customHeight="1">
      <c r="A13" s="148" t="s">
        <v>142</v>
      </c>
      <c r="B13" s="150" t="s">
        <v>143</v>
      </c>
      <c r="C13" s="83">
        <f>4862594.7</f>
        <v>4862594.7</v>
      </c>
      <c r="D13" s="4">
        <f>926571.82</f>
        <v>926571.82</v>
      </c>
      <c r="E13" s="4">
        <f>4709843</f>
        <v>4709843</v>
      </c>
      <c r="F13" s="5">
        <f>3518035.41</f>
        <v>3518035.41</v>
      </c>
      <c r="G13" s="6">
        <f>5054921</f>
        <v>5054921</v>
      </c>
      <c r="H13" s="7">
        <f>2270000</f>
        <v>2270000</v>
      </c>
      <c r="I13" s="7">
        <f>1200000</f>
        <v>1200000</v>
      </c>
      <c r="J13" s="7">
        <f>120000</f>
        <v>120000</v>
      </c>
      <c r="K13" s="7">
        <f>40000</f>
        <v>40000</v>
      </c>
      <c r="L13" s="7">
        <f>50000</f>
        <v>50000</v>
      </c>
      <c r="M13" s="7">
        <f>250000</f>
        <v>250000</v>
      </c>
      <c r="N13" s="7">
        <f>0</f>
        <v>0</v>
      </c>
      <c r="O13" s="7">
        <f>0</f>
        <v>0</v>
      </c>
      <c r="P13" s="7">
        <f>0</f>
        <v>0</v>
      </c>
      <c r="Q13" s="7">
        <f>0</f>
        <v>0</v>
      </c>
      <c r="R13" s="7">
        <f>0</f>
        <v>0</v>
      </c>
      <c r="S13" s="7">
        <f>0</f>
        <v>0</v>
      </c>
      <c r="T13" s="7">
        <f>0</f>
        <v>0</v>
      </c>
    </row>
    <row r="14" spans="1:21" ht="31.5" customHeight="1">
      <c r="A14" s="148" t="s">
        <v>144</v>
      </c>
      <c r="B14" s="150" t="s">
        <v>145</v>
      </c>
      <c r="C14" s="83">
        <f>14100719</f>
        <v>14100719</v>
      </c>
      <c r="D14" s="4">
        <f>17768942.48</f>
        <v>17768942.48</v>
      </c>
      <c r="E14" s="4">
        <f>8481128</f>
        <v>8481128</v>
      </c>
      <c r="F14" s="5">
        <f>8431128.27</f>
        <v>8431128.2699999996</v>
      </c>
      <c r="G14" s="6">
        <f>9159704</f>
        <v>9159704</v>
      </c>
      <c r="H14" s="7">
        <f>4507200</f>
        <v>4507200</v>
      </c>
      <c r="I14" s="7">
        <f>4700000</f>
        <v>4700000</v>
      </c>
      <c r="J14" s="7">
        <f>4000000</f>
        <v>4000000</v>
      </c>
      <c r="K14" s="7">
        <f>2150000</f>
        <v>2150000</v>
      </c>
      <c r="L14" s="7">
        <f t="shared" ref="L14:T14" si="2">500000</f>
        <v>500000</v>
      </c>
      <c r="M14" s="7">
        <f t="shared" si="2"/>
        <v>500000</v>
      </c>
      <c r="N14" s="7">
        <f t="shared" si="2"/>
        <v>500000</v>
      </c>
      <c r="O14" s="7">
        <f t="shared" si="2"/>
        <v>500000</v>
      </c>
      <c r="P14" s="7">
        <f t="shared" si="2"/>
        <v>500000</v>
      </c>
      <c r="Q14" s="7">
        <f t="shared" si="2"/>
        <v>500000</v>
      </c>
      <c r="R14" s="7">
        <f t="shared" si="2"/>
        <v>500000</v>
      </c>
      <c r="S14" s="7">
        <f t="shared" si="2"/>
        <v>500000</v>
      </c>
      <c r="T14" s="7">
        <f t="shared" si="2"/>
        <v>500000</v>
      </c>
    </row>
    <row r="15" spans="1:21" ht="18" customHeight="1">
      <c r="A15" s="152">
        <v>2</v>
      </c>
      <c r="B15" s="153" t="s">
        <v>146</v>
      </c>
      <c r="C15" s="84">
        <f>132768246.1</f>
        <v>132768246.09999999</v>
      </c>
      <c r="D15" s="1">
        <f>151231402.82</f>
        <v>151231402.81999999</v>
      </c>
      <c r="E15" s="1">
        <f>156860306.55</f>
        <v>156860306.55000001</v>
      </c>
      <c r="F15" s="2">
        <f>147895424.67</f>
        <v>147895424.66999999</v>
      </c>
      <c r="G15" s="192">
        <f>170769398</f>
        <v>170769398</v>
      </c>
      <c r="H15" s="3">
        <f>161150406</f>
        <v>161150406</v>
      </c>
      <c r="I15" s="3">
        <f>164110684</f>
        <v>164110684</v>
      </c>
      <c r="J15" s="3">
        <f>166784876</f>
        <v>166784876</v>
      </c>
      <c r="K15" s="3">
        <f>166787883</f>
        <v>166787883</v>
      </c>
      <c r="L15" s="3">
        <f>169879179</f>
        <v>169879179</v>
      </c>
      <c r="M15" s="3">
        <f>175135214</f>
        <v>175135214</v>
      </c>
      <c r="N15" s="3">
        <f>178906526</f>
        <v>178906526</v>
      </c>
      <c r="O15" s="3">
        <f>184093990</f>
        <v>184093990</v>
      </c>
      <c r="P15" s="3">
        <f>191236247</f>
        <v>191236247</v>
      </c>
      <c r="Q15" s="3">
        <f>195937345</f>
        <v>195937345</v>
      </c>
      <c r="R15" s="3">
        <f>200100157</f>
        <v>200100157</v>
      </c>
      <c r="S15" s="3">
        <f>211212660</f>
        <v>211212660</v>
      </c>
      <c r="T15" s="3">
        <f>215282724</f>
        <v>215282724</v>
      </c>
    </row>
    <row r="16" spans="1:21" ht="18" customHeight="1">
      <c r="A16" s="148" t="s">
        <v>147</v>
      </c>
      <c r="B16" s="149" t="s">
        <v>148</v>
      </c>
      <c r="C16" s="83">
        <f>104880266.03</f>
        <v>104880266.03</v>
      </c>
      <c r="D16" s="4">
        <f>114334644.46</f>
        <v>114334644.45999999</v>
      </c>
      <c r="E16" s="4">
        <f>132658152.55</f>
        <v>132658152.55</v>
      </c>
      <c r="F16" s="5">
        <f>127582243.88</f>
        <v>127582243.88</v>
      </c>
      <c r="G16" s="6">
        <f>141657841</f>
        <v>141657841</v>
      </c>
      <c r="H16" s="7">
        <f>147157470</f>
        <v>147157470</v>
      </c>
      <c r="I16" s="7">
        <f>150496291</f>
        <v>150496291</v>
      </c>
      <c r="J16" s="7">
        <f>154045352</f>
        <v>154045352</v>
      </c>
      <c r="K16" s="7">
        <f>155077971</f>
        <v>155077971</v>
      </c>
      <c r="L16" s="7">
        <f>159442835</f>
        <v>159442835</v>
      </c>
      <c r="M16" s="7">
        <f>163488539</f>
        <v>163488539</v>
      </c>
      <c r="N16" s="7">
        <f>167327238</f>
        <v>167327238</v>
      </c>
      <c r="O16" s="7">
        <f>171316944</f>
        <v>171316944</v>
      </c>
      <c r="P16" s="7">
        <f>175406582</f>
        <v>175406582</v>
      </c>
      <c r="Q16" s="7">
        <f>179598742</f>
        <v>179598742</v>
      </c>
      <c r="R16" s="7">
        <f>182914076</f>
        <v>182914076</v>
      </c>
      <c r="S16" s="7">
        <f>187486928</f>
        <v>187486928</v>
      </c>
      <c r="T16" s="7">
        <f>192174101</f>
        <v>192174101</v>
      </c>
    </row>
    <row r="17" spans="1:20" ht="18" customHeight="1">
      <c r="A17" s="148" t="s">
        <v>149</v>
      </c>
      <c r="B17" s="150" t="s">
        <v>236</v>
      </c>
      <c r="C17" s="83">
        <f>67448302.75</f>
        <v>67448302.75</v>
      </c>
      <c r="D17" s="4">
        <f>71472876.32</f>
        <v>71472876.319999993</v>
      </c>
      <c r="E17" s="4">
        <f>78934557</f>
        <v>78934557</v>
      </c>
      <c r="F17" s="5">
        <f>77428656.2</f>
        <v>77428656.200000003</v>
      </c>
      <c r="G17" s="6">
        <f>84657404</f>
        <v>84657404</v>
      </c>
      <c r="H17" s="7">
        <f>88350630</f>
        <v>88350630</v>
      </c>
      <c r="I17" s="7">
        <f>90559396</f>
        <v>90559396</v>
      </c>
      <c r="J17" s="7">
        <f>92823381</f>
        <v>92823381</v>
      </c>
      <c r="K17" s="7">
        <f>95143966</f>
        <v>95143966</v>
      </c>
      <c r="L17" s="7">
        <f>97522565</f>
        <v>97522565</v>
      </c>
      <c r="M17" s="7">
        <f>99960629</f>
        <v>99960629</v>
      </c>
      <c r="N17" s="7">
        <f>102459645</f>
        <v>102459645</v>
      </c>
      <c r="O17" s="7">
        <f>105021136</f>
        <v>105021136</v>
      </c>
      <c r="P17" s="7">
        <f>107646664</f>
        <v>107646664</v>
      </c>
      <c r="Q17" s="7">
        <f>110337831</f>
        <v>110337831</v>
      </c>
      <c r="R17" s="7">
        <f>113096277</f>
        <v>113096277</v>
      </c>
      <c r="S17" s="7">
        <f>115923684</f>
        <v>115923684</v>
      </c>
      <c r="T17" s="7">
        <f>118821776</f>
        <v>118821776</v>
      </c>
    </row>
    <row r="18" spans="1:20" ht="18" customHeight="1">
      <c r="A18" s="148" t="s">
        <v>150</v>
      </c>
      <c r="B18" s="150" t="s">
        <v>237</v>
      </c>
      <c r="C18" s="83">
        <f>431053.14</f>
        <v>431053.14</v>
      </c>
      <c r="D18" s="4">
        <f>428958</f>
        <v>428958</v>
      </c>
      <c r="E18" s="4">
        <f>2900000</f>
        <v>2900000</v>
      </c>
      <c r="F18" s="5">
        <f>2822280</f>
        <v>2822280</v>
      </c>
      <c r="G18" s="6">
        <f>2850000</f>
        <v>2850000</v>
      </c>
      <c r="H18" s="7">
        <f>2880000</f>
        <v>2880000</v>
      </c>
      <c r="I18" s="7">
        <f>2829250</f>
        <v>2829250</v>
      </c>
      <c r="J18" s="7">
        <f>2827000</f>
        <v>2827000</v>
      </c>
      <c r="K18" s="7">
        <f>274000</f>
        <v>274000</v>
      </c>
      <c r="L18" s="7">
        <f>911250</f>
        <v>911250</v>
      </c>
      <c r="M18" s="7">
        <f>1135000</f>
        <v>1135000</v>
      </c>
      <c r="N18" s="7">
        <f>1105000</f>
        <v>1105000</v>
      </c>
      <c r="O18" s="7">
        <f>1075000</f>
        <v>1075000</v>
      </c>
      <c r="P18" s="7">
        <f>1045000</f>
        <v>1045000</v>
      </c>
      <c r="Q18" s="7">
        <f>1015000</f>
        <v>1015000</v>
      </c>
      <c r="R18" s="7">
        <f>0</f>
        <v>0</v>
      </c>
      <c r="S18" s="7">
        <f>0</f>
        <v>0</v>
      </c>
      <c r="T18" s="7">
        <f>0</f>
        <v>0</v>
      </c>
    </row>
    <row r="19" spans="1:20" ht="58.5" customHeight="1">
      <c r="A19" s="148" t="s">
        <v>238</v>
      </c>
      <c r="B19" s="151" t="s">
        <v>239</v>
      </c>
      <c r="C19" s="83">
        <f>0</f>
        <v>0</v>
      </c>
      <c r="D19" s="4">
        <f>0</f>
        <v>0</v>
      </c>
      <c r="E19" s="4">
        <f>0</f>
        <v>0</v>
      </c>
      <c r="F19" s="5">
        <f>0</f>
        <v>0</v>
      </c>
      <c r="G19" s="6">
        <f>0</f>
        <v>0</v>
      </c>
      <c r="H19" s="7">
        <f>0</f>
        <v>0</v>
      </c>
      <c r="I19" s="7">
        <f>0</f>
        <v>0</v>
      </c>
      <c r="J19" s="7">
        <f>0</f>
        <v>0</v>
      </c>
      <c r="K19" s="7">
        <f>0</f>
        <v>0</v>
      </c>
      <c r="L19" s="7">
        <f>0</f>
        <v>0</v>
      </c>
      <c r="M19" s="7">
        <f>0</f>
        <v>0</v>
      </c>
      <c r="N19" s="7">
        <f>0</f>
        <v>0</v>
      </c>
      <c r="O19" s="7">
        <f>0</f>
        <v>0</v>
      </c>
      <c r="P19" s="7">
        <f>0</f>
        <v>0</v>
      </c>
      <c r="Q19" s="7">
        <f>0</f>
        <v>0</v>
      </c>
      <c r="R19" s="7">
        <f>0</f>
        <v>0</v>
      </c>
      <c r="S19" s="7">
        <f>0</f>
        <v>0</v>
      </c>
      <c r="T19" s="7">
        <f>0</f>
        <v>0</v>
      </c>
    </row>
    <row r="20" spans="1:20" ht="20.25" customHeight="1">
      <c r="A20" s="148" t="s">
        <v>151</v>
      </c>
      <c r="B20" s="150" t="s">
        <v>152</v>
      </c>
      <c r="C20" s="83">
        <f>1119766</f>
        <v>1119766</v>
      </c>
      <c r="D20" s="4">
        <f>1120444.53</f>
        <v>1120444.53</v>
      </c>
      <c r="E20" s="4">
        <f>1300000</f>
        <v>1300000</v>
      </c>
      <c r="F20" s="5">
        <f>1178256.98</f>
        <v>1178256.98</v>
      </c>
      <c r="G20" s="6">
        <f>1300000</f>
        <v>1300000</v>
      </c>
      <c r="H20" s="7">
        <f>1400000</f>
        <v>1400000</v>
      </c>
      <c r="I20" s="7">
        <f>1400000</f>
        <v>1400000</v>
      </c>
      <c r="J20" s="7">
        <f>1400000</f>
        <v>1400000</v>
      </c>
      <c r="K20" s="7">
        <f>1300000</f>
        <v>1300000</v>
      </c>
      <c r="L20" s="7">
        <f>1200000</f>
        <v>1200000</v>
      </c>
      <c r="M20" s="7">
        <f>1000000</f>
        <v>1000000</v>
      </c>
      <c r="N20" s="7">
        <f>810000</f>
        <v>810000</v>
      </c>
      <c r="O20" s="7">
        <f>670000</f>
        <v>670000</v>
      </c>
      <c r="P20" s="7">
        <f>500000</f>
        <v>500000</v>
      </c>
      <c r="Q20" s="7">
        <f>310000</f>
        <v>310000</v>
      </c>
      <c r="R20" s="7">
        <f>160000</f>
        <v>160000</v>
      </c>
      <c r="S20" s="7">
        <f>100000</f>
        <v>100000</v>
      </c>
      <c r="T20" s="7">
        <f>40000</f>
        <v>40000</v>
      </c>
    </row>
    <row r="21" spans="1:20" ht="109.5" customHeight="1">
      <c r="A21" s="148" t="s">
        <v>153</v>
      </c>
      <c r="B21" s="151" t="s">
        <v>154</v>
      </c>
      <c r="C21" s="83">
        <f>0</f>
        <v>0</v>
      </c>
      <c r="D21" s="4">
        <f>0</f>
        <v>0</v>
      </c>
      <c r="E21" s="4">
        <f>0</f>
        <v>0</v>
      </c>
      <c r="F21" s="5">
        <f>0</f>
        <v>0</v>
      </c>
      <c r="G21" s="6">
        <f>0</f>
        <v>0</v>
      </c>
      <c r="H21" s="7">
        <f>0</f>
        <v>0</v>
      </c>
      <c r="I21" s="7">
        <f>0</f>
        <v>0</v>
      </c>
      <c r="J21" s="7">
        <f>0</f>
        <v>0</v>
      </c>
      <c r="K21" s="7">
        <f>0</f>
        <v>0</v>
      </c>
      <c r="L21" s="7">
        <f>0</f>
        <v>0</v>
      </c>
      <c r="M21" s="7">
        <f>0</f>
        <v>0</v>
      </c>
      <c r="N21" s="7">
        <f>0</f>
        <v>0</v>
      </c>
      <c r="O21" s="7">
        <f>0</f>
        <v>0</v>
      </c>
      <c r="P21" s="7">
        <f>0</f>
        <v>0</v>
      </c>
      <c r="Q21" s="7">
        <f>0</f>
        <v>0</v>
      </c>
      <c r="R21" s="7">
        <f>0</f>
        <v>0</v>
      </c>
      <c r="S21" s="7">
        <f>0</f>
        <v>0</v>
      </c>
      <c r="T21" s="7">
        <f>0</f>
        <v>0</v>
      </c>
    </row>
    <row r="22" spans="1:20" ht="68.25" customHeight="1">
      <c r="A22" s="148" t="s">
        <v>240</v>
      </c>
      <c r="B22" s="151" t="s">
        <v>241</v>
      </c>
      <c r="C22" s="83">
        <f>0</f>
        <v>0</v>
      </c>
      <c r="D22" s="4">
        <f>0</f>
        <v>0</v>
      </c>
      <c r="E22" s="4">
        <f>0</f>
        <v>0</v>
      </c>
      <c r="F22" s="5">
        <f>0</f>
        <v>0</v>
      </c>
      <c r="G22" s="6">
        <f>0</f>
        <v>0</v>
      </c>
      <c r="H22" s="7">
        <f>0</f>
        <v>0</v>
      </c>
      <c r="I22" s="7">
        <f>0</f>
        <v>0</v>
      </c>
      <c r="J22" s="7">
        <f>0</f>
        <v>0</v>
      </c>
      <c r="K22" s="7">
        <f>0</f>
        <v>0</v>
      </c>
      <c r="L22" s="7">
        <f>0</f>
        <v>0</v>
      </c>
      <c r="M22" s="7">
        <f>0</f>
        <v>0</v>
      </c>
      <c r="N22" s="7">
        <f>0</f>
        <v>0</v>
      </c>
      <c r="O22" s="7">
        <f>0</f>
        <v>0</v>
      </c>
      <c r="P22" s="7">
        <f>0</f>
        <v>0</v>
      </c>
      <c r="Q22" s="7">
        <f>0</f>
        <v>0</v>
      </c>
      <c r="R22" s="7">
        <f>0</f>
        <v>0</v>
      </c>
      <c r="S22" s="7">
        <f>0</f>
        <v>0</v>
      </c>
      <c r="T22" s="7">
        <f>0</f>
        <v>0</v>
      </c>
    </row>
    <row r="23" spans="1:20" ht="17.25" customHeight="1">
      <c r="A23" s="148" t="s">
        <v>155</v>
      </c>
      <c r="B23" s="149" t="s">
        <v>242</v>
      </c>
      <c r="C23" s="83">
        <f>27887980.07</f>
        <v>27887980.07</v>
      </c>
      <c r="D23" s="4">
        <f>36896758.36</f>
        <v>36896758.359999999</v>
      </c>
      <c r="E23" s="4">
        <f>24202154</f>
        <v>24202154</v>
      </c>
      <c r="F23" s="5">
        <f>20313180.79</f>
        <v>20313180.789999999</v>
      </c>
      <c r="G23" s="6">
        <f>29111557</f>
        <v>29111557</v>
      </c>
      <c r="H23" s="7">
        <f>13992936</f>
        <v>13992936</v>
      </c>
      <c r="I23" s="7">
        <f>13614393</f>
        <v>13614393</v>
      </c>
      <c r="J23" s="7">
        <f>12739524</f>
        <v>12739524</v>
      </c>
      <c r="K23" s="7">
        <f>11709912</f>
        <v>11709912</v>
      </c>
      <c r="L23" s="7">
        <f>10436344</f>
        <v>10436344</v>
      </c>
      <c r="M23" s="7">
        <f>11646675</f>
        <v>11646675</v>
      </c>
      <c r="N23" s="7">
        <f>11579288</f>
        <v>11579288</v>
      </c>
      <c r="O23" s="7">
        <f>12777046</f>
        <v>12777046</v>
      </c>
      <c r="P23" s="7">
        <f>15829665</f>
        <v>15829665</v>
      </c>
      <c r="Q23" s="7">
        <f>16338603</f>
        <v>16338603</v>
      </c>
      <c r="R23" s="7">
        <f>17186081</f>
        <v>17186081</v>
      </c>
      <c r="S23" s="7">
        <f>23725732</f>
        <v>23725732</v>
      </c>
      <c r="T23" s="7">
        <f>23108623</f>
        <v>23108623</v>
      </c>
    </row>
    <row r="24" spans="1:20" ht="42.75" customHeight="1">
      <c r="A24" s="148" t="s">
        <v>243</v>
      </c>
      <c r="B24" s="150" t="s">
        <v>244</v>
      </c>
      <c r="C24" s="83">
        <f>25897530.07</f>
        <v>25897530.07</v>
      </c>
      <c r="D24" s="4">
        <f>34906308.36</f>
        <v>34906308.359999999</v>
      </c>
      <c r="E24" s="4">
        <f>20505604</f>
        <v>20505604</v>
      </c>
      <c r="F24" s="5">
        <f>16254730.79</f>
        <v>16254730.789999999</v>
      </c>
      <c r="G24" s="6">
        <f>20917107</f>
        <v>20917107</v>
      </c>
      <c r="H24" s="7">
        <f>13992936</f>
        <v>13992936</v>
      </c>
      <c r="I24" s="7">
        <f>13614393</f>
        <v>13614393</v>
      </c>
      <c r="J24" s="7">
        <f>12739524</f>
        <v>12739524</v>
      </c>
      <c r="K24" s="7">
        <f>11709911</f>
        <v>11709911</v>
      </c>
      <c r="L24" s="7">
        <f>10436344</f>
        <v>10436344</v>
      </c>
      <c r="M24" s="7">
        <f>11646675</f>
        <v>11646675</v>
      </c>
      <c r="N24" s="7">
        <f>11579288</f>
        <v>11579288</v>
      </c>
      <c r="O24" s="7">
        <f>12777046</f>
        <v>12777046</v>
      </c>
      <c r="P24" s="7">
        <f>15829665</f>
        <v>15829665</v>
      </c>
      <c r="Q24" s="7">
        <f>16338603</f>
        <v>16338603</v>
      </c>
      <c r="R24" s="7">
        <f>17186081</f>
        <v>17186081</v>
      </c>
      <c r="S24" s="7">
        <f>23725732</f>
        <v>23725732</v>
      </c>
      <c r="T24" s="7">
        <f>23108623</f>
        <v>23108623</v>
      </c>
    </row>
    <row r="25" spans="1:20" ht="28.5" customHeight="1">
      <c r="A25" s="148" t="s">
        <v>245</v>
      </c>
      <c r="B25" s="151" t="s">
        <v>246</v>
      </c>
      <c r="C25" s="83">
        <f>582834</f>
        <v>582834</v>
      </c>
      <c r="D25" s="4">
        <f>627019.04</f>
        <v>627019.04</v>
      </c>
      <c r="E25" s="4">
        <f>280572</f>
        <v>280572</v>
      </c>
      <c r="F25" s="5">
        <f>152703.67</f>
        <v>152703.67000000001</v>
      </c>
      <c r="G25" s="6">
        <f>1034970</f>
        <v>1034970</v>
      </c>
      <c r="H25" s="7">
        <f>1077781</f>
        <v>1077781</v>
      </c>
      <c r="I25" s="7">
        <f>1000000</f>
        <v>1000000</v>
      </c>
      <c r="J25" s="7">
        <f>0</f>
        <v>0</v>
      </c>
      <c r="K25" s="7">
        <f>0</f>
        <v>0</v>
      </c>
      <c r="L25" s="7">
        <f>0</f>
        <v>0</v>
      </c>
      <c r="M25" s="7">
        <f>0</f>
        <v>0</v>
      </c>
      <c r="N25" s="7">
        <f>0</f>
        <v>0</v>
      </c>
      <c r="O25" s="7">
        <f>0</f>
        <v>0</v>
      </c>
      <c r="P25" s="7">
        <f>0</f>
        <v>0</v>
      </c>
      <c r="Q25" s="7">
        <f>0</f>
        <v>0</v>
      </c>
      <c r="R25" s="7">
        <f>0</f>
        <v>0</v>
      </c>
      <c r="S25" s="7">
        <f>0</f>
        <v>0</v>
      </c>
      <c r="T25" s="7">
        <f>0</f>
        <v>0</v>
      </c>
    </row>
    <row r="26" spans="1:20" ht="20.25" customHeight="1">
      <c r="A26" s="152">
        <v>3</v>
      </c>
      <c r="B26" s="153" t="s">
        <v>156</v>
      </c>
      <c r="C26" s="84">
        <f>3000832.44</f>
        <v>3000832.44</v>
      </c>
      <c r="D26" s="1">
        <f>-5961672.64</f>
        <v>-5961672.6399999997</v>
      </c>
      <c r="E26" s="1">
        <f>-5214591</f>
        <v>-5214591</v>
      </c>
      <c r="F26" s="2">
        <f>5420214.58</f>
        <v>5420214.5800000001</v>
      </c>
      <c r="G26" s="192">
        <f>-10899572</f>
        <v>-10899572</v>
      </c>
      <c r="H26" s="3">
        <f>362000</f>
        <v>362000</v>
      </c>
      <c r="I26" s="3">
        <f>1602000</f>
        <v>1602000</v>
      </c>
      <c r="J26" s="3">
        <f>2102000</f>
        <v>2102000</v>
      </c>
      <c r="K26" s="3">
        <f>5112000</f>
        <v>5112000</v>
      </c>
      <c r="L26" s="3">
        <f>5472000</f>
        <v>5472000</v>
      </c>
      <c r="M26" s="3">
        <f>5660000</f>
        <v>5660000</v>
      </c>
      <c r="N26" s="3">
        <f>6860000</f>
        <v>6860000</v>
      </c>
      <c r="O26" s="3">
        <f>6860000</f>
        <v>6860000</v>
      </c>
      <c r="P26" s="3">
        <f>4860000</f>
        <v>4860000</v>
      </c>
      <c r="Q26" s="3">
        <f>5440000</f>
        <v>5440000</v>
      </c>
      <c r="R26" s="3">
        <f>6500000</f>
        <v>6500000</v>
      </c>
      <c r="S26" s="3">
        <f>540000</f>
        <v>540000</v>
      </c>
      <c r="T26" s="3">
        <f>1540000</f>
        <v>1540000</v>
      </c>
    </row>
    <row r="27" spans="1:20" ht="49.5" customHeight="1">
      <c r="A27" s="148" t="s">
        <v>247</v>
      </c>
      <c r="B27" s="149" t="s">
        <v>248</v>
      </c>
      <c r="C27" s="83">
        <f>3000832.44</f>
        <v>3000832.44</v>
      </c>
      <c r="D27" s="4">
        <f>0</f>
        <v>0</v>
      </c>
      <c r="E27" s="4">
        <f>0</f>
        <v>0</v>
      </c>
      <c r="F27" s="5">
        <f>5420214.58</f>
        <v>5420214.5800000001</v>
      </c>
      <c r="G27" s="6">
        <f>0</f>
        <v>0</v>
      </c>
      <c r="H27" s="7">
        <f>362000</f>
        <v>362000</v>
      </c>
      <c r="I27" s="7">
        <f>1602000</f>
        <v>1602000</v>
      </c>
      <c r="J27" s="7">
        <f>2102000</f>
        <v>2102000</v>
      </c>
      <c r="K27" s="7">
        <f>5112000</f>
        <v>5112000</v>
      </c>
      <c r="L27" s="7">
        <f>5472000</f>
        <v>5472000</v>
      </c>
      <c r="M27" s="7">
        <f>5660000</f>
        <v>5660000</v>
      </c>
      <c r="N27" s="7">
        <f>6860000</f>
        <v>6860000</v>
      </c>
      <c r="O27" s="7">
        <f>6860000</f>
        <v>6860000</v>
      </c>
      <c r="P27" s="7">
        <f>4860000</f>
        <v>4860000</v>
      </c>
      <c r="Q27" s="7">
        <f>5440000</f>
        <v>5440000</v>
      </c>
      <c r="R27" s="7">
        <f>6500000</f>
        <v>6500000</v>
      </c>
      <c r="S27" s="7">
        <f>540000</f>
        <v>540000</v>
      </c>
      <c r="T27" s="7">
        <f>1540000</f>
        <v>1540000</v>
      </c>
    </row>
    <row r="28" spans="1:20" ht="18" customHeight="1">
      <c r="A28" s="152">
        <v>4</v>
      </c>
      <c r="B28" s="153" t="s">
        <v>157</v>
      </c>
      <c r="C28" s="84">
        <f>10166608.92</f>
        <v>10166608.92</v>
      </c>
      <c r="D28" s="1">
        <f>17440165.36</f>
        <v>17440165.359999999</v>
      </c>
      <c r="E28" s="1">
        <f>11002861</f>
        <v>11002861</v>
      </c>
      <c r="F28" s="2">
        <f>12707557.72</f>
        <v>12707557.720000001</v>
      </c>
      <c r="G28" s="192">
        <f>16154184</f>
        <v>16154184</v>
      </c>
      <c r="H28" s="3">
        <f>4300000</f>
        <v>4300000</v>
      </c>
      <c r="I28" s="3">
        <f>3300000</f>
        <v>3300000</v>
      </c>
      <c r="J28" s="3">
        <f>2700000</f>
        <v>2700000</v>
      </c>
      <c r="K28" s="3">
        <f>0</f>
        <v>0</v>
      </c>
      <c r="L28" s="3">
        <f>0</f>
        <v>0</v>
      </c>
      <c r="M28" s="3">
        <f>0</f>
        <v>0</v>
      </c>
      <c r="N28" s="3">
        <f>0</f>
        <v>0</v>
      </c>
      <c r="O28" s="3">
        <f>0</f>
        <v>0</v>
      </c>
      <c r="P28" s="3">
        <f>0</f>
        <v>0</v>
      </c>
      <c r="Q28" s="3">
        <f>0</f>
        <v>0</v>
      </c>
      <c r="R28" s="3">
        <f>0</f>
        <v>0</v>
      </c>
      <c r="S28" s="3">
        <f>0</f>
        <v>0</v>
      </c>
      <c r="T28" s="3">
        <f>0</f>
        <v>0</v>
      </c>
    </row>
    <row r="29" spans="1:20" ht="30.75" customHeight="1">
      <c r="A29" s="148" t="s">
        <v>158</v>
      </c>
      <c r="B29" s="149" t="s">
        <v>249</v>
      </c>
      <c r="C29" s="83">
        <f>5700000</f>
        <v>5700000</v>
      </c>
      <c r="D29" s="4">
        <f>10950000</f>
        <v>10950000</v>
      </c>
      <c r="E29" s="4">
        <f>7790000</f>
        <v>7790000</v>
      </c>
      <c r="F29" s="5">
        <f>7790000</f>
        <v>7790000</v>
      </c>
      <c r="G29" s="6">
        <f>8000000</f>
        <v>8000000</v>
      </c>
      <c r="H29" s="7">
        <f>4300000</f>
        <v>4300000</v>
      </c>
      <c r="I29" s="7">
        <f>3300000</f>
        <v>3300000</v>
      </c>
      <c r="J29" s="7">
        <f>2700000</f>
        <v>2700000</v>
      </c>
      <c r="K29" s="7">
        <f>0</f>
        <v>0</v>
      </c>
      <c r="L29" s="7">
        <f>0</f>
        <v>0</v>
      </c>
      <c r="M29" s="7">
        <f>0</f>
        <v>0</v>
      </c>
      <c r="N29" s="7">
        <f>0</f>
        <v>0</v>
      </c>
      <c r="O29" s="7">
        <f>0</f>
        <v>0</v>
      </c>
      <c r="P29" s="7">
        <f>0</f>
        <v>0</v>
      </c>
      <c r="Q29" s="7">
        <f>0</f>
        <v>0</v>
      </c>
      <c r="R29" s="7">
        <f>0</f>
        <v>0</v>
      </c>
      <c r="S29" s="7">
        <f>0</f>
        <v>0</v>
      </c>
      <c r="T29" s="7">
        <f>0</f>
        <v>0</v>
      </c>
    </row>
    <row r="30" spans="1:20" ht="18" customHeight="1">
      <c r="A30" s="148" t="s">
        <v>159</v>
      </c>
      <c r="B30" s="150" t="s">
        <v>250</v>
      </c>
      <c r="C30" s="83">
        <f>0</f>
        <v>0</v>
      </c>
      <c r="D30" s="4">
        <f>5961672.64</f>
        <v>5961672.6399999997</v>
      </c>
      <c r="E30" s="4">
        <f>5214591</f>
        <v>5214591</v>
      </c>
      <c r="F30" s="5">
        <f>0</f>
        <v>0</v>
      </c>
      <c r="G30" s="6">
        <f>6620782</f>
        <v>6620782</v>
      </c>
      <c r="H30" s="7">
        <f>0</f>
        <v>0</v>
      </c>
      <c r="I30" s="7">
        <f>0</f>
        <v>0</v>
      </c>
      <c r="J30" s="7">
        <f>0</f>
        <v>0</v>
      </c>
      <c r="K30" s="7">
        <f>0</f>
        <v>0</v>
      </c>
      <c r="L30" s="7">
        <f>0</f>
        <v>0</v>
      </c>
      <c r="M30" s="7">
        <f>0</f>
        <v>0</v>
      </c>
      <c r="N30" s="7">
        <f>0</f>
        <v>0</v>
      </c>
      <c r="O30" s="7">
        <f>0</f>
        <v>0</v>
      </c>
      <c r="P30" s="7">
        <f>0</f>
        <v>0</v>
      </c>
      <c r="Q30" s="7">
        <f>0</f>
        <v>0</v>
      </c>
      <c r="R30" s="7">
        <f>0</f>
        <v>0</v>
      </c>
      <c r="S30" s="7">
        <f>0</f>
        <v>0</v>
      </c>
      <c r="T30" s="7">
        <f>0</f>
        <v>0</v>
      </c>
    </row>
    <row r="31" spans="1:20" ht="18" customHeight="1">
      <c r="A31" s="148" t="s">
        <v>160</v>
      </c>
      <c r="B31" s="149" t="s">
        <v>251</v>
      </c>
      <c r="C31" s="83">
        <f>0</f>
        <v>0</v>
      </c>
      <c r="D31" s="4">
        <f>0</f>
        <v>0</v>
      </c>
      <c r="E31" s="4">
        <f>0</f>
        <v>0</v>
      </c>
      <c r="F31" s="5">
        <f>0</f>
        <v>0</v>
      </c>
      <c r="G31" s="6">
        <f>4278790</f>
        <v>4278790</v>
      </c>
      <c r="H31" s="7">
        <f>0</f>
        <v>0</v>
      </c>
      <c r="I31" s="7">
        <f>0</f>
        <v>0</v>
      </c>
      <c r="J31" s="7">
        <f>0</f>
        <v>0</v>
      </c>
      <c r="K31" s="7">
        <f>0</f>
        <v>0</v>
      </c>
      <c r="L31" s="7">
        <f>0</f>
        <v>0</v>
      </c>
      <c r="M31" s="7">
        <f>0</f>
        <v>0</v>
      </c>
      <c r="N31" s="7">
        <f>0</f>
        <v>0</v>
      </c>
      <c r="O31" s="7">
        <f>0</f>
        <v>0</v>
      </c>
      <c r="P31" s="7">
        <f>0</f>
        <v>0</v>
      </c>
      <c r="Q31" s="7">
        <f>0</f>
        <v>0</v>
      </c>
      <c r="R31" s="7">
        <f>0</f>
        <v>0</v>
      </c>
      <c r="S31" s="7">
        <f>0</f>
        <v>0</v>
      </c>
      <c r="T31" s="7">
        <f>0</f>
        <v>0</v>
      </c>
    </row>
    <row r="32" spans="1:20" ht="18" customHeight="1">
      <c r="A32" s="148" t="s">
        <v>161</v>
      </c>
      <c r="B32" s="150" t="s">
        <v>250</v>
      </c>
      <c r="C32" s="83">
        <f>0</f>
        <v>0</v>
      </c>
      <c r="D32" s="4">
        <f>0</f>
        <v>0</v>
      </c>
      <c r="E32" s="4">
        <f>0</f>
        <v>0</v>
      </c>
      <c r="F32" s="5">
        <f>0</f>
        <v>0</v>
      </c>
      <c r="G32" s="6">
        <f>4278790</f>
        <v>4278790</v>
      </c>
      <c r="H32" s="7">
        <f>0</f>
        <v>0</v>
      </c>
      <c r="I32" s="7">
        <f>0</f>
        <v>0</v>
      </c>
      <c r="J32" s="7">
        <f>0</f>
        <v>0</v>
      </c>
      <c r="K32" s="7">
        <f>0</f>
        <v>0</v>
      </c>
      <c r="L32" s="7">
        <f>0</f>
        <v>0</v>
      </c>
      <c r="M32" s="7">
        <f>0</f>
        <v>0</v>
      </c>
      <c r="N32" s="7">
        <f>0</f>
        <v>0</v>
      </c>
      <c r="O32" s="7">
        <f>0</f>
        <v>0</v>
      </c>
      <c r="P32" s="7">
        <f>0</f>
        <v>0</v>
      </c>
      <c r="Q32" s="7">
        <f>0</f>
        <v>0</v>
      </c>
      <c r="R32" s="7">
        <f>0</f>
        <v>0</v>
      </c>
      <c r="S32" s="7">
        <f>0</f>
        <v>0</v>
      </c>
      <c r="T32" s="7">
        <f>0</f>
        <v>0</v>
      </c>
    </row>
    <row r="33" spans="1:20" ht="30" customHeight="1">
      <c r="A33" s="148" t="s">
        <v>162</v>
      </c>
      <c r="B33" s="149" t="s">
        <v>252</v>
      </c>
      <c r="C33" s="83">
        <f>4466608.92</f>
        <v>4466608.92</v>
      </c>
      <c r="D33" s="4">
        <f>6490165.36</f>
        <v>6490165.3600000003</v>
      </c>
      <c r="E33" s="4">
        <f>3212861</f>
        <v>3212861</v>
      </c>
      <c r="F33" s="5">
        <f>4917557.72</f>
        <v>4917557.72</v>
      </c>
      <c r="G33" s="6">
        <f>3875394</f>
        <v>3875394</v>
      </c>
      <c r="H33" s="7">
        <f>0</f>
        <v>0</v>
      </c>
      <c r="I33" s="7">
        <f>0</f>
        <v>0</v>
      </c>
      <c r="J33" s="7">
        <f>0</f>
        <v>0</v>
      </c>
      <c r="K33" s="7">
        <f>0</f>
        <v>0</v>
      </c>
      <c r="L33" s="7">
        <f>0</f>
        <v>0</v>
      </c>
      <c r="M33" s="7">
        <f>0</f>
        <v>0</v>
      </c>
      <c r="N33" s="7">
        <f>0</f>
        <v>0</v>
      </c>
      <c r="O33" s="7">
        <f>0</f>
        <v>0</v>
      </c>
      <c r="P33" s="7">
        <f>0</f>
        <v>0</v>
      </c>
      <c r="Q33" s="7">
        <f>0</f>
        <v>0</v>
      </c>
      <c r="R33" s="7">
        <f>0</f>
        <v>0</v>
      </c>
      <c r="S33" s="7">
        <f>0</f>
        <v>0</v>
      </c>
      <c r="T33" s="7">
        <f>0</f>
        <v>0</v>
      </c>
    </row>
    <row r="34" spans="1:20" ht="18" customHeight="1">
      <c r="A34" s="148" t="s">
        <v>163</v>
      </c>
      <c r="B34" s="150" t="s">
        <v>250</v>
      </c>
      <c r="C34" s="83">
        <f>0</f>
        <v>0</v>
      </c>
      <c r="D34" s="4">
        <f>0</f>
        <v>0</v>
      </c>
      <c r="E34" s="4">
        <f>0</f>
        <v>0</v>
      </c>
      <c r="F34" s="5">
        <f>0</f>
        <v>0</v>
      </c>
      <c r="G34" s="6">
        <f>0</f>
        <v>0</v>
      </c>
      <c r="H34" s="7">
        <f>0</f>
        <v>0</v>
      </c>
      <c r="I34" s="7">
        <f>0</f>
        <v>0</v>
      </c>
      <c r="J34" s="7">
        <f>0</f>
        <v>0</v>
      </c>
      <c r="K34" s="7">
        <f>0</f>
        <v>0</v>
      </c>
      <c r="L34" s="7">
        <f>0</f>
        <v>0</v>
      </c>
      <c r="M34" s="7">
        <f>0</f>
        <v>0</v>
      </c>
      <c r="N34" s="7">
        <f>0</f>
        <v>0</v>
      </c>
      <c r="O34" s="7">
        <f>0</f>
        <v>0</v>
      </c>
      <c r="P34" s="7">
        <f>0</f>
        <v>0</v>
      </c>
      <c r="Q34" s="7">
        <f>0</f>
        <v>0</v>
      </c>
      <c r="R34" s="7">
        <f>0</f>
        <v>0</v>
      </c>
      <c r="S34" s="7">
        <f>0</f>
        <v>0</v>
      </c>
      <c r="T34" s="7">
        <f>0</f>
        <v>0</v>
      </c>
    </row>
    <row r="35" spans="1:20" ht="28.5" customHeight="1">
      <c r="A35" s="148" t="s">
        <v>164</v>
      </c>
      <c r="B35" s="149" t="s">
        <v>253</v>
      </c>
      <c r="C35" s="83">
        <f>0</f>
        <v>0</v>
      </c>
      <c r="D35" s="4">
        <f>0</f>
        <v>0</v>
      </c>
      <c r="E35" s="4">
        <f>0</f>
        <v>0</v>
      </c>
      <c r="F35" s="5">
        <f>0</f>
        <v>0</v>
      </c>
      <c r="G35" s="6">
        <f>0</f>
        <v>0</v>
      </c>
      <c r="H35" s="7">
        <f>0</f>
        <v>0</v>
      </c>
      <c r="I35" s="7">
        <f>0</f>
        <v>0</v>
      </c>
      <c r="J35" s="7">
        <f>0</f>
        <v>0</v>
      </c>
      <c r="K35" s="7">
        <f>0</f>
        <v>0</v>
      </c>
      <c r="L35" s="7">
        <f>0</f>
        <v>0</v>
      </c>
      <c r="M35" s="7">
        <f>0</f>
        <v>0</v>
      </c>
      <c r="N35" s="7">
        <f>0</f>
        <v>0</v>
      </c>
      <c r="O35" s="7">
        <f>0</f>
        <v>0</v>
      </c>
      <c r="P35" s="7">
        <f>0</f>
        <v>0</v>
      </c>
      <c r="Q35" s="7">
        <f>0</f>
        <v>0</v>
      </c>
      <c r="R35" s="7">
        <f>0</f>
        <v>0</v>
      </c>
      <c r="S35" s="7">
        <f>0</f>
        <v>0</v>
      </c>
      <c r="T35" s="7">
        <f>0</f>
        <v>0</v>
      </c>
    </row>
    <row r="36" spans="1:20" ht="18" customHeight="1">
      <c r="A36" s="148" t="s">
        <v>165</v>
      </c>
      <c r="B36" s="150" t="s">
        <v>250</v>
      </c>
      <c r="C36" s="83">
        <f>0</f>
        <v>0</v>
      </c>
      <c r="D36" s="4">
        <f>0</f>
        <v>0</v>
      </c>
      <c r="E36" s="4">
        <f>0</f>
        <v>0</v>
      </c>
      <c r="F36" s="5">
        <f>0</f>
        <v>0</v>
      </c>
      <c r="G36" s="6">
        <f>0</f>
        <v>0</v>
      </c>
      <c r="H36" s="7">
        <f>0</f>
        <v>0</v>
      </c>
      <c r="I36" s="7">
        <f>0</f>
        <v>0</v>
      </c>
      <c r="J36" s="7">
        <f>0</f>
        <v>0</v>
      </c>
      <c r="K36" s="7">
        <f>0</f>
        <v>0</v>
      </c>
      <c r="L36" s="7">
        <f>0</f>
        <v>0</v>
      </c>
      <c r="M36" s="7">
        <f>0</f>
        <v>0</v>
      </c>
      <c r="N36" s="7">
        <f>0</f>
        <v>0</v>
      </c>
      <c r="O36" s="7">
        <f>0</f>
        <v>0</v>
      </c>
      <c r="P36" s="7">
        <f>0</f>
        <v>0</v>
      </c>
      <c r="Q36" s="7">
        <f>0</f>
        <v>0</v>
      </c>
      <c r="R36" s="7">
        <f>0</f>
        <v>0</v>
      </c>
      <c r="S36" s="7">
        <f>0</f>
        <v>0</v>
      </c>
      <c r="T36" s="7">
        <f>0</f>
        <v>0</v>
      </c>
    </row>
    <row r="37" spans="1:20" ht="27" customHeight="1">
      <c r="A37" s="148" t="s">
        <v>254</v>
      </c>
      <c r="B37" s="149" t="s">
        <v>255</v>
      </c>
      <c r="C37" s="83">
        <f>0</f>
        <v>0</v>
      </c>
      <c r="D37" s="4">
        <f>0</f>
        <v>0</v>
      </c>
      <c r="E37" s="4">
        <f>0</f>
        <v>0</v>
      </c>
      <c r="F37" s="5">
        <f>0</f>
        <v>0</v>
      </c>
      <c r="G37" s="6">
        <f>0</f>
        <v>0</v>
      </c>
      <c r="H37" s="7">
        <f>0</f>
        <v>0</v>
      </c>
      <c r="I37" s="7">
        <f>0</f>
        <v>0</v>
      </c>
      <c r="J37" s="7">
        <f>0</f>
        <v>0</v>
      </c>
      <c r="K37" s="7">
        <f>0</f>
        <v>0</v>
      </c>
      <c r="L37" s="7">
        <f>0</f>
        <v>0</v>
      </c>
      <c r="M37" s="7">
        <f>0</f>
        <v>0</v>
      </c>
      <c r="N37" s="7">
        <f>0</f>
        <v>0</v>
      </c>
      <c r="O37" s="7">
        <f>0</f>
        <v>0</v>
      </c>
      <c r="P37" s="7">
        <f>0</f>
        <v>0</v>
      </c>
      <c r="Q37" s="7">
        <f>0</f>
        <v>0</v>
      </c>
      <c r="R37" s="7">
        <f>0</f>
        <v>0</v>
      </c>
      <c r="S37" s="7">
        <f>0</f>
        <v>0</v>
      </c>
      <c r="T37" s="7">
        <f>0</f>
        <v>0</v>
      </c>
    </row>
    <row r="38" spans="1:20" ht="18" customHeight="1">
      <c r="A38" s="148" t="s">
        <v>256</v>
      </c>
      <c r="B38" s="150" t="s">
        <v>250</v>
      </c>
      <c r="C38" s="83">
        <f>0</f>
        <v>0</v>
      </c>
      <c r="D38" s="4">
        <f>0</f>
        <v>0</v>
      </c>
      <c r="E38" s="4">
        <f>0</f>
        <v>0</v>
      </c>
      <c r="F38" s="5">
        <f>0</f>
        <v>0</v>
      </c>
      <c r="G38" s="6">
        <f>0</f>
        <v>0</v>
      </c>
      <c r="H38" s="7">
        <f>0</f>
        <v>0</v>
      </c>
      <c r="I38" s="7">
        <f>0</f>
        <v>0</v>
      </c>
      <c r="J38" s="7">
        <f>0</f>
        <v>0</v>
      </c>
      <c r="K38" s="7">
        <f>0</f>
        <v>0</v>
      </c>
      <c r="L38" s="7">
        <f>0</f>
        <v>0</v>
      </c>
      <c r="M38" s="7">
        <f>0</f>
        <v>0</v>
      </c>
      <c r="N38" s="7">
        <f>0</f>
        <v>0</v>
      </c>
      <c r="O38" s="7">
        <f>0</f>
        <v>0</v>
      </c>
      <c r="P38" s="7">
        <f>0</f>
        <v>0</v>
      </c>
      <c r="Q38" s="7">
        <f>0</f>
        <v>0</v>
      </c>
      <c r="R38" s="7">
        <f>0</f>
        <v>0</v>
      </c>
      <c r="S38" s="7">
        <f>0</f>
        <v>0</v>
      </c>
      <c r="T38" s="7">
        <f>0</f>
        <v>0</v>
      </c>
    </row>
    <row r="39" spans="1:20" ht="18" customHeight="1">
      <c r="A39" s="152">
        <v>5</v>
      </c>
      <c r="B39" s="153" t="s">
        <v>166</v>
      </c>
      <c r="C39" s="84">
        <f>6677276</f>
        <v>6677276</v>
      </c>
      <c r="D39" s="1">
        <f>6560935</f>
        <v>6560935</v>
      </c>
      <c r="E39" s="1">
        <f>5788270</f>
        <v>5788270</v>
      </c>
      <c r="F39" s="2">
        <f>5788270</f>
        <v>5788270</v>
      </c>
      <c r="G39" s="192">
        <f>5254612</f>
        <v>5254612</v>
      </c>
      <c r="H39" s="3">
        <f>4662000</f>
        <v>4662000</v>
      </c>
      <c r="I39" s="3">
        <f>4902000</f>
        <v>4902000</v>
      </c>
      <c r="J39" s="3">
        <f>4802000</f>
        <v>4802000</v>
      </c>
      <c r="K39" s="3">
        <f>5112000</f>
        <v>5112000</v>
      </c>
      <c r="L39" s="3">
        <f>5472000</f>
        <v>5472000</v>
      </c>
      <c r="M39" s="3">
        <f>5660000</f>
        <v>5660000</v>
      </c>
      <c r="N39" s="3">
        <f>6860000</f>
        <v>6860000</v>
      </c>
      <c r="O39" s="3">
        <f>6860000</f>
        <v>6860000</v>
      </c>
      <c r="P39" s="3">
        <f>4860000</f>
        <v>4860000</v>
      </c>
      <c r="Q39" s="3">
        <f>5440000</f>
        <v>5440000</v>
      </c>
      <c r="R39" s="3">
        <f>6500000</f>
        <v>6500000</v>
      </c>
      <c r="S39" s="3">
        <f>540000</f>
        <v>540000</v>
      </c>
      <c r="T39" s="3">
        <f>1540000</f>
        <v>1540000</v>
      </c>
    </row>
    <row r="40" spans="1:20" ht="33" customHeight="1">
      <c r="A40" s="148" t="s">
        <v>167</v>
      </c>
      <c r="B40" s="149" t="s">
        <v>257</v>
      </c>
      <c r="C40" s="83">
        <f>6677276</f>
        <v>6677276</v>
      </c>
      <c r="D40" s="4">
        <f>6560935</f>
        <v>6560935</v>
      </c>
      <c r="E40" s="4">
        <f>5788270</f>
        <v>5788270</v>
      </c>
      <c r="F40" s="5">
        <f>5788270</f>
        <v>5788270</v>
      </c>
      <c r="G40" s="6">
        <f>5254612</f>
        <v>5254612</v>
      </c>
      <c r="H40" s="7">
        <f>4662000</f>
        <v>4662000</v>
      </c>
      <c r="I40" s="7">
        <f>4902000</f>
        <v>4902000</v>
      </c>
      <c r="J40" s="7">
        <f>4802000</f>
        <v>4802000</v>
      </c>
      <c r="K40" s="7">
        <f>5112000</f>
        <v>5112000</v>
      </c>
      <c r="L40" s="7">
        <f>5472000</f>
        <v>5472000</v>
      </c>
      <c r="M40" s="7">
        <f>5660000</f>
        <v>5660000</v>
      </c>
      <c r="N40" s="7">
        <f>6860000</f>
        <v>6860000</v>
      </c>
      <c r="O40" s="7">
        <f>6860000</f>
        <v>6860000</v>
      </c>
      <c r="P40" s="7">
        <f>4860000</f>
        <v>4860000</v>
      </c>
      <c r="Q40" s="7">
        <f>5440000</f>
        <v>5440000</v>
      </c>
      <c r="R40" s="7">
        <f>6500000</f>
        <v>6500000</v>
      </c>
      <c r="S40" s="7">
        <f>540000</f>
        <v>540000</v>
      </c>
      <c r="T40" s="7">
        <f>1540000</f>
        <v>1540000</v>
      </c>
    </row>
    <row r="41" spans="1:20" ht="42.75" customHeight="1">
      <c r="A41" s="148" t="s">
        <v>168</v>
      </c>
      <c r="B41" s="150" t="s">
        <v>258</v>
      </c>
      <c r="C41" s="83">
        <f>0</f>
        <v>0</v>
      </c>
      <c r="D41" s="4">
        <f>0</f>
        <v>0</v>
      </c>
      <c r="E41" s="4">
        <f>0</f>
        <v>0</v>
      </c>
      <c r="F41" s="5">
        <f>0</f>
        <v>0</v>
      </c>
      <c r="G41" s="6">
        <f>0</f>
        <v>0</v>
      </c>
      <c r="H41" s="7">
        <f>0</f>
        <v>0</v>
      </c>
      <c r="I41" s="7">
        <f>0</f>
        <v>0</v>
      </c>
      <c r="J41" s="7">
        <f>0</f>
        <v>0</v>
      </c>
      <c r="K41" s="7">
        <f>0</f>
        <v>0</v>
      </c>
      <c r="L41" s="7">
        <f>0</f>
        <v>0</v>
      </c>
      <c r="M41" s="7">
        <f>0</f>
        <v>0</v>
      </c>
      <c r="N41" s="7">
        <f>0</f>
        <v>0</v>
      </c>
      <c r="O41" s="7">
        <f>0</f>
        <v>0</v>
      </c>
      <c r="P41" s="7">
        <f>0</f>
        <v>0</v>
      </c>
      <c r="Q41" s="7">
        <f>0</f>
        <v>0</v>
      </c>
      <c r="R41" s="7">
        <f>0</f>
        <v>0</v>
      </c>
      <c r="S41" s="7">
        <f>0</f>
        <v>0</v>
      </c>
      <c r="T41" s="7">
        <f>0</f>
        <v>0</v>
      </c>
    </row>
    <row r="42" spans="1:20" ht="47.25" customHeight="1">
      <c r="A42" s="148" t="s">
        <v>169</v>
      </c>
      <c r="B42" s="151" t="s">
        <v>259</v>
      </c>
      <c r="C42" s="83">
        <f>0</f>
        <v>0</v>
      </c>
      <c r="D42" s="4">
        <f>0</f>
        <v>0</v>
      </c>
      <c r="E42" s="4">
        <f>0</f>
        <v>0</v>
      </c>
      <c r="F42" s="5">
        <f>0</f>
        <v>0</v>
      </c>
      <c r="G42" s="6">
        <f>0</f>
        <v>0</v>
      </c>
      <c r="H42" s="7">
        <f>0</f>
        <v>0</v>
      </c>
      <c r="I42" s="7">
        <f>0</f>
        <v>0</v>
      </c>
      <c r="J42" s="7">
        <f>0</f>
        <v>0</v>
      </c>
      <c r="K42" s="7">
        <f>0</f>
        <v>0</v>
      </c>
      <c r="L42" s="7">
        <f>0</f>
        <v>0</v>
      </c>
      <c r="M42" s="7">
        <f>0</f>
        <v>0</v>
      </c>
      <c r="N42" s="7">
        <f>0</f>
        <v>0</v>
      </c>
      <c r="O42" s="7">
        <f>0</f>
        <v>0</v>
      </c>
      <c r="P42" s="7">
        <f>0</f>
        <v>0</v>
      </c>
      <c r="Q42" s="7">
        <f>0</f>
        <v>0</v>
      </c>
      <c r="R42" s="7">
        <f>0</f>
        <v>0</v>
      </c>
      <c r="S42" s="7">
        <f>0</f>
        <v>0</v>
      </c>
      <c r="T42" s="7">
        <f>0</f>
        <v>0</v>
      </c>
    </row>
    <row r="43" spans="1:20" ht="45" customHeight="1">
      <c r="A43" s="148" t="s">
        <v>170</v>
      </c>
      <c r="B43" s="151" t="s">
        <v>260</v>
      </c>
      <c r="C43" s="83">
        <f>0</f>
        <v>0</v>
      </c>
      <c r="D43" s="4">
        <f>0</f>
        <v>0</v>
      </c>
      <c r="E43" s="4">
        <f>0</f>
        <v>0</v>
      </c>
      <c r="F43" s="5">
        <f>0</f>
        <v>0</v>
      </c>
      <c r="G43" s="6">
        <f>0</f>
        <v>0</v>
      </c>
      <c r="H43" s="7">
        <f>0</f>
        <v>0</v>
      </c>
      <c r="I43" s="7">
        <f>0</f>
        <v>0</v>
      </c>
      <c r="J43" s="7">
        <f>0</f>
        <v>0</v>
      </c>
      <c r="K43" s="7">
        <f>0</f>
        <v>0</v>
      </c>
      <c r="L43" s="7">
        <f>0</f>
        <v>0</v>
      </c>
      <c r="M43" s="7">
        <f>0</f>
        <v>0</v>
      </c>
      <c r="N43" s="7">
        <f>0</f>
        <v>0</v>
      </c>
      <c r="O43" s="7">
        <f>0</f>
        <v>0</v>
      </c>
      <c r="P43" s="7">
        <f>0</f>
        <v>0</v>
      </c>
      <c r="Q43" s="7">
        <f>0</f>
        <v>0</v>
      </c>
      <c r="R43" s="7">
        <f>0</f>
        <v>0</v>
      </c>
      <c r="S43" s="7">
        <f>0</f>
        <v>0</v>
      </c>
      <c r="T43" s="7">
        <f>0</f>
        <v>0</v>
      </c>
    </row>
    <row r="44" spans="1:20" ht="41.25" customHeight="1">
      <c r="A44" s="148" t="s">
        <v>171</v>
      </c>
      <c r="B44" s="151" t="s">
        <v>261</v>
      </c>
      <c r="C44" s="83">
        <f>0</f>
        <v>0</v>
      </c>
      <c r="D44" s="4">
        <f>0</f>
        <v>0</v>
      </c>
      <c r="E44" s="4">
        <f>0</f>
        <v>0</v>
      </c>
      <c r="F44" s="5">
        <f>0</f>
        <v>0</v>
      </c>
      <c r="G44" s="6">
        <f>0</f>
        <v>0</v>
      </c>
      <c r="H44" s="7">
        <f>0</f>
        <v>0</v>
      </c>
      <c r="I44" s="7">
        <f>0</f>
        <v>0</v>
      </c>
      <c r="J44" s="7">
        <f>0</f>
        <v>0</v>
      </c>
      <c r="K44" s="7">
        <f>0</f>
        <v>0</v>
      </c>
      <c r="L44" s="7">
        <f>0</f>
        <v>0</v>
      </c>
      <c r="M44" s="7">
        <f>0</f>
        <v>0</v>
      </c>
      <c r="N44" s="7">
        <f>0</f>
        <v>0</v>
      </c>
      <c r="O44" s="7">
        <f>0</f>
        <v>0</v>
      </c>
      <c r="P44" s="7">
        <f>0</f>
        <v>0</v>
      </c>
      <c r="Q44" s="7">
        <f>0</f>
        <v>0</v>
      </c>
      <c r="R44" s="7">
        <f>0</f>
        <v>0</v>
      </c>
      <c r="S44" s="7">
        <f>0</f>
        <v>0</v>
      </c>
      <c r="T44" s="7">
        <f>0</f>
        <v>0</v>
      </c>
    </row>
    <row r="45" spans="1:20" ht="18.75" customHeight="1">
      <c r="A45" s="148" t="s">
        <v>262</v>
      </c>
      <c r="B45" s="154" t="s">
        <v>263</v>
      </c>
      <c r="C45" s="83">
        <f>0</f>
        <v>0</v>
      </c>
      <c r="D45" s="4">
        <f>0</f>
        <v>0</v>
      </c>
      <c r="E45" s="4">
        <f>0</f>
        <v>0</v>
      </c>
      <c r="F45" s="5">
        <f>0</f>
        <v>0</v>
      </c>
      <c r="G45" s="6">
        <f>0</f>
        <v>0</v>
      </c>
      <c r="H45" s="7">
        <f>0</f>
        <v>0</v>
      </c>
      <c r="I45" s="7">
        <f>0</f>
        <v>0</v>
      </c>
      <c r="J45" s="7">
        <f>0</f>
        <v>0</v>
      </c>
      <c r="K45" s="7">
        <f>0</f>
        <v>0</v>
      </c>
      <c r="L45" s="7">
        <f>0</f>
        <v>0</v>
      </c>
      <c r="M45" s="7">
        <f>0</f>
        <v>0</v>
      </c>
      <c r="N45" s="7">
        <f>0</f>
        <v>0</v>
      </c>
      <c r="O45" s="7">
        <f>0</f>
        <v>0</v>
      </c>
      <c r="P45" s="7">
        <f>0</f>
        <v>0</v>
      </c>
      <c r="Q45" s="7">
        <f>0</f>
        <v>0</v>
      </c>
      <c r="R45" s="7">
        <f>0</f>
        <v>0</v>
      </c>
      <c r="S45" s="7">
        <f>0</f>
        <v>0</v>
      </c>
      <c r="T45" s="7">
        <f>0</f>
        <v>0</v>
      </c>
    </row>
    <row r="46" spans="1:20" ht="42" customHeight="1">
      <c r="A46" s="148" t="s">
        <v>264</v>
      </c>
      <c r="B46" s="154" t="s">
        <v>265</v>
      </c>
      <c r="C46" s="83">
        <f>0</f>
        <v>0</v>
      </c>
      <c r="D46" s="4">
        <f>0</f>
        <v>0</v>
      </c>
      <c r="E46" s="4">
        <f>0</f>
        <v>0</v>
      </c>
      <c r="F46" s="5">
        <f>0</f>
        <v>0</v>
      </c>
      <c r="G46" s="6">
        <f>0</f>
        <v>0</v>
      </c>
      <c r="H46" s="7">
        <f>0</f>
        <v>0</v>
      </c>
      <c r="I46" s="7">
        <f>0</f>
        <v>0</v>
      </c>
      <c r="J46" s="7">
        <f>0</f>
        <v>0</v>
      </c>
      <c r="K46" s="7">
        <f>0</f>
        <v>0</v>
      </c>
      <c r="L46" s="7">
        <f>0</f>
        <v>0</v>
      </c>
      <c r="M46" s="7">
        <f>0</f>
        <v>0</v>
      </c>
      <c r="N46" s="7">
        <f>0</f>
        <v>0</v>
      </c>
      <c r="O46" s="7">
        <f>0</f>
        <v>0</v>
      </c>
      <c r="P46" s="7">
        <f>0</f>
        <v>0</v>
      </c>
      <c r="Q46" s="7">
        <f>0</f>
        <v>0</v>
      </c>
      <c r="R46" s="7">
        <f>0</f>
        <v>0</v>
      </c>
      <c r="S46" s="7">
        <f>0</f>
        <v>0</v>
      </c>
      <c r="T46" s="7">
        <f>0</f>
        <v>0</v>
      </c>
    </row>
    <row r="47" spans="1:20" ht="18" customHeight="1">
      <c r="A47" s="148" t="s">
        <v>266</v>
      </c>
      <c r="B47" s="154" t="s">
        <v>267</v>
      </c>
      <c r="C47" s="83">
        <f>0</f>
        <v>0</v>
      </c>
      <c r="D47" s="4">
        <f>0</f>
        <v>0</v>
      </c>
      <c r="E47" s="4">
        <f>0</f>
        <v>0</v>
      </c>
      <c r="F47" s="5">
        <f>0</f>
        <v>0</v>
      </c>
      <c r="G47" s="6">
        <f>0</f>
        <v>0</v>
      </c>
      <c r="H47" s="7">
        <f>0</f>
        <v>0</v>
      </c>
      <c r="I47" s="7">
        <f>0</f>
        <v>0</v>
      </c>
      <c r="J47" s="7">
        <f>0</f>
        <v>0</v>
      </c>
      <c r="K47" s="7">
        <f>0</f>
        <v>0</v>
      </c>
      <c r="L47" s="7">
        <f>0</f>
        <v>0</v>
      </c>
      <c r="M47" s="7">
        <f>0</f>
        <v>0</v>
      </c>
      <c r="N47" s="7">
        <f>0</f>
        <v>0</v>
      </c>
      <c r="O47" s="7">
        <f>0</f>
        <v>0</v>
      </c>
      <c r="P47" s="7">
        <f>0</f>
        <v>0</v>
      </c>
      <c r="Q47" s="7">
        <f>0</f>
        <v>0</v>
      </c>
      <c r="R47" s="7">
        <f>0</f>
        <v>0</v>
      </c>
      <c r="S47" s="7">
        <f>0</f>
        <v>0</v>
      </c>
      <c r="T47" s="7">
        <f>0</f>
        <v>0</v>
      </c>
    </row>
    <row r="48" spans="1:20" ht="18" customHeight="1">
      <c r="A48" s="148" t="s">
        <v>172</v>
      </c>
      <c r="B48" s="149" t="s">
        <v>268</v>
      </c>
      <c r="C48" s="83">
        <f>0</f>
        <v>0</v>
      </c>
      <c r="D48" s="4">
        <f>0</f>
        <v>0</v>
      </c>
      <c r="E48" s="4">
        <f>0</f>
        <v>0</v>
      </c>
      <c r="F48" s="5">
        <f>0</f>
        <v>0</v>
      </c>
      <c r="G48" s="6">
        <f>0</f>
        <v>0</v>
      </c>
      <c r="H48" s="7">
        <f>0</f>
        <v>0</v>
      </c>
      <c r="I48" s="7">
        <f>0</f>
        <v>0</v>
      </c>
      <c r="J48" s="7">
        <f>0</f>
        <v>0</v>
      </c>
      <c r="K48" s="7">
        <f>0</f>
        <v>0</v>
      </c>
      <c r="L48" s="7">
        <f>0</f>
        <v>0</v>
      </c>
      <c r="M48" s="7">
        <f>0</f>
        <v>0</v>
      </c>
      <c r="N48" s="7">
        <f>0</f>
        <v>0</v>
      </c>
      <c r="O48" s="7">
        <f>0</f>
        <v>0</v>
      </c>
      <c r="P48" s="7">
        <f>0</f>
        <v>0</v>
      </c>
      <c r="Q48" s="7">
        <f>0</f>
        <v>0</v>
      </c>
      <c r="R48" s="7">
        <f>0</f>
        <v>0</v>
      </c>
      <c r="S48" s="7">
        <f>0</f>
        <v>0</v>
      </c>
      <c r="T48" s="7">
        <f>0</f>
        <v>0</v>
      </c>
    </row>
    <row r="49" spans="1:20" ht="18" customHeight="1">
      <c r="A49" s="155" t="s">
        <v>269</v>
      </c>
      <c r="B49" s="153" t="s">
        <v>270</v>
      </c>
      <c r="C49" s="84">
        <f>46392864.69</f>
        <v>46392864.689999998</v>
      </c>
      <c r="D49" s="1">
        <f>50127167.81</f>
        <v>50127167.810000002</v>
      </c>
      <c r="E49" s="1">
        <f>51474136</f>
        <v>51474136</v>
      </c>
      <c r="F49" s="2">
        <f>51474135.93</f>
        <v>51474135.93</v>
      </c>
      <c r="G49" s="192">
        <f>53564762</f>
        <v>53564762</v>
      </c>
      <c r="H49" s="3">
        <f>52548000</f>
        <v>52548000</v>
      </c>
      <c r="I49" s="3">
        <f>50946000</f>
        <v>50946000</v>
      </c>
      <c r="J49" s="3">
        <f>48844000</f>
        <v>48844000</v>
      </c>
      <c r="K49" s="3">
        <f>43732000</f>
        <v>43732000</v>
      </c>
      <c r="L49" s="3">
        <f>38260000</f>
        <v>38260000</v>
      </c>
      <c r="M49" s="3">
        <f>32600000</f>
        <v>32600000</v>
      </c>
      <c r="N49" s="3">
        <f>25740000</f>
        <v>25740000</v>
      </c>
      <c r="O49" s="3">
        <f>18880000</f>
        <v>18880000</v>
      </c>
      <c r="P49" s="3">
        <f>14020000</f>
        <v>14020000</v>
      </c>
      <c r="Q49" s="3">
        <f>8580000</f>
        <v>8580000</v>
      </c>
      <c r="R49" s="3">
        <f>2080000</f>
        <v>2080000</v>
      </c>
      <c r="S49" s="3">
        <f>1540000</f>
        <v>1540000</v>
      </c>
      <c r="T49" s="3">
        <f>0</f>
        <v>0</v>
      </c>
    </row>
    <row r="50" spans="1:20" ht="29.25" customHeight="1">
      <c r="A50" s="148" t="s">
        <v>271</v>
      </c>
      <c r="B50" s="149" t="s">
        <v>272</v>
      </c>
      <c r="C50" s="83">
        <f>2619047.69</f>
        <v>2619047.69</v>
      </c>
      <c r="D50" s="4">
        <f>1964285.81</f>
        <v>1964285.81</v>
      </c>
      <c r="E50" s="4">
        <f>1309524</f>
        <v>1309524</v>
      </c>
      <c r="F50" s="5">
        <f>1309524</f>
        <v>1309524</v>
      </c>
      <c r="G50" s="6">
        <f>654762</f>
        <v>654762</v>
      </c>
      <c r="H50" s="7">
        <f>0</f>
        <v>0</v>
      </c>
      <c r="I50" s="7">
        <f>0</f>
        <v>0</v>
      </c>
      <c r="J50" s="7">
        <f>0</f>
        <v>0</v>
      </c>
      <c r="K50" s="7">
        <f>0</f>
        <v>0</v>
      </c>
      <c r="L50" s="7">
        <f>0</f>
        <v>0</v>
      </c>
      <c r="M50" s="7">
        <f>0</f>
        <v>0</v>
      </c>
      <c r="N50" s="7">
        <f>0</f>
        <v>0</v>
      </c>
      <c r="O50" s="7">
        <f>0</f>
        <v>0</v>
      </c>
      <c r="P50" s="7">
        <f>0</f>
        <v>0</v>
      </c>
      <c r="Q50" s="7">
        <f>0</f>
        <v>0</v>
      </c>
      <c r="R50" s="7">
        <f>0</f>
        <v>0</v>
      </c>
      <c r="S50" s="7">
        <f>0</f>
        <v>0</v>
      </c>
      <c r="T50" s="7">
        <f>0</f>
        <v>0</v>
      </c>
    </row>
    <row r="51" spans="1:20" ht="30.75" customHeight="1">
      <c r="A51" s="152">
        <v>7</v>
      </c>
      <c r="B51" s="153" t="s">
        <v>173</v>
      </c>
      <c r="C51" s="85" t="s">
        <v>174</v>
      </c>
      <c r="D51" s="8" t="s">
        <v>174</v>
      </c>
      <c r="E51" s="8" t="s">
        <v>174</v>
      </c>
      <c r="F51" s="9" t="s">
        <v>174</v>
      </c>
      <c r="G51" s="10" t="s">
        <v>174</v>
      </c>
      <c r="H51" s="11" t="s">
        <v>174</v>
      </c>
      <c r="I51" s="11" t="s">
        <v>174</v>
      </c>
      <c r="J51" s="11" t="s">
        <v>174</v>
      </c>
      <c r="K51" s="11" t="s">
        <v>174</v>
      </c>
      <c r="L51" s="11" t="s">
        <v>174</v>
      </c>
      <c r="M51" s="11" t="s">
        <v>174</v>
      </c>
      <c r="N51" s="11" t="s">
        <v>174</v>
      </c>
      <c r="O51" s="11" t="s">
        <v>174</v>
      </c>
      <c r="P51" s="11" t="s">
        <v>174</v>
      </c>
      <c r="Q51" s="11" t="s">
        <v>174</v>
      </c>
      <c r="R51" s="11" t="s">
        <v>174</v>
      </c>
      <c r="S51" s="11" t="s">
        <v>174</v>
      </c>
      <c r="T51" s="11" t="s">
        <v>174</v>
      </c>
    </row>
    <row r="52" spans="1:20" ht="31.5" customHeight="1">
      <c r="A52" s="156" t="s">
        <v>273</v>
      </c>
      <c r="B52" s="157" t="s">
        <v>274</v>
      </c>
      <c r="C52" s="83">
        <f>11835222.31</f>
        <v>11835222.310000001</v>
      </c>
      <c r="D52" s="4">
        <f>12233922.28</f>
        <v>12233922.279999999</v>
      </c>
      <c r="E52" s="4">
        <f>5790592</f>
        <v>5790592</v>
      </c>
      <c r="F52" s="5">
        <f>13758395.25</f>
        <v>13758395.25</v>
      </c>
      <c r="G52" s="6">
        <f>3926710</f>
        <v>3926710</v>
      </c>
      <c r="H52" s="7">
        <f>7577736</f>
        <v>7577736</v>
      </c>
      <c r="I52" s="7">
        <f>9316393</f>
        <v>9316393</v>
      </c>
      <c r="J52" s="7">
        <f>10721524</f>
        <v>10721524</v>
      </c>
      <c r="K52" s="7">
        <f>14631912</f>
        <v>14631912</v>
      </c>
      <c r="L52" s="7">
        <f>15358344</f>
        <v>15358344</v>
      </c>
      <c r="M52" s="7">
        <f>16556675</f>
        <v>16556675</v>
      </c>
      <c r="N52" s="7">
        <f>17939288</f>
        <v>17939288</v>
      </c>
      <c r="O52" s="7">
        <f>19137046</f>
        <v>19137046</v>
      </c>
      <c r="P52" s="7">
        <f>20189665</f>
        <v>20189665</v>
      </c>
      <c r="Q52" s="7">
        <f>21278603</f>
        <v>21278603</v>
      </c>
      <c r="R52" s="7">
        <f>23186081</f>
        <v>23186081</v>
      </c>
      <c r="S52" s="7">
        <f>23765732</f>
        <v>23765732</v>
      </c>
      <c r="T52" s="7">
        <f>24148623</f>
        <v>24148623</v>
      </c>
    </row>
    <row r="53" spans="1:20" ht="40.5" customHeight="1">
      <c r="A53" s="148" t="s">
        <v>275</v>
      </c>
      <c r="B53" s="149" t="s">
        <v>342</v>
      </c>
      <c r="C53" s="83">
        <f>16301831.23</f>
        <v>16301831.23</v>
      </c>
      <c r="D53" s="4">
        <f>18724087.64</f>
        <v>18724087.640000001</v>
      </c>
      <c r="E53" s="4">
        <f>9003453</f>
        <v>9003453</v>
      </c>
      <c r="F53" s="5">
        <f>18675952.97</f>
        <v>18675952.969999999</v>
      </c>
      <c r="G53" s="6">
        <f>12080894</f>
        <v>12080894</v>
      </c>
      <c r="H53" s="7">
        <f>7577736</f>
        <v>7577736</v>
      </c>
      <c r="I53" s="7">
        <f>9316393</f>
        <v>9316393</v>
      </c>
      <c r="J53" s="7">
        <f>10721524</f>
        <v>10721524</v>
      </c>
      <c r="K53" s="7">
        <f>14631912</f>
        <v>14631912</v>
      </c>
      <c r="L53" s="7">
        <f>15358344</f>
        <v>15358344</v>
      </c>
      <c r="M53" s="7">
        <f>16556675</f>
        <v>16556675</v>
      </c>
      <c r="N53" s="7">
        <f>17939288</f>
        <v>17939288</v>
      </c>
      <c r="O53" s="7">
        <f>19137046</f>
        <v>19137046</v>
      </c>
      <c r="P53" s="7">
        <f>20189665</f>
        <v>20189665</v>
      </c>
      <c r="Q53" s="7">
        <f>21278603</f>
        <v>21278603</v>
      </c>
      <c r="R53" s="7">
        <f>23186081</f>
        <v>23186081</v>
      </c>
      <c r="S53" s="7">
        <f>23765732</f>
        <v>23765732</v>
      </c>
      <c r="T53" s="7">
        <f>24148623</f>
        <v>24148623</v>
      </c>
    </row>
    <row r="54" spans="1:20" ht="18.75" customHeight="1">
      <c r="A54" s="152">
        <v>8</v>
      </c>
      <c r="B54" s="153" t="s">
        <v>177</v>
      </c>
      <c r="C54" s="85" t="s">
        <v>174</v>
      </c>
      <c r="D54" s="8" t="s">
        <v>174</v>
      </c>
      <c r="E54" s="8" t="s">
        <v>174</v>
      </c>
      <c r="F54" s="9" t="s">
        <v>174</v>
      </c>
      <c r="G54" s="10" t="s">
        <v>174</v>
      </c>
      <c r="H54" s="11" t="s">
        <v>174</v>
      </c>
      <c r="I54" s="11" t="s">
        <v>174</v>
      </c>
      <c r="J54" s="11" t="s">
        <v>174</v>
      </c>
      <c r="K54" s="11" t="s">
        <v>174</v>
      </c>
      <c r="L54" s="11" t="s">
        <v>174</v>
      </c>
      <c r="M54" s="11" t="s">
        <v>174</v>
      </c>
      <c r="N54" s="11" t="s">
        <v>174</v>
      </c>
      <c r="O54" s="11" t="s">
        <v>174</v>
      </c>
      <c r="P54" s="11" t="s">
        <v>174</v>
      </c>
      <c r="Q54" s="11" t="s">
        <v>174</v>
      </c>
      <c r="R54" s="11" t="s">
        <v>174</v>
      </c>
      <c r="S54" s="11" t="s">
        <v>174</v>
      </c>
      <c r="T54" s="11" t="s">
        <v>174</v>
      </c>
    </row>
    <row r="55" spans="1:20" ht="89.25" customHeight="1">
      <c r="A55" s="148" t="s">
        <v>175</v>
      </c>
      <c r="B55" s="149" t="s">
        <v>276</v>
      </c>
      <c r="C55" s="85" t="s">
        <v>174</v>
      </c>
      <c r="D55" s="8" t="s">
        <v>174</v>
      </c>
      <c r="E55" s="8" t="s">
        <v>174</v>
      </c>
      <c r="F55" s="9" t="s">
        <v>174</v>
      </c>
      <c r="G55" s="193">
        <f>0.0743</f>
        <v>7.4300000000000005E-2</v>
      </c>
      <c r="H55" s="86">
        <f>0.0657</f>
        <v>6.5699999999999995E-2</v>
      </c>
      <c r="I55" s="86">
        <f>0.0649</f>
        <v>6.4899999999999999E-2</v>
      </c>
      <c r="J55" s="86">
        <f>0.0623</f>
        <v>6.2300000000000001E-2</v>
      </c>
      <c r="K55" s="86">
        <f>0.0448</f>
        <v>4.48E-2</v>
      </c>
      <c r="L55" s="86">
        <f>0.0493</f>
        <v>4.9299999999999997E-2</v>
      </c>
      <c r="M55" s="86">
        <f>0.0492</f>
        <v>4.9200000000000001E-2</v>
      </c>
      <c r="N55" s="86">
        <f>0.0538</f>
        <v>5.3800000000000001E-2</v>
      </c>
      <c r="O55" s="86">
        <f>0.0514</f>
        <v>5.1400000000000001E-2</v>
      </c>
      <c r="P55" s="86">
        <f>0.0372</f>
        <v>3.7199999999999997E-2</v>
      </c>
      <c r="Q55" s="86">
        <f>0.0383</f>
        <v>3.8300000000000001E-2</v>
      </c>
      <c r="R55" s="86">
        <f>0.0367</f>
        <v>3.6700000000000003E-2</v>
      </c>
      <c r="S55" s="86">
        <f>0.0034</f>
        <v>3.3999999999999998E-3</v>
      </c>
      <c r="T55" s="86">
        <f>0.0083</f>
        <v>8.3000000000000001E-3</v>
      </c>
    </row>
    <row r="56" spans="1:20" ht="18" customHeight="1">
      <c r="A56" s="148" t="s">
        <v>277</v>
      </c>
      <c r="B56" s="150" t="s">
        <v>277</v>
      </c>
      <c r="C56" s="85" t="s">
        <v>174</v>
      </c>
      <c r="D56" s="8" t="s">
        <v>174</v>
      </c>
      <c r="E56" s="8" t="s">
        <v>174</v>
      </c>
      <c r="F56" s="9" t="s">
        <v>174</v>
      </c>
      <c r="G56" s="193">
        <f>0.0743</f>
        <v>7.4300000000000005E-2</v>
      </c>
      <c r="H56" s="86">
        <f>0.0657</f>
        <v>6.5699999999999995E-2</v>
      </c>
      <c r="I56" s="86">
        <f>0.0649</f>
        <v>6.4899999999999999E-2</v>
      </c>
      <c r="J56" s="86">
        <f>0.0623</f>
        <v>6.2300000000000001E-2</v>
      </c>
      <c r="K56" s="86">
        <f>0.0448</f>
        <v>4.48E-2</v>
      </c>
      <c r="L56" s="86">
        <f>0.0493</f>
        <v>4.9299999999999997E-2</v>
      </c>
      <c r="M56" s="86">
        <f>0.0492</f>
        <v>4.9200000000000001E-2</v>
      </c>
      <c r="N56" s="86">
        <f>0.0538</f>
        <v>5.3800000000000001E-2</v>
      </c>
      <c r="O56" s="86">
        <f>0.0514</f>
        <v>5.1400000000000001E-2</v>
      </c>
      <c r="P56" s="86">
        <f>0.0372</f>
        <v>3.7199999999999997E-2</v>
      </c>
      <c r="Q56" s="86">
        <f>0.0383</f>
        <v>3.8300000000000001E-2</v>
      </c>
      <c r="R56" s="86">
        <f>0.0367</f>
        <v>3.6700000000000003E-2</v>
      </c>
      <c r="S56" s="86">
        <f>0.0034</f>
        <v>3.3999999999999998E-3</v>
      </c>
      <c r="T56" s="86">
        <f>0.0083</f>
        <v>8.3000000000000001E-3</v>
      </c>
    </row>
    <row r="57" spans="1:20" ht="18" customHeight="1">
      <c r="A57" s="148" t="s">
        <v>278</v>
      </c>
      <c r="B57" s="150" t="s">
        <v>278</v>
      </c>
      <c r="C57" s="85" t="s">
        <v>174</v>
      </c>
      <c r="D57" s="8" t="s">
        <v>174</v>
      </c>
      <c r="E57" s="8" t="s">
        <v>174</v>
      </c>
      <c r="F57" s="9" t="s">
        <v>174</v>
      </c>
      <c r="G57" s="193">
        <f>0.0743</f>
        <v>7.4300000000000005E-2</v>
      </c>
      <c r="H57" s="86">
        <f>0.0657</f>
        <v>6.5699999999999995E-2</v>
      </c>
      <c r="I57" s="86">
        <f>0.0649</f>
        <v>6.4899999999999999E-2</v>
      </c>
      <c r="J57" s="86">
        <f>0.0623</f>
        <v>6.2300000000000001E-2</v>
      </c>
      <c r="K57" s="86">
        <f>0.0448</f>
        <v>4.48E-2</v>
      </c>
      <c r="L57" s="86">
        <f>0.0493</f>
        <v>4.9299999999999997E-2</v>
      </c>
      <c r="M57" s="86">
        <f>0.0492</f>
        <v>4.9200000000000001E-2</v>
      </c>
      <c r="N57" s="86">
        <f>0.0538</f>
        <v>5.3800000000000001E-2</v>
      </c>
      <c r="O57" s="86">
        <f>0.0514</f>
        <v>5.1400000000000001E-2</v>
      </c>
      <c r="P57" s="86">
        <f>0.0372</f>
        <v>3.7199999999999997E-2</v>
      </c>
      <c r="Q57" s="86">
        <f>0.0383</f>
        <v>3.8300000000000001E-2</v>
      </c>
      <c r="R57" s="86">
        <f>0.0367</f>
        <v>3.6700000000000003E-2</v>
      </c>
      <c r="S57" s="86">
        <f>0.0034</f>
        <v>3.3999999999999998E-3</v>
      </c>
      <c r="T57" s="86">
        <f>0.0083</f>
        <v>8.3000000000000001E-3</v>
      </c>
    </row>
    <row r="58" spans="1:20" ht="53.25" customHeight="1">
      <c r="A58" s="148" t="s">
        <v>176</v>
      </c>
      <c r="B58" s="149" t="s">
        <v>343</v>
      </c>
      <c r="C58" s="87">
        <f>0.1307</f>
        <v>0.13070000000000001</v>
      </c>
      <c r="D58" s="88">
        <f>0.1208</f>
        <v>0.1208</v>
      </c>
      <c r="E58" s="88">
        <f>0.0616</f>
        <v>6.1600000000000002E-2</v>
      </c>
      <c r="F58" s="89">
        <f>0.1151</f>
        <v>0.11509999999999999</v>
      </c>
      <c r="G58" s="193">
        <f>0.0544</f>
        <v>5.4399999999999997E-2</v>
      </c>
      <c r="H58" s="86">
        <f>0.0663</f>
        <v>6.6299999999999998E-2</v>
      </c>
      <c r="I58" s="86">
        <f>0.0762</f>
        <v>7.6200000000000004E-2</v>
      </c>
      <c r="J58" s="86">
        <f>0.0836</f>
        <v>8.3599999999999994E-2</v>
      </c>
      <c r="K58" s="86">
        <f>0.1067</f>
        <v>0.1067</v>
      </c>
      <c r="L58" s="86">
        <f>0.1077</f>
        <v>0.1077</v>
      </c>
      <c r="M58" s="86">
        <f>0.1108</f>
        <v>0.1108</v>
      </c>
      <c r="N58" s="86">
        <f>0.115</f>
        <v>0.115</v>
      </c>
      <c r="O58" s="86">
        <f>0.1182</f>
        <v>0.1182</v>
      </c>
      <c r="P58" s="86">
        <f>0.1202</f>
        <v>0.1202</v>
      </c>
      <c r="Q58" s="86">
        <f>0.1222</f>
        <v>0.1222</v>
      </c>
      <c r="R58" s="86">
        <f>0.1288</f>
        <v>0.1288</v>
      </c>
      <c r="S58" s="86">
        <f>0.1284</f>
        <v>0.12839999999999999</v>
      </c>
      <c r="T58" s="86">
        <f>0.1271</f>
        <v>0.12709999999999999</v>
      </c>
    </row>
    <row r="59" spans="1:20" ht="18" customHeight="1">
      <c r="A59" s="148" t="s">
        <v>279</v>
      </c>
      <c r="B59" s="150" t="s">
        <v>279</v>
      </c>
      <c r="C59" s="87">
        <f>0.1794</f>
        <v>0.1794</v>
      </c>
      <c r="D59" s="88">
        <f>0.1293</f>
        <v>0.1293</v>
      </c>
      <c r="E59" s="88">
        <f>0.1013</f>
        <v>0.1013</v>
      </c>
      <c r="F59" s="89">
        <f>0.1442</f>
        <v>0.14419999999999999</v>
      </c>
      <c r="G59" s="193">
        <f>0.0943</f>
        <v>9.4299999999999995E-2</v>
      </c>
      <c r="H59" s="86">
        <f>0.083</f>
        <v>8.3000000000000004E-2</v>
      </c>
      <c r="I59" s="86">
        <f>0.0848</f>
        <v>8.48E-2</v>
      </c>
      <c r="J59" s="86">
        <f>0.0844</f>
        <v>8.4400000000000003E-2</v>
      </c>
      <c r="K59" s="86">
        <f>0.107</f>
        <v>0.107</v>
      </c>
      <c r="L59" s="86">
        <f>0</f>
        <v>0</v>
      </c>
      <c r="M59" s="86">
        <f>0</f>
        <v>0</v>
      </c>
      <c r="N59" s="86">
        <f>0</f>
        <v>0</v>
      </c>
      <c r="O59" s="86">
        <f>0</f>
        <v>0</v>
      </c>
      <c r="P59" s="86">
        <f>0</f>
        <v>0</v>
      </c>
      <c r="Q59" s="86">
        <f>0</f>
        <v>0</v>
      </c>
      <c r="R59" s="86">
        <f>0</f>
        <v>0</v>
      </c>
      <c r="S59" s="86">
        <f>0</f>
        <v>0</v>
      </c>
      <c r="T59" s="86">
        <f>0</f>
        <v>0</v>
      </c>
    </row>
    <row r="60" spans="1:20" ht="18" customHeight="1">
      <c r="A60" s="148" t="s">
        <v>280</v>
      </c>
      <c r="B60" s="150" t="s">
        <v>280</v>
      </c>
      <c r="C60" s="87">
        <f>0.1307</f>
        <v>0.13070000000000001</v>
      </c>
      <c r="D60" s="88">
        <f>0.1208</f>
        <v>0.1208</v>
      </c>
      <c r="E60" s="88">
        <f>0.0616</f>
        <v>6.1600000000000002E-2</v>
      </c>
      <c r="F60" s="89">
        <f>0.1151</f>
        <v>0.11509999999999999</v>
      </c>
      <c r="G60" s="193">
        <f>0.0544</f>
        <v>5.4399999999999997E-2</v>
      </c>
      <c r="H60" s="86">
        <f>0.0663</f>
        <v>6.6299999999999998E-2</v>
      </c>
      <c r="I60" s="86">
        <f>0.0762</f>
        <v>7.6200000000000004E-2</v>
      </c>
      <c r="J60" s="86">
        <f>0.0836</f>
        <v>8.3599999999999994E-2</v>
      </c>
      <c r="K60" s="86">
        <f>0.1067</f>
        <v>0.1067</v>
      </c>
      <c r="L60" s="86">
        <f>0.1077</f>
        <v>0.1077</v>
      </c>
      <c r="M60" s="86">
        <f>0.1108</f>
        <v>0.1108</v>
      </c>
      <c r="N60" s="86">
        <f>0.115</f>
        <v>0.115</v>
      </c>
      <c r="O60" s="86">
        <f>0.1182</f>
        <v>0.1182</v>
      </c>
      <c r="P60" s="86">
        <f>0.1202</f>
        <v>0.1202</v>
      </c>
      <c r="Q60" s="86">
        <f>0.1222</f>
        <v>0.1222</v>
      </c>
      <c r="R60" s="86">
        <f>0.1288</f>
        <v>0.1288</v>
      </c>
      <c r="S60" s="86">
        <f>0.1284</f>
        <v>0.12839999999999999</v>
      </c>
      <c r="T60" s="86">
        <f>0.1271</f>
        <v>0.12709999999999999</v>
      </c>
    </row>
    <row r="61" spans="1:20" ht="105" customHeight="1">
      <c r="A61" s="148" t="s">
        <v>281</v>
      </c>
      <c r="B61" s="149" t="s">
        <v>282</v>
      </c>
      <c r="C61" s="85" t="s">
        <v>174</v>
      </c>
      <c r="D61" s="8" t="s">
        <v>174</v>
      </c>
      <c r="E61" s="8" t="s">
        <v>174</v>
      </c>
      <c r="F61" s="9" t="s">
        <v>174</v>
      </c>
      <c r="G61" s="193">
        <f>0.1367</f>
        <v>0.13669999999999999</v>
      </c>
      <c r="H61" s="86">
        <f>0.1083</f>
        <v>0.10829999999999999</v>
      </c>
      <c r="I61" s="86">
        <f>0.0929</f>
        <v>9.2899999999999996E-2</v>
      </c>
      <c r="J61" s="86">
        <f>0.0874</f>
        <v>8.7400000000000005E-2</v>
      </c>
      <c r="K61" s="86">
        <f>0.0841</f>
        <v>8.4099999999999994E-2</v>
      </c>
      <c r="L61" s="86">
        <f>0.0921</f>
        <v>9.2100000000000001E-2</v>
      </c>
      <c r="M61" s="86">
        <f>0.0795</f>
        <v>7.9500000000000001E-2</v>
      </c>
      <c r="N61" s="86">
        <f>0.0865</f>
        <v>8.6499999999999994E-2</v>
      </c>
      <c r="O61" s="86">
        <f>0.0952</f>
        <v>9.5200000000000007E-2</v>
      </c>
      <c r="P61" s="86">
        <f>0.1026</f>
        <v>0.1026</v>
      </c>
      <c r="Q61" s="86">
        <f>0.1089</f>
        <v>0.1089</v>
      </c>
      <c r="R61" s="86">
        <f>0.1144</f>
        <v>0.1144</v>
      </c>
      <c r="S61" s="86">
        <f>0.1176</f>
        <v>0.1176</v>
      </c>
      <c r="T61" s="86">
        <f>0.1205</f>
        <v>0.1205</v>
      </c>
    </row>
    <row r="62" spans="1:20" ht="113.25" customHeight="1">
      <c r="A62" s="148" t="s">
        <v>283</v>
      </c>
      <c r="B62" s="150" t="s">
        <v>284</v>
      </c>
      <c r="C62" s="85" t="s">
        <v>174</v>
      </c>
      <c r="D62" s="8" t="s">
        <v>174</v>
      </c>
      <c r="E62" s="8" t="s">
        <v>174</v>
      </c>
      <c r="F62" s="9" t="s">
        <v>174</v>
      </c>
      <c r="G62" s="193">
        <f>0.151</f>
        <v>0.151</v>
      </c>
      <c r="H62" s="86">
        <f>0.1226</f>
        <v>0.1226</v>
      </c>
      <c r="I62" s="86">
        <f>0.1072</f>
        <v>0.1072</v>
      </c>
      <c r="J62" s="86">
        <f>0.0874</f>
        <v>8.7400000000000005E-2</v>
      </c>
      <c r="K62" s="86">
        <f>0.0841</f>
        <v>8.4099999999999994E-2</v>
      </c>
      <c r="L62" s="86">
        <f>0.0921</f>
        <v>9.2100000000000001E-2</v>
      </c>
      <c r="M62" s="86">
        <f>0.0871</f>
        <v>8.7099999999999997E-2</v>
      </c>
      <c r="N62" s="86">
        <f>0.0865</f>
        <v>8.6499999999999994E-2</v>
      </c>
      <c r="O62" s="86">
        <f>0.0952</f>
        <v>9.5200000000000007E-2</v>
      </c>
      <c r="P62" s="86">
        <f>0.1026</f>
        <v>0.1026</v>
      </c>
      <c r="Q62" s="86">
        <f>0.1089</f>
        <v>0.1089</v>
      </c>
      <c r="R62" s="86">
        <f>0.1144</f>
        <v>0.1144</v>
      </c>
      <c r="S62" s="86">
        <f>0.1176</f>
        <v>0.1176</v>
      </c>
      <c r="T62" s="86">
        <f>0.1205</f>
        <v>0.1205</v>
      </c>
    </row>
    <row r="63" spans="1:20" ht="108" customHeight="1">
      <c r="A63" s="148" t="s">
        <v>285</v>
      </c>
      <c r="B63" s="149" t="s">
        <v>183</v>
      </c>
      <c r="C63" s="85" t="s">
        <v>174</v>
      </c>
      <c r="D63" s="8" t="s">
        <v>174</v>
      </c>
      <c r="E63" s="8" t="s">
        <v>174</v>
      </c>
      <c r="F63" s="9" t="s">
        <v>174</v>
      </c>
      <c r="G63" s="194" t="str">
        <f t="shared" ref="G63:T63" si="3">IF(G55&lt;=G61,"Spełniona","Nie spełniona")</f>
        <v>Spełniona</v>
      </c>
      <c r="H63" s="90" t="str">
        <f t="shared" si="3"/>
        <v>Spełniona</v>
      </c>
      <c r="I63" s="90" t="str">
        <f t="shared" si="3"/>
        <v>Spełniona</v>
      </c>
      <c r="J63" s="90" t="str">
        <f t="shared" si="3"/>
        <v>Spełniona</v>
      </c>
      <c r="K63" s="90" t="str">
        <f t="shared" si="3"/>
        <v>Spełniona</v>
      </c>
      <c r="L63" s="90" t="str">
        <f t="shared" si="3"/>
        <v>Spełniona</v>
      </c>
      <c r="M63" s="90" t="str">
        <f t="shared" si="3"/>
        <v>Spełniona</v>
      </c>
      <c r="N63" s="90" t="str">
        <f t="shared" si="3"/>
        <v>Spełniona</v>
      </c>
      <c r="O63" s="90" t="str">
        <f t="shared" si="3"/>
        <v>Spełniona</v>
      </c>
      <c r="P63" s="90" t="str">
        <f t="shared" si="3"/>
        <v>Spełniona</v>
      </c>
      <c r="Q63" s="90" t="str">
        <f t="shared" si="3"/>
        <v>Spełniona</v>
      </c>
      <c r="R63" s="90" t="str">
        <f t="shared" si="3"/>
        <v>Spełniona</v>
      </c>
      <c r="S63" s="90" t="str">
        <f t="shared" si="3"/>
        <v>Spełniona</v>
      </c>
      <c r="T63" s="90" t="str">
        <f t="shared" si="3"/>
        <v>Spełniona</v>
      </c>
    </row>
    <row r="64" spans="1:20" ht="106.5" customHeight="1">
      <c r="A64" s="148" t="s">
        <v>286</v>
      </c>
      <c r="B64" s="150" t="s">
        <v>184</v>
      </c>
      <c r="C64" s="85" t="s">
        <v>174</v>
      </c>
      <c r="D64" s="8" t="s">
        <v>174</v>
      </c>
      <c r="E64" s="8" t="s">
        <v>174</v>
      </c>
      <c r="F64" s="9" t="s">
        <v>174</v>
      </c>
      <c r="G64" s="194" t="str">
        <f t="shared" ref="G64:T64" si="4">IF(G55&lt;=G62,"Spełniona","Nie spełniona")</f>
        <v>Spełniona</v>
      </c>
      <c r="H64" s="90" t="str">
        <f t="shared" si="4"/>
        <v>Spełniona</v>
      </c>
      <c r="I64" s="90" t="str">
        <f t="shared" si="4"/>
        <v>Spełniona</v>
      </c>
      <c r="J64" s="90" t="str">
        <f t="shared" si="4"/>
        <v>Spełniona</v>
      </c>
      <c r="K64" s="90" t="str">
        <f t="shared" si="4"/>
        <v>Spełniona</v>
      </c>
      <c r="L64" s="90" t="str">
        <f t="shared" si="4"/>
        <v>Spełniona</v>
      </c>
      <c r="M64" s="90" t="str">
        <f t="shared" si="4"/>
        <v>Spełniona</v>
      </c>
      <c r="N64" s="90" t="str">
        <f t="shared" si="4"/>
        <v>Spełniona</v>
      </c>
      <c r="O64" s="90" t="str">
        <f t="shared" si="4"/>
        <v>Spełniona</v>
      </c>
      <c r="P64" s="90" t="str">
        <f t="shared" si="4"/>
        <v>Spełniona</v>
      </c>
      <c r="Q64" s="90" t="str">
        <f t="shared" si="4"/>
        <v>Spełniona</v>
      </c>
      <c r="R64" s="90" t="str">
        <f t="shared" si="4"/>
        <v>Spełniona</v>
      </c>
      <c r="S64" s="90" t="str">
        <f t="shared" si="4"/>
        <v>Spełniona</v>
      </c>
      <c r="T64" s="90" t="str">
        <f t="shared" si="4"/>
        <v>Spełniona</v>
      </c>
    </row>
    <row r="65" spans="1:20" ht="45.75" customHeight="1">
      <c r="A65" s="152">
        <v>9</v>
      </c>
      <c r="B65" s="153" t="s">
        <v>190</v>
      </c>
      <c r="C65" s="85" t="s">
        <v>174</v>
      </c>
      <c r="D65" s="8" t="s">
        <v>174</v>
      </c>
      <c r="E65" s="8" t="s">
        <v>174</v>
      </c>
      <c r="F65" s="9" t="s">
        <v>174</v>
      </c>
      <c r="G65" s="10" t="s">
        <v>174</v>
      </c>
      <c r="H65" s="11" t="s">
        <v>174</v>
      </c>
      <c r="I65" s="11" t="s">
        <v>174</v>
      </c>
      <c r="J65" s="11" t="s">
        <v>174</v>
      </c>
      <c r="K65" s="11" t="s">
        <v>174</v>
      </c>
      <c r="L65" s="11" t="s">
        <v>174</v>
      </c>
      <c r="M65" s="11" t="s">
        <v>174</v>
      </c>
      <c r="N65" s="11" t="s">
        <v>174</v>
      </c>
      <c r="O65" s="11" t="s">
        <v>174</v>
      </c>
      <c r="P65" s="11" t="s">
        <v>174</v>
      </c>
      <c r="Q65" s="11" t="s">
        <v>174</v>
      </c>
      <c r="R65" s="11" t="s">
        <v>174</v>
      </c>
      <c r="S65" s="11" t="s">
        <v>174</v>
      </c>
      <c r="T65" s="11" t="s">
        <v>174</v>
      </c>
    </row>
    <row r="66" spans="1:20" ht="45" customHeight="1">
      <c r="A66" s="148" t="s">
        <v>178</v>
      </c>
      <c r="B66" s="149" t="s">
        <v>287</v>
      </c>
      <c r="C66" s="83">
        <f>1117061.86</f>
        <v>1117061.8600000001</v>
      </c>
      <c r="D66" s="4">
        <f>1625820.8</f>
        <v>1625820.8</v>
      </c>
      <c r="E66" s="4">
        <f>3043760</f>
        <v>3043760</v>
      </c>
      <c r="F66" s="5">
        <f>3845386.39</f>
        <v>3845386.39</v>
      </c>
      <c r="G66" s="6">
        <f>1860095</f>
        <v>1860095</v>
      </c>
      <c r="H66" s="7">
        <f>773024</f>
        <v>773024</v>
      </c>
      <c r="I66" s="7">
        <f>118896</f>
        <v>118896</v>
      </c>
      <c r="J66" s="7">
        <f>0</f>
        <v>0</v>
      </c>
      <c r="K66" s="7">
        <f>0</f>
        <v>0</v>
      </c>
      <c r="L66" s="7">
        <f>0</f>
        <v>0</v>
      </c>
      <c r="M66" s="7">
        <f>0</f>
        <v>0</v>
      </c>
      <c r="N66" s="7">
        <f>0</f>
        <v>0</v>
      </c>
      <c r="O66" s="7">
        <f>0</f>
        <v>0</v>
      </c>
      <c r="P66" s="7">
        <f>0</f>
        <v>0</v>
      </c>
      <c r="Q66" s="7">
        <f>0</f>
        <v>0</v>
      </c>
      <c r="R66" s="7">
        <f>0</f>
        <v>0</v>
      </c>
      <c r="S66" s="7">
        <f>0</f>
        <v>0</v>
      </c>
      <c r="T66" s="7">
        <f>0</f>
        <v>0</v>
      </c>
    </row>
    <row r="67" spans="1:20" ht="69" customHeight="1">
      <c r="A67" s="148" t="s">
        <v>288</v>
      </c>
      <c r="B67" s="150" t="s">
        <v>289</v>
      </c>
      <c r="C67" s="83">
        <f>1117061.86</f>
        <v>1117061.8600000001</v>
      </c>
      <c r="D67" s="4">
        <f>1625820.8</f>
        <v>1625820.8</v>
      </c>
      <c r="E67" s="4">
        <f>3043760</f>
        <v>3043760</v>
      </c>
      <c r="F67" s="5">
        <f>3845386.39</f>
        <v>3845386.39</v>
      </c>
      <c r="G67" s="6">
        <f>1860095</f>
        <v>1860095</v>
      </c>
      <c r="H67" s="7">
        <f>773024</f>
        <v>773024</v>
      </c>
      <c r="I67" s="7">
        <f>118896</f>
        <v>118896</v>
      </c>
      <c r="J67" s="7">
        <f>0</f>
        <v>0</v>
      </c>
      <c r="K67" s="7">
        <f>0</f>
        <v>0</v>
      </c>
      <c r="L67" s="7">
        <f>0</f>
        <v>0</v>
      </c>
      <c r="M67" s="7">
        <f>0</f>
        <v>0</v>
      </c>
      <c r="N67" s="7">
        <f>0</f>
        <v>0</v>
      </c>
      <c r="O67" s="7">
        <f>0</f>
        <v>0</v>
      </c>
      <c r="P67" s="7">
        <f>0</f>
        <v>0</v>
      </c>
      <c r="Q67" s="7">
        <f>0</f>
        <v>0</v>
      </c>
      <c r="R67" s="7">
        <f>0</f>
        <v>0</v>
      </c>
      <c r="S67" s="7">
        <f>0</f>
        <v>0</v>
      </c>
      <c r="T67" s="7">
        <f>0</f>
        <v>0</v>
      </c>
    </row>
    <row r="68" spans="1:20" ht="33" customHeight="1">
      <c r="A68" s="148" t="s">
        <v>290</v>
      </c>
      <c r="B68" s="151" t="s">
        <v>291</v>
      </c>
      <c r="C68" s="83">
        <f>1117061.86</f>
        <v>1117061.8600000001</v>
      </c>
      <c r="D68" s="4">
        <f>1560662.78</f>
        <v>1560662.78</v>
      </c>
      <c r="E68" s="4">
        <f>2822279</f>
        <v>2822279</v>
      </c>
      <c r="F68" s="5">
        <f>3604906.41</f>
        <v>3604906.41</v>
      </c>
      <c r="G68" s="6">
        <f>1655593</f>
        <v>1655593</v>
      </c>
      <c r="H68" s="7">
        <f>738612</f>
        <v>738612</v>
      </c>
      <c r="I68" s="7">
        <f>106080</f>
        <v>106080</v>
      </c>
      <c r="J68" s="7">
        <f>0</f>
        <v>0</v>
      </c>
      <c r="K68" s="7">
        <f>0</f>
        <v>0</v>
      </c>
      <c r="L68" s="7">
        <f>0</f>
        <v>0</v>
      </c>
      <c r="M68" s="7">
        <f>0</f>
        <v>0</v>
      </c>
      <c r="N68" s="7">
        <f>0</f>
        <v>0</v>
      </c>
      <c r="O68" s="7">
        <f>0</f>
        <v>0</v>
      </c>
      <c r="P68" s="7">
        <f>0</f>
        <v>0</v>
      </c>
      <c r="Q68" s="7">
        <f>0</f>
        <v>0</v>
      </c>
      <c r="R68" s="7">
        <f>0</f>
        <v>0</v>
      </c>
      <c r="S68" s="7">
        <f>0</f>
        <v>0</v>
      </c>
      <c r="T68" s="7">
        <f>0</f>
        <v>0</v>
      </c>
    </row>
    <row r="69" spans="1:20" ht="55.5" customHeight="1">
      <c r="A69" s="148" t="s">
        <v>179</v>
      </c>
      <c r="B69" s="149" t="s">
        <v>292</v>
      </c>
      <c r="C69" s="83">
        <f>181441</f>
        <v>181441</v>
      </c>
      <c r="D69" s="4">
        <f>586344.48</f>
        <v>586344.48</v>
      </c>
      <c r="E69" s="4">
        <f>0</f>
        <v>0</v>
      </c>
      <c r="F69" s="5">
        <f>0</f>
        <v>0</v>
      </c>
      <c r="G69" s="6">
        <f>0</f>
        <v>0</v>
      </c>
      <c r="H69" s="7">
        <f>0</f>
        <v>0</v>
      </c>
      <c r="I69" s="7">
        <f>0</f>
        <v>0</v>
      </c>
      <c r="J69" s="7">
        <f>0</f>
        <v>0</v>
      </c>
      <c r="K69" s="7">
        <f>0</f>
        <v>0</v>
      </c>
      <c r="L69" s="7">
        <f>0</f>
        <v>0</v>
      </c>
      <c r="M69" s="7">
        <f>0</f>
        <v>0</v>
      </c>
      <c r="N69" s="7">
        <f>0</f>
        <v>0</v>
      </c>
      <c r="O69" s="7">
        <f>0</f>
        <v>0</v>
      </c>
      <c r="P69" s="7">
        <f>0</f>
        <v>0</v>
      </c>
      <c r="Q69" s="7">
        <f>0</f>
        <v>0</v>
      </c>
      <c r="R69" s="7">
        <f>0</f>
        <v>0</v>
      </c>
      <c r="S69" s="7">
        <f>0</f>
        <v>0</v>
      </c>
      <c r="T69" s="7">
        <f>0</f>
        <v>0</v>
      </c>
    </row>
    <row r="70" spans="1:20" ht="57.75" customHeight="1">
      <c r="A70" s="148" t="s">
        <v>293</v>
      </c>
      <c r="B70" s="150" t="s">
        <v>294</v>
      </c>
      <c r="C70" s="83">
        <f>181441</f>
        <v>181441</v>
      </c>
      <c r="D70" s="4">
        <f>586344.48</f>
        <v>586344.48</v>
      </c>
      <c r="E70" s="4">
        <f>0</f>
        <v>0</v>
      </c>
      <c r="F70" s="5">
        <f>0</f>
        <v>0</v>
      </c>
      <c r="G70" s="6">
        <f>0</f>
        <v>0</v>
      </c>
      <c r="H70" s="7">
        <f>0</f>
        <v>0</v>
      </c>
      <c r="I70" s="7">
        <f>0</f>
        <v>0</v>
      </c>
      <c r="J70" s="7">
        <f>0</f>
        <v>0</v>
      </c>
      <c r="K70" s="7">
        <f>0</f>
        <v>0</v>
      </c>
      <c r="L70" s="7">
        <f>0</f>
        <v>0</v>
      </c>
      <c r="M70" s="7">
        <f>0</f>
        <v>0</v>
      </c>
      <c r="N70" s="7">
        <f>0</f>
        <v>0</v>
      </c>
      <c r="O70" s="7">
        <f>0</f>
        <v>0</v>
      </c>
      <c r="P70" s="7">
        <f>0</f>
        <v>0</v>
      </c>
      <c r="Q70" s="7">
        <f>0</f>
        <v>0</v>
      </c>
      <c r="R70" s="7">
        <f>0</f>
        <v>0</v>
      </c>
      <c r="S70" s="7">
        <f>0</f>
        <v>0</v>
      </c>
      <c r="T70" s="7">
        <f>0</f>
        <v>0</v>
      </c>
    </row>
    <row r="71" spans="1:20" ht="34.5" customHeight="1">
      <c r="A71" s="148" t="s">
        <v>295</v>
      </c>
      <c r="B71" s="151" t="s">
        <v>291</v>
      </c>
      <c r="C71" s="83">
        <f>1120</f>
        <v>1120</v>
      </c>
      <c r="D71" s="4">
        <f>586344.48</f>
        <v>586344.48</v>
      </c>
      <c r="E71" s="4">
        <f>0</f>
        <v>0</v>
      </c>
      <c r="F71" s="5">
        <f>0</f>
        <v>0</v>
      </c>
      <c r="G71" s="6">
        <f>0</f>
        <v>0</v>
      </c>
      <c r="H71" s="7">
        <f>0</f>
        <v>0</v>
      </c>
      <c r="I71" s="7">
        <f>0</f>
        <v>0</v>
      </c>
      <c r="J71" s="7">
        <f>0</f>
        <v>0</v>
      </c>
      <c r="K71" s="7">
        <f>0</f>
        <v>0</v>
      </c>
      <c r="L71" s="7">
        <f>0</f>
        <v>0</v>
      </c>
      <c r="M71" s="7">
        <f>0</f>
        <v>0</v>
      </c>
      <c r="N71" s="7">
        <f>0</f>
        <v>0</v>
      </c>
      <c r="O71" s="7">
        <f>0</f>
        <v>0</v>
      </c>
      <c r="P71" s="7">
        <f>0</f>
        <v>0</v>
      </c>
      <c r="Q71" s="7">
        <f>0</f>
        <v>0</v>
      </c>
      <c r="R71" s="7">
        <f>0</f>
        <v>0</v>
      </c>
      <c r="S71" s="7">
        <f>0</f>
        <v>0</v>
      </c>
      <c r="T71" s="7">
        <f>0</f>
        <v>0</v>
      </c>
    </row>
    <row r="72" spans="1:20" ht="57" customHeight="1">
      <c r="A72" s="148" t="s">
        <v>180</v>
      </c>
      <c r="B72" s="149" t="s">
        <v>194</v>
      </c>
      <c r="C72" s="83">
        <f>1214289.48</f>
        <v>1214289.48</v>
      </c>
      <c r="D72" s="4">
        <f>1441015.01</f>
        <v>1441015.01</v>
      </c>
      <c r="E72" s="4">
        <f>3264599</f>
        <v>3264599</v>
      </c>
      <c r="F72" s="5">
        <f>2856622.21</f>
        <v>2856622.21</v>
      </c>
      <c r="G72" s="6">
        <f>3519907</f>
        <v>3519907</v>
      </c>
      <c r="H72" s="7">
        <f>825744</f>
        <v>825744</v>
      </c>
      <c r="I72" s="7">
        <f>118896</f>
        <v>118896</v>
      </c>
      <c r="J72" s="7">
        <f>0</f>
        <v>0</v>
      </c>
      <c r="K72" s="7">
        <f>0</f>
        <v>0</v>
      </c>
      <c r="L72" s="7">
        <f>0</f>
        <v>0</v>
      </c>
      <c r="M72" s="7">
        <f>0</f>
        <v>0</v>
      </c>
      <c r="N72" s="7">
        <f>0</f>
        <v>0</v>
      </c>
      <c r="O72" s="7">
        <f>0</f>
        <v>0</v>
      </c>
      <c r="P72" s="7">
        <f>0</f>
        <v>0</v>
      </c>
      <c r="Q72" s="7">
        <f>0</f>
        <v>0</v>
      </c>
      <c r="R72" s="7">
        <f>0</f>
        <v>0</v>
      </c>
      <c r="S72" s="7">
        <f>0</f>
        <v>0</v>
      </c>
      <c r="T72" s="7">
        <f>0</f>
        <v>0</v>
      </c>
    </row>
    <row r="73" spans="1:20" ht="54.75" customHeight="1">
      <c r="A73" s="148" t="s">
        <v>296</v>
      </c>
      <c r="B73" s="150" t="s">
        <v>297</v>
      </c>
      <c r="C73" s="83">
        <f>1214289.48</f>
        <v>1214289.48</v>
      </c>
      <c r="D73" s="4">
        <f>1441015.01</f>
        <v>1441015.01</v>
      </c>
      <c r="E73" s="4">
        <f>3264599</f>
        <v>3264599</v>
      </c>
      <c r="F73" s="5">
        <f>2856622.21</f>
        <v>2856622.21</v>
      </c>
      <c r="G73" s="6">
        <f>3519907</f>
        <v>3519907</v>
      </c>
      <c r="H73" s="7">
        <f>825744</f>
        <v>825744</v>
      </c>
      <c r="I73" s="7">
        <f>118896</f>
        <v>118896</v>
      </c>
      <c r="J73" s="7">
        <f>0</f>
        <v>0</v>
      </c>
      <c r="K73" s="7">
        <f>0</f>
        <v>0</v>
      </c>
      <c r="L73" s="7">
        <f>0</f>
        <v>0</v>
      </c>
      <c r="M73" s="7">
        <f>0</f>
        <v>0</v>
      </c>
      <c r="N73" s="7">
        <f>0</f>
        <v>0</v>
      </c>
      <c r="O73" s="7">
        <f>0</f>
        <v>0</v>
      </c>
      <c r="P73" s="7">
        <f>0</f>
        <v>0</v>
      </c>
      <c r="Q73" s="7">
        <f>0</f>
        <v>0</v>
      </c>
      <c r="R73" s="7">
        <f>0</f>
        <v>0</v>
      </c>
      <c r="S73" s="7">
        <f>0</f>
        <v>0</v>
      </c>
      <c r="T73" s="7">
        <f>0</f>
        <v>0</v>
      </c>
    </row>
    <row r="74" spans="1:20" ht="34.5" customHeight="1">
      <c r="A74" s="148" t="s">
        <v>298</v>
      </c>
      <c r="B74" s="151" t="s">
        <v>299</v>
      </c>
      <c r="C74" s="83">
        <f>1117060.7</f>
        <v>1117060.7</v>
      </c>
      <c r="D74" s="4">
        <f>1322318.02</f>
        <v>1322318.02</v>
      </c>
      <c r="E74" s="4">
        <f>2929006</f>
        <v>2929006</v>
      </c>
      <c r="F74" s="5">
        <f>2541514.82</f>
        <v>2541514.8199999998</v>
      </c>
      <c r="G74" s="6">
        <f>3115624</f>
        <v>3115624</v>
      </c>
      <c r="H74" s="7">
        <f>738612</f>
        <v>738612</v>
      </c>
      <c r="I74" s="7">
        <f>106080</f>
        <v>106080</v>
      </c>
      <c r="J74" s="7">
        <f>0</f>
        <v>0</v>
      </c>
      <c r="K74" s="7">
        <f>0</f>
        <v>0</v>
      </c>
      <c r="L74" s="7">
        <f>0</f>
        <v>0</v>
      </c>
      <c r="M74" s="7">
        <f>0</f>
        <v>0</v>
      </c>
      <c r="N74" s="7">
        <f>0</f>
        <v>0</v>
      </c>
      <c r="O74" s="7">
        <f>0</f>
        <v>0</v>
      </c>
      <c r="P74" s="7">
        <f>0</f>
        <v>0</v>
      </c>
      <c r="Q74" s="7">
        <f>0</f>
        <v>0</v>
      </c>
      <c r="R74" s="7">
        <f>0</f>
        <v>0</v>
      </c>
      <c r="S74" s="7">
        <f>0</f>
        <v>0</v>
      </c>
      <c r="T74" s="7">
        <f>0</f>
        <v>0</v>
      </c>
    </row>
    <row r="75" spans="1:20" ht="48">
      <c r="A75" s="148" t="s">
        <v>182</v>
      </c>
      <c r="B75" s="149" t="s">
        <v>195</v>
      </c>
      <c r="C75" s="83">
        <f>861627.63</f>
        <v>861627.63</v>
      </c>
      <c r="D75" s="4">
        <f>204170.41</f>
        <v>204170.41</v>
      </c>
      <c r="E75" s="4">
        <f>70572</f>
        <v>70572</v>
      </c>
      <c r="F75" s="5">
        <f>0</f>
        <v>0</v>
      </c>
      <c r="G75" s="6">
        <f>7970</f>
        <v>7970</v>
      </c>
      <c r="H75" s="7">
        <f>77781</f>
        <v>77781</v>
      </c>
      <c r="I75" s="7">
        <f>0</f>
        <v>0</v>
      </c>
      <c r="J75" s="7">
        <f>0</f>
        <v>0</v>
      </c>
      <c r="K75" s="7">
        <f>0</f>
        <v>0</v>
      </c>
      <c r="L75" s="7">
        <f>0</f>
        <v>0</v>
      </c>
      <c r="M75" s="7">
        <f>0</f>
        <v>0</v>
      </c>
      <c r="N75" s="7">
        <f>0</f>
        <v>0</v>
      </c>
      <c r="O75" s="7">
        <f>0</f>
        <v>0</v>
      </c>
      <c r="P75" s="7">
        <f>0</f>
        <v>0</v>
      </c>
      <c r="Q75" s="7">
        <f>0</f>
        <v>0</v>
      </c>
      <c r="R75" s="7">
        <f>0</f>
        <v>0</v>
      </c>
      <c r="S75" s="7">
        <f>0</f>
        <v>0</v>
      </c>
      <c r="T75" s="7">
        <f>0</f>
        <v>0</v>
      </c>
    </row>
    <row r="76" spans="1:20" ht="54.75" customHeight="1">
      <c r="A76" s="148" t="s">
        <v>300</v>
      </c>
      <c r="B76" s="150" t="s">
        <v>301</v>
      </c>
      <c r="C76" s="83">
        <f>861627.63</f>
        <v>861627.63</v>
      </c>
      <c r="D76" s="4">
        <f>204170.41</f>
        <v>204170.41</v>
      </c>
      <c r="E76" s="4">
        <f>70572</f>
        <v>70572</v>
      </c>
      <c r="F76" s="5">
        <f>0</f>
        <v>0</v>
      </c>
      <c r="G76" s="6">
        <f>7970</f>
        <v>7970</v>
      </c>
      <c r="H76" s="7">
        <f>77781</f>
        <v>77781</v>
      </c>
      <c r="I76" s="7">
        <f>0</f>
        <v>0</v>
      </c>
      <c r="J76" s="7">
        <f>0</f>
        <v>0</v>
      </c>
      <c r="K76" s="7">
        <f>0</f>
        <v>0</v>
      </c>
      <c r="L76" s="7">
        <f>0</f>
        <v>0</v>
      </c>
      <c r="M76" s="7">
        <f>0</f>
        <v>0</v>
      </c>
      <c r="N76" s="7">
        <f>0</f>
        <v>0</v>
      </c>
      <c r="O76" s="7">
        <f>0</f>
        <v>0</v>
      </c>
      <c r="P76" s="7">
        <f>0</f>
        <v>0</v>
      </c>
      <c r="Q76" s="7">
        <f>0</f>
        <v>0</v>
      </c>
      <c r="R76" s="7">
        <f>0</f>
        <v>0</v>
      </c>
      <c r="S76" s="7">
        <f>0</f>
        <v>0</v>
      </c>
      <c r="T76" s="7">
        <f>0</f>
        <v>0</v>
      </c>
    </row>
    <row r="77" spans="1:20" ht="30.75" customHeight="1">
      <c r="A77" s="148" t="s">
        <v>302</v>
      </c>
      <c r="B77" s="151" t="s">
        <v>299</v>
      </c>
      <c r="C77" s="83">
        <f>586344.48</f>
        <v>586344.48</v>
      </c>
      <c r="D77" s="4">
        <f>0</f>
        <v>0</v>
      </c>
      <c r="E77" s="4">
        <f>0</f>
        <v>0</v>
      </c>
      <c r="F77" s="5">
        <f>0</f>
        <v>0</v>
      </c>
      <c r="G77" s="6">
        <f>0</f>
        <v>0</v>
      </c>
      <c r="H77" s="7">
        <f>0</f>
        <v>0</v>
      </c>
      <c r="I77" s="7">
        <f>0</f>
        <v>0</v>
      </c>
      <c r="J77" s="7">
        <f>0</f>
        <v>0</v>
      </c>
      <c r="K77" s="7">
        <f>0</f>
        <v>0</v>
      </c>
      <c r="L77" s="7">
        <f>0</f>
        <v>0</v>
      </c>
      <c r="M77" s="7">
        <f>0</f>
        <v>0</v>
      </c>
      <c r="N77" s="7">
        <f>0</f>
        <v>0</v>
      </c>
      <c r="O77" s="7">
        <f>0</f>
        <v>0</v>
      </c>
      <c r="P77" s="7">
        <f>0</f>
        <v>0</v>
      </c>
      <c r="Q77" s="7">
        <f>0</f>
        <v>0</v>
      </c>
      <c r="R77" s="7">
        <f>0</f>
        <v>0</v>
      </c>
      <c r="S77" s="7">
        <f>0</f>
        <v>0</v>
      </c>
      <c r="T77" s="7">
        <f>0</f>
        <v>0</v>
      </c>
    </row>
    <row r="78" spans="1:20" ht="36.75" customHeight="1">
      <c r="A78" s="152">
        <v>10</v>
      </c>
      <c r="B78" s="153" t="s">
        <v>303</v>
      </c>
      <c r="C78" s="85" t="s">
        <v>174</v>
      </c>
      <c r="D78" s="8" t="s">
        <v>174</v>
      </c>
      <c r="E78" s="8" t="s">
        <v>174</v>
      </c>
      <c r="F78" s="9" t="s">
        <v>174</v>
      </c>
      <c r="G78" s="10" t="s">
        <v>174</v>
      </c>
      <c r="H78" s="11" t="s">
        <v>174</v>
      </c>
      <c r="I78" s="11" t="s">
        <v>174</v>
      </c>
      <c r="J78" s="11" t="s">
        <v>174</v>
      </c>
      <c r="K78" s="11" t="s">
        <v>174</v>
      </c>
      <c r="L78" s="11" t="s">
        <v>174</v>
      </c>
      <c r="M78" s="11" t="s">
        <v>174</v>
      </c>
      <c r="N78" s="11" t="s">
        <v>174</v>
      </c>
      <c r="O78" s="11" t="s">
        <v>174</v>
      </c>
      <c r="P78" s="11" t="s">
        <v>174</v>
      </c>
      <c r="Q78" s="11" t="s">
        <v>174</v>
      </c>
      <c r="R78" s="11" t="s">
        <v>174</v>
      </c>
      <c r="S78" s="11" t="s">
        <v>174</v>
      </c>
      <c r="T78" s="11" t="s">
        <v>174</v>
      </c>
    </row>
    <row r="79" spans="1:20" ht="31.5" customHeight="1">
      <c r="A79" s="148" t="s">
        <v>185</v>
      </c>
      <c r="B79" s="158" t="s">
        <v>304</v>
      </c>
      <c r="C79" s="83">
        <f>19651893.88</f>
        <v>19651893.879999999</v>
      </c>
      <c r="D79" s="4">
        <f>28121021.88</f>
        <v>28121021.879999999</v>
      </c>
      <c r="E79" s="4">
        <f>19307832</f>
        <v>19307832</v>
      </c>
      <c r="F79" s="5">
        <f>15921743.49</f>
        <v>15921743.49</v>
      </c>
      <c r="G79" s="6">
        <f>19599310</f>
        <v>19599310</v>
      </c>
      <c r="H79" s="7">
        <f>15061862</f>
        <v>15061862</v>
      </c>
      <c r="I79" s="7">
        <f>12867837</f>
        <v>12867837</v>
      </c>
      <c r="J79" s="7">
        <f>13191023</f>
        <v>13191023</v>
      </c>
      <c r="K79" s="7">
        <f>11460000</f>
        <v>11460000</v>
      </c>
      <c r="L79" s="7">
        <f>10030000</f>
        <v>10030000</v>
      </c>
      <c r="M79" s="7">
        <f>3500000</f>
        <v>3500000</v>
      </c>
      <c r="N79" s="7">
        <f>1050000</f>
        <v>1050000</v>
      </c>
      <c r="O79" s="7">
        <f>700000</f>
        <v>700000</v>
      </c>
      <c r="P79" s="7">
        <f>0</f>
        <v>0</v>
      </c>
      <c r="Q79" s="7">
        <f>0</f>
        <v>0</v>
      </c>
      <c r="R79" s="7">
        <f>0</f>
        <v>0</v>
      </c>
      <c r="S79" s="7">
        <f>0</f>
        <v>0</v>
      </c>
      <c r="T79" s="7">
        <f>0</f>
        <v>0</v>
      </c>
    </row>
    <row r="80" spans="1:20" ht="18" customHeight="1">
      <c r="A80" s="148" t="s">
        <v>305</v>
      </c>
      <c r="B80" s="150" t="s">
        <v>188</v>
      </c>
      <c r="C80" s="83">
        <f>1317922.84</f>
        <v>1317922.8400000001</v>
      </c>
      <c r="D80" s="4">
        <f>1763345.01</f>
        <v>1763345.01</v>
      </c>
      <c r="E80" s="4">
        <f>3647747</f>
        <v>3647747</v>
      </c>
      <c r="F80" s="5">
        <f>3176982.75</f>
        <v>3176982.75</v>
      </c>
      <c r="G80" s="6">
        <f>3854423</f>
        <v>3854423</v>
      </c>
      <c r="H80" s="7">
        <f>2274681</f>
        <v>2274681</v>
      </c>
      <c r="I80" s="7">
        <f>1187837</f>
        <v>1187837</v>
      </c>
      <c r="J80" s="7">
        <f>903540</f>
        <v>903540</v>
      </c>
      <c r="K80" s="7">
        <f>0</f>
        <v>0</v>
      </c>
      <c r="L80" s="7">
        <f>0</f>
        <v>0</v>
      </c>
      <c r="M80" s="7">
        <f>0</f>
        <v>0</v>
      </c>
      <c r="N80" s="7">
        <f>0</f>
        <v>0</v>
      </c>
      <c r="O80" s="7">
        <f>0</f>
        <v>0</v>
      </c>
      <c r="P80" s="7">
        <f>0</f>
        <v>0</v>
      </c>
      <c r="Q80" s="7">
        <f>0</f>
        <v>0</v>
      </c>
      <c r="R80" s="7">
        <f>0</f>
        <v>0</v>
      </c>
      <c r="S80" s="7">
        <f>0</f>
        <v>0</v>
      </c>
      <c r="T80" s="7">
        <f>0</f>
        <v>0</v>
      </c>
    </row>
    <row r="81" spans="1:20" ht="18" customHeight="1">
      <c r="A81" s="148" t="s">
        <v>306</v>
      </c>
      <c r="B81" s="150" t="s">
        <v>189</v>
      </c>
      <c r="C81" s="83">
        <f>18333971.04</f>
        <v>18333971.039999999</v>
      </c>
      <c r="D81" s="4">
        <f>26357676.87</f>
        <v>26357676.870000001</v>
      </c>
      <c r="E81" s="4">
        <f>15660085</f>
        <v>15660085</v>
      </c>
      <c r="F81" s="5">
        <f>12744760.74</f>
        <v>12744760.74</v>
      </c>
      <c r="G81" s="6">
        <f>15744887</f>
        <v>15744887</v>
      </c>
      <c r="H81" s="7">
        <f>12787181</f>
        <v>12787181</v>
      </c>
      <c r="I81" s="7">
        <f>11680000</f>
        <v>11680000</v>
      </c>
      <c r="J81" s="7">
        <f>12287483</f>
        <v>12287483</v>
      </c>
      <c r="K81" s="7">
        <f>11460000</f>
        <v>11460000</v>
      </c>
      <c r="L81" s="7">
        <f>10030000</f>
        <v>10030000</v>
      </c>
      <c r="M81" s="7">
        <f>3500000</f>
        <v>3500000</v>
      </c>
      <c r="N81" s="7">
        <f>1050000</f>
        <v>1050000</v>
      </c>
      <c r="O81" s="7">
        <f>700000</f>
        <v>700000</v>
      </c>
      <c r="P81" s="7">
        <f>0</f>
        <v>0</v>
      </c>
      <c r="Q81" s="7">
        <f>0</f>
        <v>0</v>
      </c>
      <c r="R81" s="7">
        <f>0</f>
        <v>0</v>
      </c>
      <c r="S81" s="7">
        <f>0</f>
        <v>0</v>
      </c>
      <c r="T81" s="7">
        <f>0</f>
        <v>0</v>
      </c>
    </row>
    <row r="82" spans="1:20" ht="41.25" customHeight="1">
      <c r="A82" s="148" t="s">
        <v>307</v>
      </c>
      <c r="B82" s="149" t="s">
        <v>196</v>
      </c>
      <c r="C82" s="83">
        <f>0</f>
        <v>0</v>
      </c>
      <c r="D82" s="4">
        <f>0</f>
        <v>0</v>
      </c>
      <c r="E82" s="4">
        <f>0</f>
        <v>0</v>
      </c>
      <c r="F82" s="5">
        <f>0</f>
        <v>0</v>
      </c>
      <c r="G82" s="6">
        <f>0</f>
        <v>0</v>
      </c>
      <c r="H82" s="7">
        <f>0</f>
        <v>0</v>
      </c>
      <c r="I82" s="7">
        <f>0</f>
        <v>0</v>
      </c>
      <c r="J82" s="7">
        <f>0</f>
        <v>0</v>
      </c>
      <c r="K82" s="7">
        <f>0</f>
        <v>0</v>
      </c>
      <c r="L82" s="7">
        <f>0</f>
        <v>0</v>
      </c>
      <c r="M82" s="7">
        <f>0</f>
        <v>0</v>
      </c>
      <c r="N82" s="7">
        <f>0</f>
        <v>0</v>
      </c>
      <c r="O82" s="7">
        <f>0</f>
        <v>0</v>
      </c>
      <c r="P82" s="7">
        <f>0</f>
        <v>0</v>
      </c>
      <c r="Q82" s="7">
        <f>0</f>
        <v>0</v>
      </c>
      <c r="R82" s="7">
        <f>0</f>
        <v>0</v>
      </c>
      <c r="S82" s="7">
        <f>0</f>
        <v>0</v>
      </c>
      <c r="T82" s="7">
        <f>0</f>
        <v>0</v>
      </c>
    </row>
    <row r="83" spans="1:20" ht="57.75" customHeight="1">
      <c r="A83" s="148" t="s">
        <v>308</v>
      </c>
      <c r="B83" s="149" t="s">
        <v>309</v>
      </c>
      <c r="C83" s="83">
        <f>654761.88</f>
        <v>654761.88</v>
      </c>
      <c r="D83" s="4">
        <f>654761.88</f>
        <v>654761.88</v>
      </c>
      <c r="E83" s="4">
        <f>654762</f>
        <v>654762</v>
      </c>
      <c r="F83" s="5">
        <f>654761.88</f>
        <v>654761.88</v>
      </c>
      <c r="G83" s="6">
        <f>654762</f>
        <v>654762</v>
      </c>
      <c r="H83" s="7">
        <f>654762</f>
        <v>654762</v>
      </c>
      <c r="I83" s="7">
        <f>0</f>
        <v>0</v>
      </c>
      <c r="J83" s="7">
        <f>0</f>
        <v>0</v>
      </c>
      <c r="K83" s="7">
        <f>0</f>
        <v>0</v>
      </c>
      <c r="L83" s="7">
        <f>0</f>
        <v>0</v>
      </c>
      <c r="M83" s="7">
        <f>0</f>
        <v>0</v>
      </c>
      <c r="N83" s="7">
        <f>0</f>
        <v>0</v>
      </c>
      <c r="O83" s="7">
        <f>0</f>
        <v>0</v>
      </c>
      <c r="P83" s="7">
        <f>0</f>
        <v>0</v>
      </c>
      <c r="Q83" s="7">
        <f>0</f>
        <v>0</v>
      </c>
      <c r="R83" s="7">
        <f>0</f>
        <v>0</v>
      </c>
      <c r="S83" s="7">
        <f>0</f>
        <v>0</v>
      </c>
      <c r="T83" s="7">
        <f>0</f>
        <v>0</v>
      </c>
    </row>
    <row r="84" spans="1:20" ht="71.25" customHeight="1">
      <c r="A84" s="148" t="s">
        <v>310</v>
      </c>
      <c r="B84" s="149" t="s">
        <v>181</v>
      </c>
      <c r="C84" s="83">
        <f>0</f>
        <v>0</v>
      </c>
      <c r="D84" s="4">
        <f>0</f>
        <v>0</v>
      </c>
      <c r="E84" s="4">
        <f>0</f>
        <v>0</v>
      </c>
      <c r="F84" s="5">
        <f>0</f>
        <v>0</v>
      </c>
      <c r="G84" s="6">
        <f>0</f>
        <v>0</v>
      </c>
      <c r="H84" s="7">
        <f>0</f>
        <v>0</v>
      </c>
      <c r="I84" s="7">
        <f>0</f>
        <v>0</v>
      </c>
      <c r="J84" s="7">
        <f>0</f>
        <v>0</v>
      </c>
      <c r="K84" s="7">
        <f>0</f>
        <v>0</v>
      </c>
      <c r="L84" s="7">
        <f>0</f>
        <v>0</v>
      </c>
      <c r="M84" s="7">
        <f>0</f>
        <v>0</v>
      </c>
      <c r="N84" s="7">
        <f>0</f>
        <v>0</v>
      </c>
      <c r="O84" s="7">
        <f>0</f>
        <v>0</v>
      </c>
      <c r="P84" s="7">
        <f>0</f>
        <v>0</v>
      </c>
      <c r="Q84" s="7">
        <f>0</f>
        <v>0</v>
      </c>
      <c r="R84" s="7">
        <f>0</f>
        <v>0</v>
      </c>
      <c r="S84" s="7">
        <f>0</f>
        <v>0</v>
      </c>
      <c r="T84" s="7">
        <f>0</f>
        <v>0</v>
      </c>
    </row>
    <row r="85" spans="1:20" ht="69" customHeight="1">
      <c r="A85" s="148" t="s">
        <v>311</v>
      </c>
      <c r="B85" s="149" t="s">
        <v>312</v>
      </c>
      <c r="C85" s="83">
        <f>2619047.69</f>
        <v>2619047.69</v>
      </c>
      <c r="D85" s="4">
        <f>1964285.81</f>
        <v>1964285.81</v>
      </c>
      <c r="E85" s="4">
        <f>1309524</f>
        <v>1309524</v>
      </c>
      <c r="F85" s="5">
        <f>1309524</f>
        <v>1309524</v>
      </c>
      <c r="G85" s="6">
        <f>654762</f>
        <v>654762</v>
      </c>
      <c r="H85" s="7">
        <f>0</f>
        <v>0</v>
      </c>
      <c r="I85" s="7">
        <f>0</f>
        <v>0</v>
      </c>
      <c r="J85" s="7">
        <f>0</f>
        <v>0</v>
      </c>
      <c r="K85" s="7">
        <f>0</f>
        <v>0</v>
      </c>
      <c r="L85" s="7">
        <f>0</f>
        <v>0</v>
      </c>
      <c r="M85" s="7">
        <f>0</f>
        <v>0</v>
      </c>
      <c r="N85" s="7">
        <f>0</f>
        <v>0</v>
      </c>
      <c r="O85" s="7">
        <f>0</f>
        <v>0</v>
      </c>
      <c r="P85" s="7">
        <f>0</f>
        <v>0</v>
      </c>
      <c r="Q85" s="7">
        <f>0</f>
        <v>0</v>
      </c>
      <c r="R85" s="7">
        <f>0</f>
        <v>0</v>
      </c>
      <c r="S85" s="7">
        <f>0</f>
        <v>0</v>
      </c>
      <c r="T85" s="7">
        <f>0</f>
        <v>0</v>
      </c>
    </row>
    <row r="86" spans="1:20" ht="42" customHeight="1">
      <c r="A86" s="148" t="s">
        <v>313</v>
      </c>
      <c r="B86" s="149" t="s">
        <v>314</v>
      </c>
      <c r="C86" s="83">
        <f>6677276</f>
        <v>6677276</v>
      </c>
      <c r="D86" s="4">
        <f>6560935</f>
        <v>6560935</v>
      </c>
      <c r="E86" s="4">
        <f>5788270</f>
        <v>5788270</v>
      </c>
      <c r="F86" s="5">
        <f>5788270</f>
        <v>5788270</v>
      </c>
      <c r="G86" s="6">
        <f>5254612</f>
        <v>5254612</v>
      </c>
      <c r="H86" s="7">
        <f>4542000</f>
        <v>4542000</v>
      </c>
      <c r="I86" s="7">
        <f>4742000</f>
        <v>4742000</v>
      </c>
      <c r="J86" s="7">
        <f>4242000</f>
        <v>4242000</v>
      </c>
      <c r="K86" s="7">
        <f>4392000</f>
        <v>4392000</v>
      </c>
      <c r="L86" s="7">
        <f>4592000</f>
        <v>4592000</v>
      </c>
      <c r="M86" s="7">
        <f>4300000</f>
        <v>4300000</v>
      </c>
      <c r="N86" s="7">
        <f>4300000</f>
        <v>4300000</v>
      </c>
      <c r="O86" s="7">
        <f>4300000</f>
        <v>4300000</v>
      </c>
      <c r="P86" s="7">
        <f>3600000</f>
        <v>3600000</v>
      </c>
      <c r="Q86" s="7">
        <f>3000000</f>
        <v>3000000</v>
      </c>
      <c r="R86" s="7">
        <f>2900000</f>
        <v>2900000</v>
      </c>
      <c r="S86" s="7">
        <f>0</f>
        <v>0</v>
      </c>
      <c r="T86" s="7">
        <f>0</f>
        <v>0</v>
      </c>
    </row>
    <row r="87" spans="1:20" ht="20.25" customHeight="1">
      <c r="A87" s="148" t="s">
        <v>315</v>
      </c>
      <c r="B87" s="149" t="s">
        <v>316</v>
      </c>
      <c r="C87" s="83">
        <f>654761.88</f>
        <v>654761.88</v>
      </c>
      <c r="D87" s="4">
        <f>654761.88</f>
        <v>654761.88</v>
      </c>
      <c r="E87" s="4">
        <f>654762</f>
        <v>654762</v>
      </c>
      <c r="F87" s="5">
        <f>654762</f>
        <v>654762</v>
      </c>
      <c r="G87" s="6">
        <f>654762</f>
        <v>654762</v>
      </c>
      <c r="H87" s="7">
        <f>654762</f>
        <v>654762</v>
      </c>
      <c r="I87" s="7">
        <f>0</f>
        <v>0</v>
      </c>
      <c r="J87" s="7">
        <f>0</f>
        <v>0</v>
      </c>
      <c r="K87" s="7">
        <f>0</f>
        <v>0</v>
      </c>
      <c r="L87" s="7">
        <f>0</f>
        <v>0</v>
      </c>
      <c r="M87" s="7">
        <f>0</f>
        <v>0</v>
      </c>
      <c r="N87" s="7">
        <f>0</f>
        <v>0</v>
      </c>
      <c r="O87" s="7">
        <f>0</f>
        <v>0</v>
      </c>
      <c r="P87" s="7">
        <f>0</f>
        <v>0</v>
      </c>
      <c r="Q87" s="7">
        <f>0</f>
        <v>0</v>
      </c>
      <c r="R87" s="7">
        <f>0</f>
        <v>0</v>
      </c>
      <c r="S87" s="7">
        <f>0</f>
        <v>0</v>
      </c>
      <c r="T87" s="7">
        <f>0</f>
        <v>0</v>
      </c>
    </row>
    <row r="88" spans="1:20" ht="30.75" customHeight="1">
      <c r="A88" s="148" t="s">
        <v>317</v>
      </c>
      <c r="B88" s="150" t="s">
        <v>318</v>
      </c>
      <c r="C88" s="83">
        <f>0</f>
        <v>0</v>
      </c>
      <c r="D88" s="4">
        <f>0</f>
        <v>0</v>
      </c>
      <c r="E88" s="4">
        <f>0</f>
        <v>0</v>
      </c>
      <c r="F88" s="5">
        <f>0</f>
        <v>0</v>
      </c>
      <c r="G88" s="6">
        <f>0</f>
        <v>0</v>
      </c>
      <c r="H88" s="7">
        <f>0</f>
        <v>0</v>
      </c>
      <c r="I88" s="7">
        <f>0</f>
        <v>0</v>
      </c>
      <c r="J88" s="7">
        <f>0</f>
        <v>0</v>
      </c>
      <c r="K88" s="7">
        <f>0</f>
        <v>0</v>
      </c>
      <c r="L88" s="7">
        <f>0</f>
        <v>0</v>
      </c>
      <c r="M88" s="7">
        <f>0</f>
        <v>0</v>
      </c>
      <c r="N88" s="7">
        <f>0</f>
        <v>0</v>
      </c>
      <c r="O88" s="7">
        <f>0</f>
        <v>0</v>
      </c>
      <c r="P88" s="7">
        <f>0</f>
        <v>0</v>
      </c>
      <c r="Q88" s="7">
        <f>0</f>
        <v>0</v>
      </c>
      <c r="R88" s="7">
        <f>0</f>
        <v>0</v>
      </c>
      <c r="S88" s="7">
        <f>0</f>
        <v>0</v>
      </c>
      <c r="T88" s="7">
        <f>0</f>
        <v>0</v>
      </c>
    </row>
    <row r="89" spans="1:20" ht="30" customHeight="1">
      <c r="A89" s="148" t="s">
        <v>319</v>
      </c>
      <c r="B89" s="150" t="s">
        <v>320</v>
      </c>
      <c r="C89" s="83">
        <f>654761.88</f>
        <v>654761.88</v>
      </c>
      <c r="D89" s="4">
        <f>654761.88</f>
        <v>654761.88</v>
      </c>
      <c r="E89" s="4">
        <f>654762</f>
        <v>654762</v>
      </c>
      <c r="F89" s="5">
        <f>654762</f>
        <v>654762</v>
      </c>
      <c r="G89" s="6">
        <f>654762</f>
        <v>654762</v>
      </c>
      <c r="H89" s="7">
        <f>654762</f>
        <v>654762</v>
      </c>
      <c r="I89" s="7">
        <f>0</f>
        <v>0</v>
      </c>
      <c r="J89" s="7">
        <f>0</f>
        <v>0</v>
      </c>
      <c r="K89" s="7">
        <f>0</f>
        <v>0</v>
      </c>
      <c r="L89" s="7">
        <f>0</f>
        <v>0</v>
      </c>
      <c r="M89" s="7">
        <f>0</f>
        <v>0</v>
      </c>
      <c r="N89" s="7">
        <f>0</f>
        <v>0</v>
      </c>
      <c r="O89" s="7">
        <f>0</f>
        <v>0</v>
      </c>
      <c r="P89" s="7">
        <f>0</f>
        <v>0</v>
      </c>
      <c r="Q89" s="7">
        <f>0</f>
        <v>0</v>
      </c>
      <c r="R89" s="7">
        <f>0</f>
        <v>0</v>
      </c>
      <c r="S89" s="7">
        <f>0</f>
        <v>0</v>
      </c>
      <c r="T89" s="7">
        <f>0</f>
        <v>0</v>
      </c>
    </row>
    <row r="90" spans="1:20" ht="34.5" customHeight="1">
      <c r="A90" s="148" t="s">
        <v>321</v>
      </c>
      <c r="B90" s="151" t="s">
        <v>322</v>
      </c>
      <c r="C90" s="83">
        <f>0</f>
        <v>0</v>
      </c>
      <c r="D90" s="4">
        <f>0</f>
        <v>0</v>
      </c>
      <c r="E90" s="4">
        <f>0</f>
        <v>0</v>
      </c>
      <c r="F90" s="5">
        <f>0</f>
        <v>0</v>
      </c>
      <c r="G90" s="6">
        <f>0</f>
        <v>0</v>
      </c>
      <c r="H90" s="7">
        <f>0</f>
        <v>0</v>
      </c>
      <c r="I90" s="7">
        <f>0</f>
        <v>0</v>
      </c>
      <c r="J90" s="7">
        <f>0</f>
        <v>0</v>
      </c>
      <c r="K90" s="7">
        <f>0</f>
        <v>0</v>
      </c>
      <c r="L90" s="7">
        <f>0</f>
        <v>0</v>
      </c>
      <c r="M90" s="7">
        <f>0</f>
        <v>0</v>
      </c>
      <c r="N90" s="7">
        <f>0</f>
        <v>0</v>
      </c>
      <c r="O90" s="7">
        <f>0</f>
        <v>0</v>
      </c>
      <c r="P90" s="7">
        <f>0</f>
        <v>0</v>
      </c>
      <c r="Q90" s="7">
        <f>0</f>
        <v>0</v>
      </c>
      <c r="R90" s="7">
        <f>0</f>
        <v>0</v>
      </c>
      <c r="S90" s="7">
        <f>0</f>
        <v>0</v>
      </c>
      <c r="T90" s="7">
        <f>0</f>
        <v>0</v>
      </c>
    </row>
    <row r="91" spans="1:20" ht="29.25" customHeight="1">
      <c r="A91" s="148" t="s">
        <v>323</v>
      </c>
      <c r="B91" s="154" t="s">
        <v>324</v>
      </c>
      <c r="C91" s="83">
        <f>0</f>
        <v>0</v>
      </c>
      <c r="D91" s="4">
        <f>0</f>
        <v>0</v>
      </c>
      <c r="E91" s="4">
        <f>0</f>
        <v>0</v>
      </c>
      <c r="F91" s="5">
        <f>0</f>
        <v>0</v>
      </c>
      <c r="G91" s="6">
        <f>0</f>
        <v>0</v>
      </c>
      <c r="H91" s="7">
        <f>0</f>
        <v>0</v>
      </c>
      <c r="I91" s="7">
        <f>0</f>
        <v>0</v>
      </c>
      <c r="J91" s="7">
        <f>0</f>
        <v>0</v>
      </c>
      <c r="K91" s="7">
        <f>0</f>
        <v>0</v>
      </c>
      <c r="L91" s="7">
        <f>0</f>
        <v>0</v>
      </c>
      <c r="M91" s="7">
        <f>0</f>
        <v>0</v>
      </c>
      <c r="N91" s="7">
        <f>0</f>
        <v>0</v>
      </c>
      <c r="O91" s="7">
        <f>0</f>
        <v>0</v>
      </c>
      <c r="P91" s="7">
        <f>0</f>
        <v>0</v>
      </c>
      <c r="Q91" s="7">
        <f>0</f>
        <v>0</v>
      </c>
      <c r="R91" s="7">
        <f>0</f>
        <v>0</v>
      </c>
      <c r="S91" s="7">
        <f>0</f>
        <v>0</v>
      </c>
      <c r="T91" s="7">
        <f>0</f>
        <v>0</v>
      </c>
    </row>
    <row r="92" spans="1:20" ht="30.75" customHeight="1">
      <c r="A92" s="148" t="s">
        <v>325</v>
      </c>
      <c r="B92" s="150" t="s">
        <v>197</v>
      </c>
      <c r="C92" s="83">
        <f>0</f>
        <v>0</v>
      </c>
      <c r="D92" s="4">
        <f>0</f>
        <v>0</v>
      </c>
      <c r="E92" s="4">
        <f>0</f>
        <v>0</v>
      </c>
      <c r="F92" s="5">
        <f>0</f>
        <v>0</v>
      </c>
      <c r="G92" s="6">
        <f>0</f>
        <v>0</v>
      </c>
      <c r="H92" s="7">
        <f>0</f>
        <v>0</v>
      </c>
      <c r="I92" s="7">
        <f>0</f>
        <v>0</v>
      </c>
      <c r="J92" s="7">
        <f>0</f>
        <v>0</v>
      </c>
      <c r="K92" s="7">
        <f>0</f>
        <v>0</v>
      </c>
      <c r="L92" s="7">
        <f>0</f>
        <v>0</v>
      </c>
      <c r="M92" s="7">
        <f>0</f>
        <v>0</v>
      </c>
      <c r="N92" s="7">
        <f>0</f>
        <v>0</v>
      </c>
      <c r="O92" s="7">
        <f>0</f>
        <v>0</v>
      </c>
      <c r="P92" s="7">
        <f>0</f>
        <v>0</v>
      </c>
      <c r="Q92" s="7">
        <f>0</f>
        <v>0</v>
      </c>
      <c r="R92" s="7">
        <f>0</f>
        <v>0</v>
      </c>
      <c r="S92" s="7">
        <f>0</f>
        <v>0</v>
      </c>
      <c r="T92" s="7">
        <f>0</f>
        <v>0</v>
      </c>
    </row>
    <row r="93" spans="1:20" ht="45" customHeight="1">
      <c r="A93" s="148" t="s">
        <v>326</v>
      </c>
      <c r="B93" s="149" t="s">
        <v>327</v>
      </c>
      <c r="C93" s="83">
        <f>0</f>
        <v>0</v>
      </c>
      <c r="D93" s="4">
        <f>0</f>
        <v>0</v>
      </c>
      <c r="E93" s="4">
        <f>0</f>
        <v>0</v>
      </c>
      <c r="F93" s="5">
        <f>-0.07</f>
        <v>-7.0000000000000007E-2</v>
      </c>
      <c r="G93" s="6">
        <f>0.07</f>
        <v>7.0000000000000007E-2</v>
      </c>
      <c r="H93" s="7">
        <f>0</f>
        <v>0</v>
      </c>
      <c r="I93" s="7">
        <f>0</f>
        <v>0</v>
      </c>
      <c r="J93" s="7">
        <f>0</f>
        <v>0</v>
      </c>
      <c r="K93" s="7">
        <f>0</f>
        <v>0</v>
      </c>
      <c r="L93" s="7">
        <f>0</f>
        <v>0</v>
      </c>
      <c r="M93" s="7">
        <f>0</f>
        <v>0</v>
      </c>
      <c r="N93" s="7">
        <f>0</f>
        <v>0</v>
      </c>
      <c r="O93" s="7">
        <f>0</f>
        <v>0</v>
      </c>
      <c r="P93" s="7">
        <f>0</f>
        <v>0</v>
      </c>
      <c r="Q93" s="7">
        <f>0</f>
        <v>0</v>
      </c>
      <c r="R93" s="7">
        <f>0</f>
        <v>0</v>
      </c>
      <c r="S93" s="7">
        <f>0</f>
        <v>0</v>
      </c>
      <c r="T93" s="7">
        <f>0</f>
        <v>0</v>
      </c>
    </row>
    <row r="94" spans="1:20" ht="43.5" customHeight="1">
      <c r="A94" s="148" t="s">
        <v>328</v>
      </c>
      <c r="B94" s="149" t="s">
        <v>329</v>
      </c>
      <c r="C94" s="83">
        <f>0</f>
        <v>0</v>
      </c>
      <c r="D94" s="4">
        <f>0</f>
        <v>0</v>
      </c>
      <c r="E94" s="4">
        <f>0</f>
        <v>0</v>
      </c>
      <c r="F94" s="5">
        <f>0</f>
        <v>0</v>
      </c>
      <c r="G94" s="6">
        <f>0</f>
        <v>0</v>
      </c>
      <c r="H94" s="7">
        <f>0</f>
        <v>0</v>
      </c>
      <c r="I94" s="7">
        <f>0</f>
        <v>0</v>
      </c>
      <c r="J94" s="7">
        <f>0</f>
        <v>0</v>
      </c>
      <c r="K94" s="7">
        <f>0</f>
        <v>0</v>
      </c>
      <c r="L94" s="7">
        <f>0</f>
        <v>0</v>
      </c>
      <c r="M94" s="7">
        <f>0</f>
        <v>0</v>
      </c>
      <c r="N94" s="7">
        <f>0</f>
        <v>0</v>
      </c>
      <c r="O94" s="7">
        <f>0</f>
        <v>0</v>
      </c>
      <c r="P94" s="7">
        <f>0</f>
        <v>0</v>
      </c>
      <c r="Q94" s="7">
        <f>0</f>
        <v>0</v>
      </c>
      <c r="R94" s="7">
        <f>0</f>
        <v>0</v>
      </c>
      <c r="S94" s="7">
        <f>0</f>
        <v>0</v>
      </c>
      <c r="T94" s="7">
        <f>0</f>
        <v>0</v>
      </c>
    </row>
    <row r="95" spans="1:20" ht="29.25" customHeight="1">
      <c r="A95" s="152">
        <v>11</v>
      </c>
      <c r="B95" s="153" t="s">
        <v>330</v>
      </c>
      <c r="C95" s="85" t="s">
        <v>174</v>
      </c>
      <c r="D95" s="8" t="s">
        <v>174</v>
      </c>
      <c r="E95" s="8" t="s">
        <v>174</v>
      </c>
      <c r="F95" s="9" t="s">
        <v>174</v>
      </c>
      <c r="G95" s="10" t="s">
        <v>174</v>
      </c>
      <c r="H95" s="11" t="s">
        <v>174</v>
      </c>
      <c r="I95" s="11" t="s">
        <v>174</v>
      </c>
      <c r="J95" s="11" t="s">
        <v>174</v>
      </c>
      <c r="K95" s="11" t="s">
        <v>174</v>
      </c>
      <c r="L95" s="11" t="s">
        <v>174</v>
      </c>
      <c r="M95" s="11" t="s">
        <v>174</v>
      </c>
      <c r="N95" s="11" t="s">
        <v>174</v>
      </c>
      <c r="O95" s="11" t="s">
        <v>174</v>
      </c>
      <c r="P95" s="11" t="s">
        <v>174</v>
      </c>
      <c r="Q95" s="11" t="s">
        <v>174</v>
      </c>
      <c r="R95" s="11" t="s">
        <v>174</v>
      </c>
      <c r="S95" s="11" t="s">
        <v>174</v>
      </c>
      <c r="T95" s="11" t="s">
        <v>174</v>
      </c>
    </row>
    <row r="96" spans="1:20" ht="31.5" customHeight="1">
      <c r="A96" s="148" t="s">
        <v>186</v>
      </c>
      <c r="B96" s="149" t="s">
        <v>331</v>
      </c>
      <c r="C96" s="83">
        <f>0</f>
        <v>0</v>
      </c>
      <c r="D96" s="4">
        <f>0</f>
        <v>0</v>
      </c>
      <c r="E96" s="4">
        <f>0</f>
        <v>0</v>
      </c>
      <c r="F96" s="5">
        <f>0</f>
        <v>0</v>
      </c>
      <c r="G96" s="6">
        <f>0</f>
        <v>0</v>
      </c>
      <c r="H96" s="7">
        <f>0</f>
        <v>0</v>
      </c>
      <c r="I96" s="7">
        <f>0</f>
        <v>0</v>
      </c>
      <c r="J96" s="7">
        <f>0</f>
        <v>0</v>
      </c>
      <c r="K96" s="7">
        <f>0</f>
        <v>0</v>
      </c>
      <c r="L96" s="7">
        <f>0</f>
        <v>0</v>
      </c>
      <c r="M96" s="7">
        <f>0</f>
        <v>0</v>
      </c>
      <c r="N96" s="7">
        <f>0</f>
        <v>0</v>
      </c>
      <c r="O96" s="7">
        <f>0</f>
        <v>0</v>
      </c>
      <c r="P96" s="7">
        <f>0</f>
        <v>0</v>
      </c>
      <c r="Q96" s="7">
        <f>0</f>
        <v>0</v>
      </c>
      <c r="R96" s="7">
        <f>0</f>
        <v>0</v>
      </c>
      <c r="S96" s="7">
        <f>0</f>
        <v>0</v>
      </c>
      <c r="T96" s="7">
        <f>0</f>
        <v>0</v>
      </c>
    </row>
    <row r="97" spans="1:20" ht="31.5" customHeight="1">
      <c r="A97" s="148" t="s">
        <v>332</v>
      </c>
      <c r="B97" s="150" t="s">
        <v>333</v>
      </c>
      <c r="C97" s="83">
        <f>0</f>
        <v>0</v>
      </c>
      <c r="D97" s="4">
        <f>0</f>
        <v>0</v>
      </c>
      <c r="E97" s="4">
        <f>0</f>
        <v>0</v>
      </c>
      <c r="F97" s="5">
        <f>0</f>
        <v>0</v>
      </c>
      <c r="G97" s="6">
        <f>0</f>
        <v>0</v>
      </c>
      <c r="H97" s="7">
        <f>0</f>
        <v>0</v>
      </c>
      <c r="I97" s="7">
        <f>0</f>
        <v>0</v>
      </c>
      <c r="J97" s="7">
        <f>0</f>
        <v>0</v>
      </c>
      <c r="K97" s="7">
        <f>0</f>
        <v>0</v>
      </c>
      <c r="L97" s="7">
        <f>0</f>
        <v>0</v>
      </c>
      <c r="M97" s="7">
        <f>0</f>
        <v>0</v>
      </c>
      <c r="N97" s="7">
        <f>0</f>
        <v>0</v>
      </c>
      <c r="O97" s="7">
        <f>0</f>
        <v>0</v>
      </c>
      <c r="P97" s="7">
        <f>0</f>
        <v>0</v>
      </c>
      <c r="Q97" s="7">
        <f>0</f>
        <v>0</v>
      </c>
      <c r="R97" s="7">
        <f>0</f>
        <v>0</v>
      </c>
      <c r="S97" s="7">
        <f>0</f>
        <v>0</v>
      </c>
      <c r="T97" s="7">
        <f>0</f>
        <v>0</v>
      </c>
    </row>
    <row r="98" spans="1:20" ht="44.25" customHeight="1">
      <c r="A98" s="148" t="s">
        <v>187</v>
      </c>
      <c r="B98" s="149" t="s">
        <v>334</v>
      </c>
      <c r="C98" s="83">
        <f>0</f>
        <v>0</v>
      </c>
      <c r="D98" s="4">
        <f>0</f>
        <v>0</v>
      </c>
      <c r="E98" s="4">
        <f>0</f>
        <v>0</v>
      </c>
      <c r="F98" s="5">
        <f>0</f>
        <v>0</v>
      </c>
      <c r="G98" s="6">
        <f>0</f>
        <v>0</v>
      </c>
      <c r="H98" s="7">
        <f>0</f>
        <v>0</v>
      </c>
      <c r="I98" s="7">
        <f>0</f>
        <v>0</v>
      </c>
      <c r="J98" s="7">
        <f>0</f>
        <v>0</v>
      </c>
      <c r="K98" s="7">
        <f>0</f>
        <v>0</v>
      </c>
      <c r="L98" s="7">
        <f>0</f>
        <v>0</v>
      </c>
      <c r="M98" s="7">
        <f>0</f>
        <v>0</v>
      </c>
      <c r="N98" s="7">
        <f>0</f>
        <v>0</v>
      </c>
      <c r="O98" s="7">
        <f>0</f>
        <v>0</v>
      </c>
      <c r="P98" s="7">
        <f>0</f>
        <v>0</v>
      </c>
      <c r="Q98" s="7">
        <f>0</f>
        <v>0</v>
      </c>
      <c r="R98" s="7">
        <f>0</f>
        <v>0</v>
      </c>
      <c r="S98" s="7">
        <f>0</f>
        <v>0</v>
      </c>
      <c r="T98" s="7">
        <f>0</f>
        <v>0</v>
      </c>
    </row>
    <row r="99" spans="1:20" ht="40.5" customHeight="1">
      <c r="A99" s="152">
        <v>12</v>
      </c>
      <c r="B99" s="153" t="s">
        <v>335</v>
      </c>
      <c r="C99" s="85" t="s">
        <v>174</v>
      </c>
      <c r="D99" s="8" t="s">
        <v>174</v>
      </c>
      <c r="E99" s="8" t="s">
        <v>174</v>
      </c>
      <c r="F99" s="9" t="s">
        <v>174</v>
      </c>
      <c r="G99" s="10" t="s">
        <v>174</v>
      </c>
      <c r="H99" s="11" t="s">
        <v>174</v>
      </c>
      <c r="I99" s="11" t="s">
        <v>174</v>
      </c>
      <c r="J99" s="11" t="s">
        <v>174</v>
      </c>
      <c r="K99" s="11" t="s">
        <v>174</v>
      </c>
      <c r="L99" s="11" t="s">
        <v>174</v>
      </c>
      <c r="M99" s="11" t="s">
        <v>174</v>
      </c>
      <c r="N99" s="11" t="s">
        <v>174</v>
      </c>
      <c r="O99" s="11" t="s">
        <v>174</v>
      </c>
      <c r="P99" s="11" t="s">
        <v>174</v>
      </c>
      <c r="Q99" s="11" t="s">
        <v>174</v>
      </c>
      <c r="R99" s="11" t="s">
        <v>174</v>
      </c>
      <c r="S99" s="11" t="s">
        <v>174</v>
      </c>
      <c r="T99" s="11" t="s">
        <v>174</v>
      </c>
    </row>
    <row r="100" spans="1:20" ht="36">
      <c r="A100" s="148" t="s">
        <v>191</v>
      </c>
      <c r="B100" s="149" t="s">
        <v>336</v>
      </c>
      <c r="C100" s="83">
        <f>0</f>
        <v>0</v>
      </c>
      <c r="D100" s="4">
        <f>0</f>
        <v>0</v>
      </c>
      <c r="E100" s="4">
        <f>0</f>
        <v>0</v>
      </c>
      <c r="F100" s="5">
        <f>0</f>
        <v>0</v>
      </c>
      <c r="G100" s="6">
        <f>0</f>
        <v>0</v>
      </c>
      <c r="H100" s="7">
        <f>0</f>
        <v>0</v>
      </c>
      <c r="I100" s="7">
        <f>0</f>
        <v>0</v>
      </c>
      <c r="J100" s="7">
        <f>0</f>
        <v>0</v>
      </c>
      <c r="K100" s="7">
        <f>0</f>
        <v>0</v>
      </c>
      <c r="L100" s="7">
        <f>0</f>
        <v>0</v>
      </c>
      <c r="M100" s="7">
        <f>0</f>
        <v>0</v>
      </c>
      <c r="N100" s="7">
        <f>0</f>
        <v>0</v>
      </c>
      <c r="O100" s="7">
        <f>0</f>
        <v>0</v>
      </c>
      <c r="P100" s="7">
        <f>0</f>
        <v>0</v>
      </c>
      <c r="Q100" s="7">
        <f>0</f>
        <v>0</v>
      </c>
      <c r="R100" s="7">
        <f>0</f>
        <v>0</v>
      </c>
      <c r="S100" s="7">
        <f>0</f>
        <v>0</v>
      </c>
      <c r="T100" s="7">
        <f>0</f>
        <v>0</v>
      </c>
    </row>
    <row r="101" spans="1:20" ht="33" customHeight="1">
      <c r="A101" s="148" t="s">
        <v>192</v>
      </c>
      <c r="B101" s="149" t="s">
        <v>337</v>
      </c>
      <c r="C101" s="85" t="s">
        <v>174</v>
      </c>
      <c r="D101" s="8" t="s">
        <v>174</v>
      </c>
      <c r="E101" s="8" t="s">
        <v>174</v>
      </c>
      <c r="F101" s="9" t="s">
        <v>174</v>
      </c>
      <c r="G101" s="195">
        <f>0</f>
        <v>0</v>
      </c>
      <c r="H101" s="159">
        <f>0</f>
        <v>0</v>
      </c>
      <c r="I101" s="159">
        <f>0</f>
        <v>0</v>
      </c>
      <c r="J101" s="159">
        <f>0</f>
        <v>0</v>
      </c>
      <c r="K101" s="159">
        <f>0</f>
        <v>0</v>
      </c>
      <c r="L101" s="159">
        <f>0</f>
        <v>0</v>
      </c>
      <c r="M101" s="159">
        <f>0</f>
        <v>0</v>
      </c>
      <c r="N101" s="159">
        <f>0</f>
        <v>0</v>
      </c>
      <c r="O101" s="159">
        <f>0</f>
        <v>0</v>
      </c>
      <c r="P101" s="159">
        <f>0</f>
        <v>0</v>
      </c>
      <c r="Q101" s="159">
        <f>0</f>
        <v>0</v>
      </c>
      <c r="R101" s="159">
        <f>0</f>
        <v>0</v>
      </c>
      <c r="S101" s="159">
        <f>0</f>
        <v>0</v>
      </c>
      <c r="T101" s="159">
        <f>0</f>
        <v>0</v>
      </c>
    </row>
    <row r="102" spans="1:20" ht="33.75" customHeight="1">
      <c r="A102" s="160" t="s">
        <v>193</v>
      </c>
      <c r="B102" s="161" t="s">
        <v>338</v>
      </c>
      <c r="C102" s="91" t="s">
        <v>174</v>
      </c>
      <c r="D102" s="92" t="s">
        <v>174</v>
      </c>
      <c r="E102" s="92" t="s">
        <v>174</v>
      </c>
      <c r="F102" s="93" t="s">
        <v>174</v>
      </c>
      <c r="G102" s="196">
        <f>0</f>
        <v>0</v>
      </c>
      <c r="H102" s="162">
        <f>0</f>
        <v>0</v>
      </c>
      <c r="I102" s="162">
        <f>0</f>
        <v>0</v>
      </c>
      <c r="J102" s="162">
        <f>0</f>
        <v>0</v>
      </c>
      <c r="K102" s="162">
        <f>0</f>
        <v>0</v>
      </c>
      <c r="L102" s="162">
        <f>0</f>
        <v>0</v>
      </c>
      <c r="M102" s="162">
        <f>0</f>
        <v>0</v>
      </c>
      <c r="N102" s="162">
        <f>0</f>
        <v>0</v>
      </c>
      <c r="O102" s="162">
        <f>0</f>
        <v>0</v>
      </c>
      <c r="P102" s="162">
        <f>0</f>
        <v>0</v>
      </c>
      <c r="Q102" s="162">
        <f>0</f>
        <v>0</v>
      </c>
      <c r="R102" s="162">
        <f>0</f>
        <v>0</v>
      </c>
      <c r="S102" s="162">
        <f>0</f>
        <v>0</v>
      </c>
      <c r="T102" s="162">
        <f>0</f>
        <v>0</v>
      </c>
    </row>
    <row r="103" spans="1:20">
      <c r="A103" s="163"/>
      <c r="B103" s="163"/>
      <c r="C103" s="163"/>
      <c r="D103" s="163"/>
      <c r="E103" s="163"/>
      <c r="F103" s="163"/>
      <c r="G103" s="163"/>
      <c r="H103" s="163"/>
      <c r="I103" s="163"/>
      <c r="J103" s="163"/>
      <c r="K103" s="163"/>
      <c r="L103" s="163"/>
      <c r="M103" s="163"/>
      <c r="N103" s="163"/>
      <c r="O103" s="163"/>
      <c r="P103" s="163"/>
      <c r="Q103" s="163"/>
      <c r="R103" s="163"/>
      <c r="S103" s="163"/>
      <c r="T103" s="163"/>
    </row>
  </sheetData>
  <sheetProtection algorithmName="SHA-512" hashValue="Utfw9/+VLr9VAdY4jOqG3YGc+rPJ16zz9TjIc9/7M6bGXfz440M35ilHwmC4pelulyoECPNT3sFydLY/4jKAog==" saltValue="3GrzRgP3PTEUpbYE9rilKg==" spinCount="100000" sheet="1" objects="1" scenarios="1" formatCells="0" formatColumns="0" formatRows="0" insertColumns="0" deleteColumns="0"/>
  <mergeCells count="2">
    <mergeCell ref="C2:D2"/>
    <mergeCell ref="A1:T1"/>
  </mergeCells>
  <conditionalFormatting sqref="G55:T56">
    <cfRule type="expression" dxfId="1" priority="37" stopIfTrue="1">
      <formula>LEFT(G55,3)="Nie"</formula>
    </cfRule>
  </conditionalFormatting>
  <conditionalFormatting sqref="G63:T64">
    <cfRule type="cellIs" dxfId="0" priority="35" stopIfTrue="1" operator="equal">
      <formula>"Nie spełniona"</formula>
    </cfRule>
  </conditionalFormatting>
  <pageMargins left="0.11811023622047245" right="0.11811023622047245" top="1.2598425196850394" bottom="1.2598425196850394" header="0.51181102362204722" footer="0.51181102362204722"/>
  <pageSetup paperSize="9" scale="58" orientation="landscape" blackAndWhite="1" horizontalDpi="4294967293" verticalDpi="4294967293" r:id="rId1"/>
  <headerFooter differentOddEven="1" differentFirst="1" alignWithMargins="0">
    <oddFooter>&amp;C&amp;P</oddFooter>
    <evenFooter>&amp;C&amp;P</evenFooter>
    <firstHeader>&amp;RZałącznik Nr 1
do uchwały Nr ............
Rady  Powiatu  Otwockiego
z dnia ........................</firstHeader>
    <firstFooter>&amp;C&amp;P</firstFooter>
  </headerFooter>
  <rowBreaks count="3" manualBreakCount="3">
    <brk id="48" max="19" man="1"/>
    <brk id="74" max="19" man="1"/>
    <brk id="92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F86"/>
  <sheetViews>
    <sheetView zoomScaleNormal="100" workbookViewId="0">
      <pane ySplit="5" topLeftCell="A21" activePane="bottomLeft" state="frozen"/>
      <selection pane="bottomLeft" activeCell="B31" sqref="B31"/>
    </sheetView>
  </sheetViews>
  <sheetFormatPr defaultRowHeight="12.75"/>
  <cols>
    <col min="1" max="1" width="7.85546875" style="75" customWidth="1"/>
    <col min="2" max="2" width="53" style="12" customWidth="1"/>
    <col min="3" max="3" width="19.42578125" style="14" customWidth="1"/>
    <col min="4" max="5" width="7.42578125" style="75" customWidth="1"/>
    <col min="6" max="6" width="14.7109375" style="12" customWidth="1"/>
    <col min="7" max="7" width="15.28515625" style="12" customWidth="1"/>
    <col min="8" max="8" width="13.7109375" style="12" customWidth="1"/>
    <col min="9" max="9" width="14.5703125" style="12" customWidth="1"/>
    <col min="10" max="10" width="13.7109375" style="12" customWidth="1"/>
    <col min="11" max="11" width="13.5703125" style="12" customWidth="1"/>
    <col min="12" max="12" width="14.28515625" style="12" customWidth="1"/>
    <col min="13" max="13" width="13.42578125" style="12" customWidth="1"/>
    <col min="14" max="14" width="13.5703125" style="12" customWidth="1"/>
    <col min="15" max="15" width="14.7109375" style="12" customWidth="1"/>
    <col min="16" max="16" width="14.42578125" style="15" customWidth="1"/>
    <col min="17" max="17" width="23.5703125" style="54" customWidth="1"/>
    <col min="18" max="214" width="9.140625" style="54"/>
    <col min="215" max="244" width="9.140625" style="12"/>
    <col min="245" max="245" width="1" style="12" customWidth="1"/>
    <col min="246" max="246" width="39.140625" style="12" customWidth="1"/>
    <col min="247" max="247" width="21.42578125" style="12" customWidth="1"/>
    <col min="248" max="248" width="11.28515625" style="12" customWidth="1"/>
    <col min="249" max="249" width="9.5703125" style="12" customWidth="1"/>
    <col min="250" max="250" width="13.5703125" style="12" customWidth="1"/>
    <col min="251" max="260" width="12.140625" style="12" customWidth="1"/>
    <col min="261" max="270" width="0" style="12" hidden="1" customWidth="1"/>
    <col min="271" max="271" width="14.140625" style="12" customWidth="1"/>
    <col min="272" max="500" width="9.140625" style="12"/>
    <col min="501" max="501" width="1" style="12" customWidth="1"/>
    <col min="502" max="502" width="39.140625" style="12" customWidth="1"/>
    <col min="503" max="503" width="21.42578125" style="12" customWidth="1"/>
    <col min="504" max="504" width="11.28515625" style="12" customWidth="1"/>
    <col min="505" max="505" width="9.5703125" style="12" customWidth="1"/>
    <col min="506" max="506" width="13.5703125" style="12" customWidth="1"/>
    <col min="507" max="516" width="12.140625" style="12" customWidth="1"/>
    <col min="517" max="526" width="0" style="12" hidden="1" customWidth="1"/>
    <col min="527" max="527" width="14.140625" style="12" customWidth="1"/>
    <col min="528" max="756" width="9.140625" style="12"/>
    <col min="757" max="757" width="1" style="12" customWidth="1"/>
    <col min="758" max="758" width="39.140625" style="12" customWidth="1"/>
    <col min="759" max="759" width="21.42578125" style="12" customWidth="1"/>
    <col min="760" max="760" width="11.28515625" style="12" customWidth="1"/>
    <col min="761" max="761" width="9.5703125" style="12" customWidth="1"/>
    <col min="762" max="762" width="13.5703125" style="12" customWidth="1"/>
    <col min="763" max="772" width="12.140625" style="12" customWidth="1"/>
    <col min="773" max="782" width="0" style="12" hidden="1" customWidth="1"/>
    <col min="783" max="783" width="14.140625" style="12" customWidth="1"/>
    <col min="784" max="1012" width="9.140625" style="12"/>
    <col min="1013" max="1013" width="1" style="12" customWidth="1"/>
    <col min="1014" max="1014" width="39.140625" style="12" customWidth="1"/>
    <col min="1015" max="1015" width="21.42578125" style="12" customWidth="1"/>
    <col min="1016" max="1016" width="11.28515625" style="12" customWidth="1"/>
    <col min="1017" max="1017" width="9.5703125" style="12" customWidth="1"/>
    <col min="1018" max="1018" width="13.5703125" style="12" customWidth="1"/>
    <col min="1019" max="1028" width="12.140625" style="12" customWidth="1"/>
    <col min="1029" max="1038" width="0" style="12" hidden="1" customWidth="1"/>
    <col min="1039" max="1039" width="14.140625" style="12" customWidth="1"/>
    <col min="1040" max="1268" width="9.140625" style="12"/>
    <col min="1269" max="1269" width="1" style="12" customWidth="1"/>
    <col min="1270" max="1270" width="39.140625" style="12" customWidth="1"/>
    <col min="1271" max="1271" width="21.42578125" style="12" customWidth="1"/>
    <col min="1272" max="1272" width="11.28515625" style="12" customWidth="1"/>
    <col min="1273" max="1273" width="9.5703125" style="12" customWidth="1"/>
    <col min="1274" max="1274" width="13.5703125" style="12" customWidth="1"/>
    <col min="1275" max="1284" width="12.140625" style="12" customWidth="1"/>
    <col min="1285" max="1294" width="0" style="12" hidden="1" customWidth="1"/>
    <col min="1295" max="1295" width="14.140625" style="12" customWidth="1"/>
    <col min="1296" max="1524" width="9.140625" style="12"/>
    <col min="1525" max="1525" width="1" style="12" customWidth="1"/>
    <col min="1526" max="1526" width="39.140625" style="12" customWidth="1"/>
    <col min="1527" max="1527" width="21.42578125" style="12" customWidth="1"/>
    <col min="1528" max="1528" width="11.28515625" style="12" customWidth="1"/>
    <col min="1529" max="1529" width="9.5703125" style="12" customWidth="1"/>
    <col min="1530" max="1530" width="13.5703125" style="12" customWidth="1"/>
    <col min="1531" max="1540" width="12.140625" style="12" customWidth="1"/>
    <col min="1541" max="1550" width="0" style="12" hidden="1" customWidth="1"/>
    <col min="1551" max="1551" width="14.140625" style="12" customWidth="1"/>
    <col min="1552" max="1780" width="9.140625" style="12"/>
    <col min="1781" max="1781" width="1" style="12" customWidth="1"/>
    <col min="1782" max="1782" width="39.140625" style="12" customWidth="1"/>
    <col min="1783" max="1783" width="21.42578125" style="12" customWidth="1"/>
    <col min="1784" max="1784" width="11.28515625" style="12" customWidth="1"/>
    <col min="1785" max="1785" width="9.5703125" style="12" customWidth="1"/>
    <col min="1786" max="1786" width="13.5703125" style="12" customWidth="1"/>
    <col min="1787" max="1796" width="12.140625" style="12" customWidth="1"/>
    <col min="1797" max="1806" width="0" style="12" hidden="1" customWidth="1"/>
    <col min="1807" max="1807" width="14.140625" style="12" customWidth="1"/>
    <col min="1808" max="2036" width="9.140625" style="12"/>
    <col min="2037" max="2037" width="1" style="12" customWidth="1"/>
    <col min="2038" max="2038" width="39.140625" style="12" customWidth="1"/>
    <col min="2039" max="2039" width="21.42578125" style="12" customWidth="1"/>
    <col min="2040" max="2040" width="11.28515625" style="12" customWidth="1"/>
    <col min="2041" max="2041" width="9.5703125" style="12" customWidth="1"/>
    <col min="2042" max="2042" width="13.5703125" style="12" customWidth="1"/>
    <col min="2043" max="2052" width="12.140625" style="12" customWidth="1"/>
    <col min="2053" max="2062" width="0" style="12" hidden="1" customWidth="1"/>
    <col min="2063" max="2063" width="14.140625" style="12" customWidth="1"/>
    <col min="2064" max="2292" width="9.140625" style="12"/>
    <col min="2293" max="2293" width="1" style="12" customWidth="1"/>
    <col min="2294" max="2294" width="39.140625" style="12" customWidth="1"/>
    <col min="2295" max="2295" width="21.42578125" style="12" customWidth="1"/>
    <col min="2296" max="2296" width="11.28515625" style="12" customWidth="1"/>
    <col min="2297" max="2297" width="9.5703125" style="12" customWidth="1"/>
    <col min="2298" max="2298" width="13.5703125" style="12" customWidth="1"/>
    <col min="2299" max="2308" width="12.140625" style="12" customWidth="1"/>
    <col min="2309" max="2318" width="0" style="12" hidden="1" customWidth="1"/>
    <col min="2319" max="2319" width="14.140625" style="12" customWidth="1"/>
    <col min="2320" max="2548" width="9.140625" style="12"/>
    <col min="2549" max="2549" width="1" style="12" customWidth="1"/>
    <col min="2550" max="2550" width="39.140625" style="12" customWidth="1"/>
    <col min="2551" max="2551" width="21.42578125" style="12" customWidth="1"/>
    <col min="2552" max="2552" width="11.28515625" style="12" customWidth="1"/>
    <col min="2553" max="2553" width="9.5703125" style="12" customWidth="1"/>
    <col min="2554" max="2554" width="13.5703125" style="12" customWidth="1"/>
    <col min="2555" max="2564" width="12.140625" style="12" customWidth="1"/>
    <col min="2565" max="2574" width="0" style="12" hidden="1" customWidth="1"/>
    <col min="2575" max="2575" width="14.140625" style="12" customWidth="1"/>
    <col min="2576" max="2804" width="9.140625" style="12"/>
    <col min="2805" max="2805" width="1" style="12" customWidth="1"/>
    <col min="2806" max="2806" width="39.140625" style="12" customWidth="1"/>
    <col min="2807" max="2807" width="21.42578125" style="12" customWidth="1"/>
    <col min="2808" max="2808" width="11.28515625" style="12" customWidth="1"/>
    <col min="2809" max="2809" width="9.5703125" style="12" customWidth="1"/>
    <col min="2810" max="2810" width="13.5703125" style="12" customWidth="1"/>
    <col min="2811" max="2820" width="12.140625" style="12" customWidth="1"/>
    <col min="2821" max="2830" width="0" style="12" hidden="1" customWidth="1"/>
    <col min="2831" max="2831" width="14.140625" style="12" customWidth="1"/>
    <col min="2832" max="3060" width="9.140625" style="12"/>
    <col min="3061" max="3061" width="1" style="12" customWidth="1"/>
    <col min="3062" max="3062" width="39.140625" style="12" customWidth="1"/>
    <col min="3063" max="3063" width="21.42578125" style="12" customWidth="1"/>
    <col min="3064" max="3064" width="11.28515625" style="12" customWidth="1"/>
    <col min="3065" max="3065" width="9.5703125" style="12" customWidth="1"/>
    <col min="3066" max="3066" width="13.5703125" style="12" customWidth="1"/>
    <col min="3067" max="3076" width="12.140625" style="12" customWidth="1"/>
    <col min="3077" max="3086" width="0" style="12" hidden="1" customWidth="1"/>
    <col min="3087" max="3087" width="14.140625" style="12" customWidth="1"/>
    <col min="3088" max="3316" width="9.140625" style="12"/>
    <col min="3317" max="3317" width="1" style="12" customWidth="1"/>
    <col min="3318" max="3318" width="39.140625" style="12" customWidth="1"/>
    <col min="3319" max="3319" width="21.42578125" style="12" customWidth="1"/>
    <col min="3320" max="3320" width="11.28515625" style="12" customWidth="1"/>
    <col min="3321" max="3321" width="9.5703125" style="12" customWidth="1"/>
    <col min="3322" max="3322" width="13.5703125" style="12" customWidth="1"/>
    <col min="3323" max="3332" width="12.140625" style="12" customWidth="1"/>
    <col min="3333" max="3342" width="0" style="12" hidden="1" customWidth="1"/>
    <col min="3343" max="3343" width="14.140625" style="12" customWidth="1"/>
    <col min="3344" max="3572" width="9.140625" style="12"/>
    <col min="3573" max="3573" width="1" style="12" customWidth="1"/>
    <col min="3574" max="3574" width="39.140625" style="12" customWidth="1"/>
    <col min="3575" max="3575" width="21.42578125" style="12" customWidth="1"/>
    <col min="3576" max="3576" width="11.28515625" style="12" customWidth="1"/>
    <col min="3577" max="3577" width="9.5703125" style="12" customWidth="1"/>
    <col min="3578" max="3578" width="13.5703125" style="12" customWidth="1"/>
    <col min="3579" max="3588" width="12.140625" style="12" customWidth="1"/>
    <col min="3589" max="3598" width="0" style="12" hidden="1" customWidth="1"/>
    <col min="3599" max="3599" width="14.140625" style="12" customWidth="1"/>
    <col min="3600" max="3828" width="9.140625" style="12"/>
    <col min="3829" max="3829" width="1" style="12" customWidth="1"/>
    <col min="3830" max="3830" width="39.140625" style="12" customWidth="1"/>
    <col min="3831" max="3831" width="21.42578125" style="12" customWidth="1"/>
    <col min="3832" max="3832" width="11.28515625" style="12" customWidth="1"/>
    <col min="3833" max="3833" width="9.5703125" style="12" customWidth="1"/>
    <col min="3834" max="3834" width="13.5703125" style="12" customWidth="1"/>
    <col min="3835" max="3844" width="12.140625" style="12" customWidth="1"/>
    <col min="3845" max="3854" width="0" style="12" hidden="1" customWidth="1"/>
    <col min="3855" max="3855" width="14.140625" style="12" customWidth="1"/>
    <col min="3856" max="4084" width="9.140625" style="12"/>
    <col min="4085" max="4085" width="1" style="12" customWidth="1"/>
    <col min="4086" max="4086" width="39.140625" style="12" customWidth="1"/>
    <col min="4087" max="4087" width="21.42578125" style="12" customWidth="1"/>
    <col min="4088" max="4088" width="11.28515625" style="12" customWidth="1"/>
    <col min="4089" max="4089" width="9.5703125" style="12" customWidth="1"/>
    <col min="4090" max="4090" width="13.5703125" style="12" customWidth="1"/>
    <col min="4091" max="4100" width="12.140625" style="12" customWidth="1"/>
    <col min="4101" max="4110" width="0" style="12" hidden="1" customWidth="1"/>
    <col min="4111" max="4111" width="14.140625" style="12" customWidth="1"/>
    <col min="4112" max="4340" width="9.140625" style="12"/>
    <col min="4341" max="4341" width="1" style="12" customWidth="1"/>
    <col min="4342" max="4342" width="39.140625" style="12" customWidth="1"/>
    <col min="4343" max="4343" width="21.42578125" style="12" customWidth="1"/>
    <col min="4344" max="4344" width="11.28515625" style="12" customWidth="1"/>
    <col min="4345" max="4345" width="9.5703125" style="12" customWidth="1"/>
    <col min="4346" max="4346" width="13.5703125" style="12" customWidth="1"/>
    <col min="4347" max="4356" width="12.140625" style="12" customWidth="1"/>
    <col min="4357" max="4366" width="0" style="12" hidden="1" customWidth="1"/>
    <col min="4367" max="4367" width="14.140625" style="12" customWidth="1"/>
    <col min="4368" max="4596" width="9.140625" style="12"/>
    <col min="4597" max="4597" width="1" style="12" customWidth="1"/>
    <col min="4598" max="4598" width="39.140625" style="12" customWidth="1"/>
    <col min="4599" max="4599" width="21.42578125" style="12" customWidth="1"/>
    <col min="4600" max="4600" width="11.28515625" style="12" customWidth="1"/>
    <col min="4601" max="4601" width="9.5703125" style="12" customWidth="1"/>
    <col min="4602" max="4602" width="13.5703125" style="12" customWidth="1"/>
    <col min="4603" max="4612" width="12.140625" style="12" customWidth="1"/>
    <col min="4613" max="4622" width="0" style="12" hidden="1" customWidth="1"/>
    <col min="4623" max="4623" width="14.140625" style="12" customWidth="1"/>
    <col min="4624" max="4852" width="9.140625" style="12"/>
    <col min="4853" max="4853" width="1" style="12" customWidth="1"/>
    <col min="4854" max="4854" width="39.140625" style="12" customWidth="1"/>
    <col min="4855" max="4855" width="21.42578125" style="12" customWidth="1"/>
    <col min="4856" max="4856" width="11.28515625" style="12" customWidth="1"/>
    <col min="4857" max="4857" width="9.5703125" style="12" customWidth="1"/>
    <col min="4858" max="4858" width="13.5703125" style="12" customWidth="1"/>
    <col min="4859" max="4868" width="12.140625" style="12" customWidth="1"/>
    <col min="4869" max="4878" width="0" style="12" hidden="1" customWidth="1"/>
    <col min="4879" max="4879" width="14.140625" style="12" customWidth="1"/>
    <col min="4880" max="5108" width="9.140625" style="12"/>
    <col min="5109" max="5109" width="1" style="12" customWidth="1"/>
    <col min="5110" max="5110" width="39.140625" style="12" customWidth="1"/>
    <col min="5111" max="5111" width="21.42578125" style="12" customWidth="1"/>
    <col min="5112" max="5112" width="11.28515625" style="12" customWidth="1"/>
    <col min="5113" max="5113" width="9.5703125" style="12" customWidth="1"/>
    <col min="5114" max="5114" width="13.5703125" style="12" customWidth="1"/>
    <col min="5115" max="5124" width="12.140625" style="12" customWidth="1"/>
    <col min="5125" max="5134" width="0" style="12" hidden="1" customWidth="1"/>
    <col min="5135" max="5135" width="14.140625" style="12" customWidth="1"/>
    <col min="5136" max="5364" width="9.140625" style="12"/>
    <col min="5365" max="5365" width="1" style="12" customWidth="1"/>
    <col min="5366" max="5366" width="39.140625" style="12" customWidth="1"/>
    <col min="5367" max="5367" width="21.42578125" style="12" customWidth="1"/>
    <col min="5368" max="5368" width="11.28515625" style="12" customWidth="1"/>
    <col min="5369" max="5369" width="9.5703125" style="12" customWidth="1"/>
    <col min="5370" max="5370" width="13.5703125" style="12" customWidth="1"/>
    <col min="5371" max="5380" width="12.140625" style="12" customWidth="1"/>
    <col min="5381" max="5390" width="0" style="12" hidden="1" customWidth="1"/>
    <col min="5391" max="5391" width="14.140625" style="12" customWidth="1"/>
    <col min="5392" max="5620" width="9.140625" style="12"/>
    <col min="5621" max="5621" width="1" style="12" customWidth="1"/>
    <col min="5622" max="5622" width="39.140625" style="12" customWidth="1"/>
    <col min="5623" max="5623" width="21.42578125" style="12" customWidth="1"/>
    <col min="5624" max="5624" width="11.28515625" style="12" customWidth="1"/>
    <col min="5625" max="5625" width="9.5703125" style="12" customWidth="1"/>
    <col min="5626" max="5626" width="13.5703125" style="12" customWidth="1"/>
    <col min="5627" max="5636" width="12.140625" style="12" customWidth="1"/>
    <col min="5637" max="5646" width="0" style="12" hidden="1" customWidth="1"/>
    <col min="5647" max="5647" width="14.140625" style="12" customWidth="1"/>
    <col min="5648" max="5876" width="9.140625" style="12"/>
    <col min="5877" max="5877" width="1" style="12" customWidth="1"/>
    <col min="5878" max="5878" width="39.140625" style="12" customWidth="1"/>
    <col min="5879" max="5879" width="21.42578125" style="12" customWidth="1"/>
    <col min="5880" max="5880" width="11.28515625" style="12" customWidth="1"/>
    <col min="5881" max="5881" width="9.5703125" style="12" customWidth="1"/>
    <col min="5882" max="5882" width="13.5703125" style="12" customWidth="1"/>
    <col min="5883" max="5892" width="12.140625" style="12" customWidth="1"/>
    <col min="5893" max="5902" width="0" style="12" hidden="1" customWidth="1"/>
    <col min="5903" max="5903" width="14.140625" style="12" customWidth="1"/>
    <col min="5904" max="6132" width="9.140625" style="12"/>
    <col min="6133" max="6133" width="1" style="12" customWidth="1"/>
    <col min="6134" max="6134" width="39.140625" style="12" customWidth="1"/>
    <col min="6135" max="6135" width="21.42578125" style="12" customWidth="1"/>
    <col min="6136" max="6136" width="11.28515625" style="12" customWidth="1"/>
    <col min="6137" max="6137" width="9.5703125" style="12" customWidth="1"/>
    <col min="6138" max="6138" width="13.5703125" style="12" customWidth="1"/>
    <col min="6139" max="6148" width="12.140625" style="12" customWidth="1"/>
    <col min="6149" max="6158" width="0" style="12" hidden="1" customWidth="1"/>
    <col min="6159" max="6159" width="14.140625" style="12" customWidth="1"/>
    <col min="6160" max="6388" width="9.140625" style="12"/>
    <col min="6389" max="6389" width="1" style="12" customWidth="1"/>
    <col min="6390" max="6390" width="39.140625" style="12" customWidth="1"/>
    <col min="6391" max="6391" width="21.42578125" style="12" customWidth="1"/>
    <col min="6392" max="6392" width="11.28515625" style="12" customWidth="1"/>
    <col min="6393" max="6393" width="9.5703125" style="12" customWidth="1"/>
    <col min="6394" max="6394" width="13.5703125" style="12" customWidth="1"/>
    <col min="6395" max="6404" width="12.140625" style="12" customWidth="1"/>
    <col min="6405" max="6414" width="0" style="12" hidden="1" customWidth="1"/>
    <col min="6415" max="6415" width="14.140625" style="12" customWidth="1"/>
    <col min="6416" max="6644" width="9.140625" style="12"/>
    <col min="6645" max="6645" width="1" style="12" customWidth="1"/>
    <col min="6646" max="6646" width="39.140625" style="12" customWidth="1"/>
    <col min="6647" max="6647" width="21.42578125" style="12" customWidth="1"/>
    <col min="6648" max="6648" width="11.28515625" style="12" customWidth="1"/>
    <col min="6649" max="6649" width="9.5703125" style="12" customWidth="1"/>
    <col min="6650" max="6650" width="13.5703125" style="12" customWidth="1"/>
    <col min="6651" max="6660" width="12.140625" style="12" customWidth="1"/>
    <col min="6661" max="6670" width="0" style="12" hidden="1" customWidth="1"/>
    <col min="6671" max="6671" width="14.140625" style="12" customWidth="1"/>
    <col min="6672" max="6900" width="9.140625" style="12"/>
    <col min="6901" max="6901" width="1" style="12" customWidth="1"/>
    <col min="6902" max="6902" width="39.140625" style="12" customWidth="1"/>
    <col min="6903" max="6903" width="21.42578125" style="12" customWidth="1"/>
    <col min="6904" max="6904" width="11.28515625" style="12" customWidth="1"/>
    <col min="6905" max="6905" width="9.5703125" style="12" customWidth="1"/>
    <col min="6906" max="6906" width="13.5703125" style="12" customWidth="1"/>
    <col min="6907" max="6916" width="12.140625" style="12" customWidth="1"/>
    <col min="6917" max="6926" width="0" style="12" hidden="1" customWidth="1"/>
    <col min="6927" max="6927" width="14.140625" style="12" customWidth="1"/>
    <col min="6928" max="7156" width="9.140625" style="12"/>
    <col min="7157" max="7157" width="1" style="12" customWidth="1"/>
    <col min="7158" max="7158" width="39.140625" style="12" customWidth="1"/>
    <col min="7159" max="7159" width="21.42578125" style="12" customWidth="1"/>
    <col min="7160" max="7160" width="11.28515625" style="12" customWidth="1"/>
    <col min="7161" max="7161" width="9.5703125" style="12" customWidth="1"/>
    <col min="7162" max="7162" width="13.5703125" style="12" customWidth="1"/>
    <col min="7163" max="7172" width="12.140625" style="12" customWidth="1"/>
    <col min="7173" max="7182" width="0" style="12" hidden="1" customWidth="1"/>
    <col min="7183" max="7183" width="14.140625" style="12" customWidth="1"/>
    <col min="7184" max="7412" width="9.140625" style="12"/>
    <col min="7413" max="7413" width="1" style="12" customWidth="1"/>
    <col min="7414" max="7414" width="39.140625" style="12" customWidth="1"/>
    <col min="7415" max="7415" width="21.42578125" style="12" customWidth="1"/>
    <col min="7416" max="7416" width="11.28515625" style="12" customWidth="1"/>
    <col min="7417" max="7417" width="9.5703125" style="12" customWidth="1"/>
    <col min="7418" max="7418" width="13.5703125" style="12" customWidth="1"/>
    <col min="7419" max="7428" width="12.140625" style="12" customWidth="1"/>
    <col min="7429" max="7438" width="0" style="12" hidden="1" customWidth="1"/>
    <col min="7439" max="7439" width="14.140625" style="12" customWidth="1"/>
    <col min="7440" max="7668" width="9.140625" style="12"/>
    <col min="7669" max="7669" width="1" style="12" customWidth="1"/>
    <col min="7670" max="7670" width="39.140625" style="12" customWidth="1"/>
    <col min="7671" max="7671" width="21.42578125" style="12" customWidth="1"/>
    <col min="7672" max="7672" width="11.28515625" style="12" customWidth="1"/>
    <col min="7673" max="7673" width="9.5703125" style="12" customWidth="1"/>
    <col min="7674" max="7674" width="13.5703125" style="12" customWidth="1"/>
    <col min="7675" max="7684" width="12.140625" style="12" customWidth="1"/>
    <col min="7685" max="7694" width="0" style="12" hidden="1" customWidth="1"/>
    <col min="7695" max="7695" width="14.140625" style="12" customWidth="1"/>
    <col min="7696" max="7924" width="9.140625" style="12"/>
    <col min="7925" max="7925" width="1" style="12" customWidth="1"/>
    <col min="7926" max="7926" width="39.140625" style="12" customWidth="1"/>
    <col min="7927" max="7927" width="21.42578125" style="12" customWidth="1"/>
    <col min="7928" max="7928" width="11.28515625" style="12" customWidth="1"/>
    <col min="7929" max="7929" width="9.5703125" style="12" customWidth="1"/>
    <col min="7930" max="7930" width="13.5703125" style="12" customWidth="1"/>
    <col min="7931" max="7940" width="12.140625" style="12" customWidth="1"/>
    <col min="7941" max="7950" width="0" style="12" hidden="1" customWidth="1"/>
    <col min="7951" max="7951" width="14.140625" style="12" customWidth="1"/>
    <col min="7952" max="8180" width="9.140625" style="12"/>
    <col min="8181" max="8181" width="1" style="12" customWidth="1"/>
    <col min="8182" max="8182" width="39.140625" style="12" customWidth="1"/>
    <col min="8183" max="8183" width="21.42578125" style="12" customWidth="1"/>
    <col min="8184" max="8184" width="11.28515625" style="12" customWidth="1"/>
    <col min="8185" max="8185" width="9.5703125" style="12" customWidth="1"/>
    <col min="8186" max="8186" width="13.5703125" style="12" customWidth="1"/>
    <col min="8187" max="8196" width="12.140625" style="12" customWidth="1"/>
    <col min="8197" max="8206" width="0" style="12" hidden="1" customWidth="1"/>
    <col min="8207" max="8207" width="14.140625" style="12" customWidth="1"/>
    <col min="8208" max="8436" width="9.140625" style="12"/>
    <col min="8437" max="8437" width="1" style="12" customWidth="1"/>
    <col min="8438" max="8438" width="39.140625" style="12" customWidth="1"/>
    <col min="8439" max="8439" width="21.42578125" style="12" customWidth="1"/>
    <col min="8440" max="8440" width="11.28515625" style="12" customWidth="1"/>
    <col min="8441" max="8441" width="9.5703125" style="12" customWidth="1"/>
    <col min="8442" max="8442" width="13.5703125" style="12" customWidth="1"/>
    <col min="8443" max="8452" width="12.140625" style="12" customWidth="1"/>
    <col min="8453" max="8462" width="0" style="12" hidden="1" customWidth="1"/>
    <col min="8463" max="8463" width="14.140625" style="12" customWidth="1"/>
    <col min="8464" max="8692" width="9.140625" style="12"/>
    <col min="8693" max="8693" width="1" style="12" customWidth="1"/>
    <col min="8694" max="8694" width="39.140625" style="12" customWidth="1"/>
    <col min="8695" max="8695" width="21.42578125" style="12" customWidth="1"/>
    <col min="8696" max="8696" width="11.28515625" style="12" customWidth="1"/>
    <col min="8697" max="8697" width="9.5703125" style="12" customWidth="1"/>
    <col min="8698" max="8698" width="13.5703125" style="12" customWidth="1"/>
    <col min="8699" max="8708" width="12.140625" style="12" customWidth="1"/>
    <col min="8709" max="8718" width="0" style="12" hidden="1" customWidth="1"/>
    <col min="8719" max="8719" width="14.140625" style="12" customWidth="1"/>
    <col min="8720" max="8948" width="9.140625" style="12"/>
    <col min="8949" max="8949" width="1" style="12" customWidth="1"/>
    <col min="8950" max="8950" width="39.140625" style="12" customWidth="1"/>
    <col min="8951" max="8951" width="21.42578125" style="12" customWidth="1"/>
    <col min="8952" max="8952" width="11.28515625" style="12" customWidth="1"/>
    <col min="8953" max="8953" width="9.5703125" style="12" customWidth="1"/>
    <col min="8954" max="8954" width="13.5703125" style="12" customWidth="1"/>
    <col min="8955" max="8964" width="12.140625" style="12" customWidth="1"/>
    <col min="8965" max="8974" width="0" style="12" hidden="1" customWidth="1"/>
    <col min="8975" max="8975" width="14.140625" style="12" customWidth="1"/>
    <col min="8976" max="9204" width="9.140625" style="12"/>
    <col min="9205" max="9205" width="1" style="12" customWidth="1"/>
    <col min="9206" max="9206" width="39.140625" style="12" customWidth="1"/>
    <col min="9207" max="9207" width="21.42578125" style="12" customWidth="1"/>
    <col min="9208" max="9208" width="11.28515625" style="12" customWidth="1"/>
    <col min="9209" max="9209" width="9.5703125" style="12" customWidth="1"/>
    <col min="9210" max="9210" width="13.5703125" style="12" customWidth="1"/>
    <col min="9211" max="9220" width="12.140625" style="12" customWidth="1"/>
    <col min="9221" max="9230" width="0" style="12" hidden="1" customWidth="1"/>
    <col min="9231" max="9231" width="14.140625" style="12" customWidth="1"/>
    <col min="9232" max="9460" width="9.140625" style="12"/>
    <col min="9461" max="9461" width="1" style="12" customWidth="1"/>
    <col min="9462" max="9462" width="39.140625" style="12" customWidth="1"/>
    <col min="9463" max="9463" width="21.42578125" style="12" customWidth="1"/>
    <col min="9464" max="9464" width="11.28515625" style="12" customWidth="1"/>
    <col min="9465" max="9465" width="9.5703125" style="12" customWidth="1"/>
    <col min="9466" max="9466" width="13.5703125" style="12" customWidth="1"/>
    <col min="9467" max="9476" width="12.140625" style="12" customWidth="1"/>
    <col min="9477" max="9486" width="0" style="12" hidden="1" customWidth="1"/>
    <col min="9487" max="9487" width="14.140625" style="12" customWidth="1"/>
    <col min="9488" max="9716" width="9.140625" style="12"/>
    <col min="9717" max="9717" width="1" style="12" customWidth="1"/>
    <col min="9718" max="9718" width="39.140625" style="12" customWidth="1"/>
    <col min="9719" max="9719" width="21.42578125" style="12" customWidth="1"/>
    <col min="9720" max="9720" width="11.28515625" style="12" customWidth="1"/>
    <col min="9721" max="9721" width="9.5703125" style="12" customWidth="1"/>
    <col min="9722" max="9722" width="13.5703125" style="12" customWidth="1"/>
    <col min="9723" max="9732" width="12.140625" style="12" customWidth="1"/>
    <col min="9733" max="9742" width="0" style="12" hidden="1" customWidth="1"/>
    <col min="9743" max="9743" width="14.140625" style="12" customWidth="1"/>
    <col min="9744" max="9972" width="9.140625" style="12"/>
    <col min="9973" max="9973" width="1" style="12" customWidth="1"/>
    <col min="9974" max="9974" width="39.140625" style="12" customWidth="1"/>
    <col min="9975" max="9975" width="21.42578125" style="12" customWidth="1"/>
    <col min="9976" max="9976" width="11.28515625" style="12" customWidth="1"/>
    <col min="9977" max="9977" width="9.5703125" style="12" customWidth="1"/>
    <col min="9978" max="9978" width="13.5703125" style="12" customWidth="1"/>
    <col min="9979" max="9988" width="12.140625" style="12" customWidth="1"/>
    <col min="9989" max="9998" width="0" style="12" hidden="1" customWidth="1"/>
    <col min="9999" max="9999" width="14.140625" style="12" customWidth="1"/>
    <col min="10000" max="10228" width="9.140625" style="12"/>
    <col min="10229" max="10229" width="1" style="12" customWidth="1"/>
    <col min="10230" max="10230" width="39.140625" style="12" customWidth="1"/>
    <col min="10231" max="10231" width="21.42578125" style="12" customWidth="1"/>
    <col min="10232" max="10232" width="11.28515625" style="12" customWidth="1"/>
    <col min="10233" max="10233" width="9.5703125" style="12" customWidth="1"/>
    <col min="10234" max="10234" width="13.5703125" style="12" customWidth="1"/>
    <col min="10235" max="10244" width="12.140625" style="12" customWidth="1"/>
    <col min="10245" max="10254" width="0" style="12" hidden="1" customWidth="1"/>
    <col min="10255" max="10255" width="14.140625" style="12" customWidth="1"/>
    <col min="10256" max="10484" width="9.140625" style="12"/>
    <col min="10485" max="10485" width="1" style="12" customWidth="1"/>
    <col min="10486" max="10486" width="39.140625" style="12" customWidth="1"/>
    <col min="10487" max="10487" width="21.42578125" style="12" customWidth="1"/>
    <col min="10488" max="10488" width="11.28515625" style="12" customWidth="1"/>
    <col min="10489" max="10489" width="9.5703125" style="12" customWidth="1"/>
    <col min="10490" max="10490" width="13.5703125" style="12" customWidth="1"/>
    <col min="10491" max="10500" width="12.140625" style="12" customWidth="1"/>
    <col min="10501" max="10510" width="0" style="12" hidden="1" customWidth="1"/>
    <col min="10511" max="10511" width="14.140625" style="12" customWidth="1"/>
    <col min="10512" max="10740" width="9.140625" style="12"/>
    <col min="10741" max="10741" width="1" style="12" customWidth="1"/>
    <col min="10742" max="10742" width="39.140625" style="12" customWidth="1"/>
    <col min="10743" max="10743" width="21.42578125" style="12" customWidth="1"/>
    <col min="10744" max="10744" width="11.28515625" style="12" customWidth="1"/>
    <col min="10745" max="10745" width="9.5703125" style="12" customWidth="1"/>
    <col min="10746" max="10746" width="13.5703125" style="12" customWidth="1"/>
    <col min="10747" max="10756" width="12.140625" style="12" customWidth="1"/>
    <col min="10757" max="10766" width="0" style="12" hidden="1" customWidth="1"/>
    <col min="10767" max="10767" width="14.140625" style="12" customWidth="1"/>
    <col min="10768" max="10996" width="9.140625" style="12"/>
    <col min="10997" max="10997" width="1" style="12" customWidth="1"/>
    <col min="10998" max="10998" width="39.140625" style="12" customWidth="1"/>
    <col min="10999" max="10999" width="21.42578125" style="12" customWidth="1"/>
    <col min="11000" max="11000" width="11.28515625" style="12" customWidth="1"/>
    <col min="11001" max="11001" width="9.5703125" style="12" customWidth="1"/>
    <col min="11002" max="11002" width="13.5703125" style="12" customWidth="1"/>
    <col min="11003" max="11012" width="12.140625" style="12" customWidth="1"/>
    <col min="11013" max="11022" width="0" style="12" hidden="1" customWidth="1"/>
    <col min="11023" max="11023" width="14.140625" style="12" customWidth="1"/>
    <col min="11024" max="11252" width="9.140625" style="12"/>
    <col min="11253" max="11253" width="1" style="12" customWidth="1"/>
    <col min="11254" max="11254" width="39.140625" style="12" customWidth="1"/>
    <col min="11255" max="11255" width="21.42578125" style="12" customWidth="1"/>
    <col min="11256" max="11256" width="11.28515625" style="12" customWidth="1"/>
    <col min="11257" max="11257" width="9.5703125" style="12" customWidth="1"/>
    <col min="11258" max="11258" width="13.5703125" style="12" customWidth="1"/>
    <col min="11259" max="11268" width="12.140625" style="12" customWidth="1"/>
    <col min="11269" max="11278" width="0" style="12" hidden="1" customWidth="1"/>
    <col min="11279" max="11279" width="14.140625" style="12" customWidth="1"/>
    <col min="11280" max="11508" width="9.140625" style="12"/>
    <col min="11509" max="11509" width="1" style="12" customWidth="1"/>
    <col min="11510" max="11510" width="39.140625" style="12" customWidth="1"/>
    <col min="11511" max="11511" width="21.42578125" style="12" customWidth="1"/>
    <col min="11512" max="11512" width="11.28515625" style="12" customWidth="1"/>
    <col min="11513" max="11513" width="9.5703125" style="12" customWidth="1"/>
    <col min="11514" max="11514" width="13.5703125" style="12" customWidth="1"/>
    <col min="11515" max="11524" width="12.140625" style="12" customWidth="1"/>
    <col min="11525" max="11534" width="0" style="12" hidden="1" customWidth="1"/>
    <col min="11535" max="11535" width="14.140625" style="12" customWidth="1"/>
    <col min="11536" max="11764" width="9.140625" style="12"/>
    <col min="11765" max="11765" width="1" style="12" customWidth="1"/>
    <col min="11766" max="11766" width="39.140625" style="12" customWidth="1"/>
    <col min="11767" max="11767" width="21.42578125" style="12" customWidth="1"/>
    <col min="11768" max="11768" width="11.28515625" style="12" customWidth="1"/>
    <col min="11769" max="11769" width="9.5703125" style="12" customWidth="1"/>
    <col min="11770" max="11770" width="13.5703125" style="12" customWidth="1"/>
    <col min="11771" max="11780" width="12.140625" style="12" customWidth="1"/>
    <col min="11781" max="11790" width="0" style="12" hidden="1" customWidth="1"/>
    <col min="11791" max="11791" width="14.140625" style="12" customWidth="1"/>
    <col min="11792" max="12020" width="9.140625" style="12"/>
    <col min="12021" max="12021" width="1" style="12" customWidth="1"/>
    <col min="12022" max="12022" width="39.140625" style="12" customWidth="1"/>
    <col min="12023" max="12023" width="21.42578125" style="12" customWidth="1"/>
    <col min="12024" max="12024" width="11.28515625" style="12" customWidth="1"/>
    <col min="12025" max="12025" width="9.5703125" style="12" customWidth="1"/>
    <col min="12026" max="12026" width="13.5703125" style="12" customWidth="1"/>
    <col min="12027" max="12036" width="12.140625" style="12" customWidth="1"/>
    <col min="12037" max="12046" width="0" style="12" hidden="1" customWidth="1"/>
    <col min="12047" max="12047" width="14.140625" style="12" customWidth="1"/>
    <col min="12048" max="12276" width="9.140625" style="12"/>
    <col min="12277" max="12277" width="1" style="12" customWidth="1"/>
    <col min="12278" max="12278" width="39.140625" style="12" customWidth="1"/>
    <col min="12279" max="12279" width="21.42578125" style="12" customWidth="1"/>
    <col min="12280" max="12280" width="11.28515625" style="12" customWidth="1"/>
    <col min="12281" max="12281" width="9.5703125" style="12" customWidth="1"/>
    <col min="12282" max="12282" width="13.5703125" style="12" customWidth="1"/>
    <col min="12283" max="12292" width="12.140625" style="12" customWidth="1"/>
    <col min="12293" max="12302" width="0" style="12" hidden="1" customWidth="1"/>
    <col min="12303" max="12303" width="14.140625" style="12" customWidth="1"/>
    <col min="12304" max="12532" width="9.140625" style="12"/>
    <col min="12533" max="12533" width="1" style="12" customWidth="1"/>
    <col min="12534" max="12534" width="39.140625" style="12" customWidth="1"/>
    <col min="12535" max="12535" width="21.42578125" style="12" customWidth="1"/>
    <col min="12536" max="12536" width="11.28515625" style="12" customWidth="1"/>
    <col min="12537" max="12537" width="9.5703125" style="12" customWidth="1"/>
    <col min="12538" max="12538" width="13.5703125" style="12" customWidth="1"/>
    <col min="12539" max="12548" width="12.140625" style="12" customWidth="1"/>
    <col min="12549" max="12558" width="0" style="12" hidden="1" customWidth="1"/>
    <col min="12559" max="12559" width="14.140625" style="12" customWidth="1"/>
    <col min="12560" max="12788" width="9.140625" style="12"/>
    <col min="12789" max="12789" width="1" style="12" customWidth="1"/>
    <col min="12790" max="12790" width="39.140625" style="12" customWidth="1"/>
    <col min="12791" max="12791" width="21.42578125" style="12" customWidth="1"/>
    <col min="12792" max="12792" width="11.28515625" style="12" customWidth="1"/>
    <col min="12793" max="12793" width="9.5703125" style="12" customWidth="1"/>
    <col min="12794" max="12794" width="13.5703125" style="12" customWidth="1"/>
    <col min="12795" max="12804" width="12.140625" style="12" customWidth="1"/>
    <col min="12805" max="12814" width="0" style="12" hidden="1" customWidth="1"/>
    <col min="12815" max="12815" width="14.140625" style="12" customWidth="1"/>
    <col min="12816" max="13044" width="9.140625" style="12"/>
    <col min="13045" max="13045" width="1" style="12" customWidth="1"/>
    <col min="13046" max="13046" width="39.140625" style="12" customWidth="1"/>
    <col min="13047" max="13047" width="21.42578125" style="12" customWidth="1"/>
    <col min="13048" max="13048" width="11.28515625" style="12" customWidth="1"/>
    <col min="13049" max="13049" width="9.5703125" style="12" customWidth="1"/>
    <col min="13050" max="13050" width="13.5703125" style="12" customWidth="1"/>
    <col min="13051" max="13060" width="12.140625" style="12" customWidth="1"/>
    <col min="13061" max="13070" width="0" style="12" hidden="1" customWidth="1"/>
    <col min="13071" max="13071" width="14.140625" style="12" customWidth="1"/>
    <col min="13072" max="13300" width="9.140625" style="12"/>
    <col min="13301" max="13301" width="1" style="12" customWidth="1"/>
    <col min="13302" max="13302" width="39.140625" style="12" customWidth="1"/>
    <col min="13303" max="13303" width="21.42578125" style="12" customWidth="1"/>
    <col min="13304" max="13304" width="11.28515625" style="12" customWidth="1"/>
    <col min="13305" max="13305" width="9.5703125" style="12" customWidth="1"/>
    <col min="13306" max="13306" width="13.5703125" style="12" customWidth="1"/>
    <col min="13307" max="13316" width="12.140625" style="12" customWidth="1"/>
    <col min="13317" max="13326" width="0" style="12" hidden="1" customWidth="1"/>
    <col min="13327" max="13327" width="14.140625" style="12" customWidth="1"/>
    <col min="13328" max="13556" width="9.140625" style="12"/>
    <col min="13557" max="13557" width="1" style="12" customWidth="1"/>
    <col min="13558" max="13558" width="39.140625" style="12" customWidth="1"/>
    <col min="13559" max="13559" width="21.42578125" style="12" customWidth="1"/>
    <col min="13560" max="13560" width="11.28515625" style="12" customWidth="1"/>
    <col min="13561" max="13561" width="9.5703125" style="12" customWidth="1"/>
    <col min="13562" max="13562" width="13.5703125" style="12" customWidth="1"/>
    <col min="13563" max="13572" width="12.140625" style="12" customWidth="1"/>
    <col min="13573" max="13582" width="0" style="12" hidden="1" customWidth="1"/>
    <col min="13583" max="13583" width="14.140625" style="12" customWidth="1"/>
    <col min="13584" max="13812" width="9.140625" style="12"/>
    <col min="13813" max="13813" width="1" style="12" customWidth="1"/>
    <col min="13814" max="13814" width="39.140625" style="12" customWidth="1"/>
    <col min="13815" max="13815" width="21.42578125" style="12" customWidth="1"/>
    <col min="13816" max="13816" width="11.28515625" style="12" customWidth="1"/>
    <col min="13817" max="13817" width="9.5703125" style="12" customWidth="1"/>
    <col min="13818" max="13818" width="13.5703125" style="12" customWidth="1"/>
    <col min="13819" max="13828" width="12.140625" style="12" customWidth="1"/>
    <col min="13829" max="13838" width="0" style="12" hidden="1" customWidth="1"/>
    <col min="13839" max="13839" width="14.140625" style="12" customWidth="1"/>
    <col min="13840" max="14068" width="9.140625" style="12"/>
    <col min="14069" max="14069" width="1" style="12" customWidth="1"/>
    <col min="14070" max="14070" width="39.140625" style="12" customWidth="1"/>
    <col min="14071" max="14071" width="21.42578125" style="12" customWidth="1"/>
    <col min="14072" max="14072" width="11.28515625" style="12" customWidth="1"/>
    <col min="14073" max="14073" width="9.5703125" style="12" customWidth="1"/>
    <col min="14074" max="14074" width="13.5703125" style="12" customWidth="1"/>
    <col min="14075" max="14084" width="12.140625" style="12" customWidth="1"/>
    <col min="14085" max="14094" width="0" style="12" hidden="1" customWidth="1"/>
    <col min="14095" max="14095" width="14.140625" style="12" customWidth="1"/>
    <col min="14096" max="14324" width="9.140625" style="12"/>
    <col min="14325" max="14325" width="1" style="12" customWidth="1"/>
    <col min="14326" max="14326" width="39.140625" style="12" customWidth="1"/>
    <col min="14327" max="14327" width="21.42578125" style="12" customWidth="1"/>
    <col min="14328" max="14328" width="11.28515625" style="12" customWidth="1"/>
    <col min="14329" max="14329" width="9.5703125" style="12" customWidth="1"/>
    <col min="14330" max="14330" width="13.5703125" style="12" customWidth="1"/>
    <col min="14331" max="14340" width="12.140625" style="12" customWidth="1"/>
    <col min="14341" max="14350" width="0" style="12" hidden="1" customWidth="1"/>
    <col min="14351" max="14351" width="14.140625" style="12" customWidth="1"/>
    <col min="14352" max="14580" width="9.140625" style="12"/>
    <col min="14581" max="14581" width="1" style="12" customWidth="1"/>
    <col min="14582" max="14582" width="39.140625" style="12" customWidth="1"/>
    <col min="14583" max="14583" width="21.42578125" style="12" customWidth="1"/>
    <col min="14584" max="14584" width="11.28515625" style="12" customWidth="1"/>
    <col min="14585" max="14585" width="9.5703125" style="12" customWidth="1"/>
    <col min="14586" max="14586" width="13.5703125" style="12" customWidth="1"/>
    <col min="14587" max="14596" width="12.140625" style="12" customWidth="1"/>
    <col min="14597" max="14606" width="0" style="12" hidden="1" customWidth="1"/>
    <col min="14607" max="14607" width="14.140625" style="12" customWidth="1"/>
    <col min="14608" max="14836" width="9.140625" style="12"/>
    <col min="14837" max="14837" width="1" style="12" customWidth="1"/>
    <col min="14838" max="14838" width="39.140625" style="12" customWidth="1"/>
    <col min="14839" max="14839" width="21.42578125" style="12" customWidth="1"/>
    <col min="14840" max="14840" width="11.28515625" style="12" customWidth="1"/>
    <col min="14841" max="14841" width="9.5703125" style="12" customWidth="1"/>
    <col min="14842" max="14842" width="13.5703125" style="12" customWidth="1"/>
    <col min="14843" max="14852" width="12.140625" style="12" customWidth="1"/>
    <col min="14853" max="14862" width="0" style="12" hidden="1" customWidth="1"/>
    <col min="14863" max="14863" width="14.140625" style="12" customWidth="1"/>
    <col min="14864" max="15092" width="9.140625" style="12"/>
    <col min="15093" max="15093" width="1" style="12" customWidth="1"/>
    <col min="15094" max="15094" width="39.140625" style="12" customWidth="1"/>
    <col min="15095" max="15095" width="21.42578125" style="12" customWidth="1"/>
    <col min="15096" max="15096" width="11.28515625" style="12" customWidth="1"/>
    <col min="15097" max="15097" width="9.5703125" style="12" customWidth="1"/>
    <col min="15098" max="15098" width="13.5703125" style="12" customWidth="1"/>
    <col min="15099" max="15108" width="12.140625" style="12" customWidth="1"/>
    <col min="15109" max="15118" width="0" style="12" hidden="1" customWidth="1"/>
    <col min="15119" max="15119" width="14.140625" style="12" customWidth="1"/>
    <col min="15120" max="15348" width="9.140625" style="12"/>
    <col min="15349" max="15349" width="1" style="12" customWidth="1"/>
    <col min="15350" max="15350" width="39.140625" style="12" customWidth="1"/>
    <col min="15351" max="15351" width="21.42578125" style="12" customWidth="1"/>
    <col min="15352" max="15352" width="11.28515625" style="12" customWidth="1"/>
    <col min="15353" max="15353" width="9.5703125" style="12" customWidth="1"/>
    <col min="15354" max="15354" width="13.5703125" style="12" customWidth="1"/>
    <col min="15355" max="15364" width="12.140625" style="12" customWidth="1"/>
    <col min="15365" max="15374" width="0" style="12" hidden="1" customWidth="1"/>
    <col min="15375" max="15375" width="14.140625" style="12" customWidth="1"/>
    <col min="15376" max="15604" width="9.140625" style="12"/>
    <col min="15605" max="15605" width="1" style="12" customWidth="1"/>
    <col min="15606" max="15606" width="39.140625" style="12" customWidth="1"/>
    <col min="15607" max="15607" width="21.42578125" style="12" customWidth="1"/>
    <col min="15608" max="15608" width="11.28515625" style="12" customWidth="1"/>
    <col min="15609" max="15609" width="9.5703125" style="12" customWidth="1"/>
    <col min="15610" max="15610" width="13.5703125" style="12" customWidth="1"/>
    <col min="15611" max="15620" width="12.140625" style="12" customWidth="1"/>
    <col min="15621" max="15630" width="0" style="12" hidden="1" customWidth="1"/>
    <col min="15631" max="15631" width="14.140625" style="12" customWidth="1"/>
    <col min="15632" max="15860" width="9.140625" style="12"/>
    <col min="15861" max="15861" width="1" style="12" customWidth="1"/>
    <col min="15862" max="15862" width="39.140625" style="12" customWidth="1"/>
    <col min="15863" max="15863" width="21.42578125" style="12" customWidth="1"/>
    <col min="15864" max="15864" width="11.28515625" style="12" customWidth="1"/>
    <col min="15865" max="15865" width="9.5703125" style="12" customWidth="1"/>
    <col min="15866" max="15866" width="13.5703125" style="12" customWidth="1"/>
    <col min="15867" max="15876" width="12.140625" style="12" customWidth="1"/>
    <col min="15877" max="15886" width="0" style="12" hidden="1" customWidth="1"/>
    <col min="15887" max="15887" width="14.140625" style="12" customWidth="1"/>
    <col min="15888" max="16116" width="9.140625" style="12"/>
    <col min="16117" max="16117" width="1" style="12" customWidth="1"/>
    <col min="16118" max="16118" width="39.140625" style="12" customWidth="1"/>
    <col min="16119" max="16119" width="21.42578125" style="12" customWidth="1"/>
    <col min="16120" max="16120" width="11.28515625" style="12" customWidth="1"/>
    <col min="16121" max="16121" width="9.5703125" style="12" customWidth="1"/>
    <col min="16122" max="16122" width="13.5703125" style="12" customWidth="1"/>
    <col min="16123" max="16132" width="12.140625" style="12" customWidth="1"/>
    <col min="16133" max="16142" width="0" style="12" hidden="1" customWidth="1"/>
    <col min="16143" max="16143" width="14.140625" style="12" customWidth="1"/>
    <col min="16144" max="16384" width="9.140625" style="12"/>
  </cols>
  <sheetData>
    <row r="1" spans="1:214" s="13" customFormat="1" ht="22.5" customHeight="1">
      <c r="A1" s="217" t="s">
        <v>0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30"/>
      <c r="AZ1" s="130"/>
      <c r="BA1" s="130"/>
      <c r="BB1" s="130"/>
      <c r="BC1" s="130"/>
      <c r="BD1" s="130"/>
      <c r="BE1" s="130"/>
      <c r="BF1" s="130"/>
      <c r="BG1" s="130"/>
      <c r="BH1" s="130"/>
      <c r="BI1" s="130"/>
      <c r="BJ1" s="130"/>
      <c r="BK1" s="130"/>
      <c r="BL1" s="130"/>
      <c r="BM1" s="130"/>
      <c r="BN1" s="130"/>
      <c r="BO1" s="130"/>
      <c r="BP1" s="130"/>
      <c r="BQ1" s="130"/>
      <c r="BR1" s="130"/>
      <c r="BS1" s="130"/>
      <c r="BT1" s="130"/>
      <c r="BU1" s="130"/>
      <c r="BV1" s="130"/>
      <c r="BW1" s="130"/>
      <c r="BX1" s="130"/>
      <c r="BY1" s="130"/>
      <c r="BZ1" s="130"/>
      <c r="CA1" s="130"/>
      <c r="CB1" s="130"/>
      <c r="CC1" s="130"/>
      <c r="CD1" s="130"/>
      <c r="CE1" s="130"/>
      <c r="CF1" s="130"/>
      <c r="CG1" s="130"/>
      <c r="CH1" s="130"/>
      <c r="CI1" s="130"/>
      <c r="CJ1" s="130"/>
      <c r="CK1" s="130"/>
      <c r="CL1" s="130"/>
      <c r="CM1" s="130"/>
      <c r="CN1" s="130"/>
      <c r="CO1" s="130"/>
      <c r="CP1" s="130"/>
      <c r="CQ1" s="130"/>
      <c r="CR1" s="130"/>
      <c r="CS1" s="130"/>
      <c r="CT1" s="130"/>
      <c r="CU1" s="130"/>
      <c r="CV1" s="130"/>
      <c r="CW1" s="130"/>
      <c r="CX1" s="130"/>
      <c r="CY1" s="130"/>
      <c r="CZ1" s="130"/>
      <c r="DA1" s="130"/>
      <c r="DB1" s="130"/>
      <c r="DC1" s="130"/>
      <c r="DD1" s="130"/>
      <c r="DE1" s="130"/>
      <c r="DF1" s="130"/>
      <c r="DG1" s="130"/>
      <c r="DH1" s="130"/>
      <c r="DI1" s="130"/>
      <c r="DJ1" s="130"/>
      <c r="DK1" s="130"/>
      <c r="DL1" s="130"/>
      <c r="DM1" s="130"/>
      <c r="DN1" s="130"/>
      <c r="DO1" s="130"/>
      <c r="DP1" s="130"/>
      <c r="DQ1" s="130"/>
      <c r="DR1" s="130"/>
      <c r="DS1" s="130"/>
      <c r="DT1" s="130"/>
      <c r="DU1" s="130"/>
      <c r="DV1" s="130"/>
      <c r="DW1" s="130"/>
      <c r="DX1" s="130"/>
      <c r="DY1" s="130"/>
      <c r="DZ1" s="130"/>
      <c r="EA1" s="130"/>
      <c r="EB1" s="130"/>
      <c r="EC1" s="130"/>
      <c r="ED1" s="130"/>
      <c r="EE1" s="130"/>
      <c r="EF1" s="130"/>
      <c r="EG1" s="130"/>
      <c r="EH1" s="130"/>
      <c r="EI1" s="130"/>
      <c r="EJ1" s="130"/>
      <c r="EK1" s="130"/>
      <c r="EL1" s="130"/>
      <c r="EM1" s="130"/>
      <c r="EN1" s="130"/>
      <c r="EO1" s="130"/>
      <c r="EP1" s="130"/>
      <c r="EQ1" s="130"/>
      <c r="ER1" s="130"/>
      <c r="ES1" s="130"/>
      <c r="ET1" s="130"/>
      <c r="EU1" s="130"/>
      <c r="EV1" s="130"/>
      <c r="EW1" s="130"/>
      <c r="EX1" s="130"/>
      <c r="EY1" s="130"/>
      <c r="EZ1" s="130"/>
      <c r="FA1" s="130"/>
      <c r="FB1" s="130"/>
      <c r="FC1" s="130"/>
      <c r="FD1" s="130"/>
      <c r="FE1" s="130"/>
      <c r="FF1" s="130"/>
      <c r="FG1" s="130"/>
      <c r="FH1" s="130"/>
      <c r="FI1" s="130"/>
      <c r="FJ1" s="130"/>
      <c r="FK1" s="130"/>
      <c r="FL1" s="130"/>
      <c r="FM1" s="130"/>
      <c r="FN1" s="130"/>
      <c r="FO1" s="130"/>
      <c r="FP1" s="130"/>
      <c r="FQ1" s="130"/>
      <c r="FR1" s="130"/>
      <c r="FS1" s="130"/>
      <c r="FT1" s="130"/>
      <c r="FU1" s="130"/>
      <c r="FV1" s="130"/>
      <c r="FW1" s="130"/>
      <c r="FX1" s="130"/>
      <c r="FY1" s="130"/>
      <c r="FZ1" s="130"/>
      <c r="GA1" s="130"/>
      <c r="GB1" s="130"/>
      <c r="GC1" s="130"/>
      <c r="GD1" s="130"/>
      <c r="GE1" s="130"/>
      <c r="GF1" s="130"/>
      <c r="GG1" s="130"/>
      <c r="GH1" s="130"/>
      <c r="GI1" s="130"/>
      <c r="GJ1" s="130"/>
      <c r="GK1" s="130"/>
      <c r="GL1" s="130"/>
      <c r="GM1" s="130"/>
      <c r="GN1" s="130"/>
      <c r="GO1" s="130"/>
      <c r="GP1" s="130"/>
      <c r="GQ1" s="130"/>
      <c r="GR1" s="130"/>
      <c r="GS1" s="130"/>
      <c r="GT1" s="130"/>
      <c r="GU1" s="130"/>
      <c r="GV1" s="130"/>
      <c r="GW1" s="130"/>
      <c r="GX1" s="130"/>
      <c r="GY1" s="130"/>
      <c r="GZ1" s="130"/>
      <c r="HA1" s="130"/>
      <c r="HB1" s="130"/>
      <c r="HC1" s="130"/>
      <c r="HD1" s="130"/>
      <c r="HE1" s="130"/>
      <c r="HF1" s="130"/>
    </row>
    <row r="2" spans="1:214" ht="12.75" customHeight="1"/>
    <row r="3" spans="1:214" ht="12.75" customHeight="1"/>
    <row r="4" spans="1:214" ht="31.5" customHeight="1">
      <c r="A4" s="218" t="s">
        <v>1</v>
      </c>
      <c r="B4" s="218" t="s">
        <v>2</v>
      </c>
      <c r="C4" s="218" t="s">
        <v>3</v>
      </c>
      <c r="D4" s="218" t="s">
        <v>4</v>
      </c>
      <c r="E4" s="218"/>
      <c r="F4" s="218" t="s">
        <v>5</v>
      </c>
      <c r="G4" s="219" t="s">
        <v>349</v>
      </c>
      <c r="H4" s="220"/>
      <c r="I4" s="220"/>
      <c r="J4" s="220"/>
      <c r="K4" s="220"/>
      <c r="L4" s="220"/>
      <c r="M4" s="220"/>
      <c r="N4" s="220"/>
      <c r="O4" s="221"/>
      <c r="P4" s="218" t="s">
        <v>6</v>
      </c>
    </row>
    <row r="5" spans="1:214" s="14" customFormat="1" ht="23.25" customHeight="1">
      <c r="A5" s="218"/>
      <c r="B5" s="218"/>
      <c r="C5" s="218"/>
      <c r="D5" s="141" t="s">
        <v>7</v>
      </c>
      <c r="E5" s="141" t="s">
        <v>8</v>
      </c>
      <c r="F5" s="218"/>
      <c r="G5" s="105">
        <v>2020</v>
      </c>
      <c r="H5" s="105">
        <v>2021</v>
      </c>
      <c r="I5" s="105">
        <v>2022</v>
      </c>
      <c r="J5" s="105">
        <v>2023</v>
      </c>
      <c r="K5" s="105">
        <v>2024</v>
      </c>
      <c r="L5" s="105">
        <v>2025</v>
      </c>
      <c r="M5" s="105">
        <v>2026</v>
      </c>
      <c r="N5" s="105">
        <v>2027</v>
      </c>
      <c r="O5" s="105">
        <v>2028</v>
      </c>
      <c r="P5" s="218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1"/>
      <c r="BC5" s="131"/>
      <c r="BD5" s="131"/>
      <c r="BE5" s="131"/>
      <c r="BF5" s="131"/>
      <c r="BG5" s="131"/>
      <c r="BH5" s="131"/>
      <c r="BI5" s="131"/>
      <c r="BJ5" s="131"/>
      <c r="BK5" s="131"/>
      <c r="BL5" s="131"/>
      <c r="BM5" s="131"/>
      <c r="BN5" s="131"/>
      <c r="BO5" s="131"/>
      <c r="BP5" s="131"/>
      <c r="BQ5" s="131"/>
      <c r="BR5" s="131"/>
      <c r="BS5" s="131"/>
      <c r="BT5" s="131"/>
      <c r="BU5" s="131"/>
      <c r="BV5" s="131"/>
      <c r="BW5" s="131"/>
      <c r="BX5" s="131"/>
      <c r="BY5" s="131"/>
      <c r="BZ5" s="131"/>
      <c r="CA5" s="131"/>
      <c r="CB5" s="131"/>
      <c r="CC5" s="131"/>
      <c r="CD5" s="131"/>
      <c r="CE5" s="131"/>
      <c r="CF5" s="131"/>
      <c r="CG5" s="131"/>
      <c r="CH5" s="131"/>
      <c r="CI5" s="131"/>
      <c r="CJ5" s="131"/>
      <c r="CK5" s="131"/>
      <c r="CL5" s="131"/>
      <c r="CM5" s="131"/>
      <c r="CN5" s="131"/>
      <c r="CO5" s="131"/>
      <c r="CP5" s="131"/>
      <c r="CQ5" s="131"/>
      <c r="CR5" s="131"/>
      <c r="CS5" s="131"/>
      <c r="CT5" s="131"/>
      <c r="CU5" s="131"/>
      <c r="CV5" s="131"/>
      <c r="CW5" s="131"/>
      <c r="CX5" s="131"/>
      <c r="CY5" s="131"/>
      <c r="CZ5" s="131"/>
      <c r="DA5" s="131"/>
      <c r="DB5" s="131"/>
      <c r="DC5" s="131"/>
      <c r="DD5" s="131"/>
      <c r="DE5" s="131"/>
      <c r="DF5" s="131"/>
      <c r="DG5" s="131"/>
      <c r="DH5" s="131"/>
      <c r="DI5" s="131"/>
      <c r="DJ5" s="131"/>
      <c r="DK5" s="131"/>
      <c r="DL5" s="131"/>
      <c r="DM5" s="131"/>
      <c r="DN5" s="131"/>
      <c r="DO5" s="131"/>
      <c r="DP5" s="131"/>
      <c r="DQ5" s="131"/>
      <c r="DR5" s="131"/>
      <c r="DS5" s="131"/>
      <c r="DT5" s="131"/>
      <c r="DU5" s="131"/>
      <c r="DV5" s="131"/>
      <c r="DW5" s="131"/>
      <c r="DX5" s="131"/>
      <c r="DY5" s="131"/>
      <c r="DZ5" s="131"/>
      <c r="EA5" s="131"/>
      <c r="EB5" s="131"/>
      <c r="EC5" s="131"/>
      <c r="ED5" s="131"/>
      <c r="EE5" s="131"/>
      <c r="EF5" s="131"/>
      <c r="EG5" s="131"/>
      <c r="EH5" s="131"/>
      <c r="EI5" s="131"/>
      <c r="EJ5" s="131"/>
      <c r="EK5" s="131"/>
      <c r="EL5" s="131"/>
      <c r="EM5" s="131"/>
      <c r="EN5" s="131"/>
      <c r="EO5" s="131"/>
      <c r="EP5" s="131"/>
      <c r="EQ5" s="131"/>
      <c r="ER5" s="131"/>
      <c r="ES5" s="131"/>
      <c r="ET5" s="131"/>
      <c r="EU5" s="131"/>
      <c r="EV5" s="131"/>
      <c r="EW5" s="131"/>
      <c r="EX5" s="131"/>
      <c r="EY5" s="131"/>
      <c r="EZ5" s="131"/>
      <c r="FA5" s="131"/>
      <c r="FB5" s="131"/>
      <c r="FC5" s="131"/>
      <c r="FD5" s="131"/>
      <c r="FE5" s="131"/>
      <c r="FF5" s="131"/>
      <c r="FG5" s="131"/>
      <c r="FH5" s="131"/>
      <c r="FI5" s="131"/>
      <c r="FJ5" s="131"/>
      <c r="FK5" s="131"/>
      <c r="FL5" s="131"/>
      <c r="FM5" s="131"/>
      <c r="FN5" s="131"/>
      <c r="FO5" s="131"/>
      <c r="FP5" s="131"/>
      <c r="FQ5" s="131"/>
      <c r="FR5" s="131"/>
      <c r="FS5" s="131"/>
      <c r="FT5" s="131"/>
      <c r="FU5" s="131"/>
      <c r="FV5" s="131"/>
      <c r="FW5" s="131"/>
      <c r="FX5" s="131"/>
      <c r="FY5" s="131"/>
      <c r="FZ5" s="131"/>
      <c r="GA5" s="131"/>
      <c r="GB5" s="131"/>
      <c r="GC5" s="131"/>
      <c r="GD5" s="131"/>
      <c r="GE5" s="131"/>
      <c r="GF5" s="131"/>
      <c r="GG5" s="131"/>
      <c r="GH5" s="131"/>
      <c r="GI5" s="131"/>
      <c r="GJ5" s="131"/>
      <c r="GK5" s="131"/>
      <c r="GL5" s="131"/>
      <c r="GM5" s="131"/>
      <c r="GN5" s="131"/>
      <c r="GO5" s="131"/>
      <c r="GP5" s="131"/>
      <c r="GQ5" s="131"/>
      <c r="GR5" s="131"/>
      <c r="GS5" s="131"/>
      <c r="GT5" s="131"/>
      <c r="GU5" s="131"/>
      <c r="GV5" s="131"/>
      <c r="GW5" s="131"/>
      <c r="GX5" s="131"/>
      <c r="GY5" s="131"/>
      <c r="GZ5" s="131"/>
      <c r="HA5" s="131"/>
      <c r="HB5" s="131"/>
      <c r="HC5" s="131"/>
      <c r="HD5" s="131"/>
      <c r="HE5" s="131"/>
      <c r="HF5" s="131"/>
    </row>
    <row r="6" spans="1:214" s="18" customFormat="1" ht="15" customHeight="1">
      <c r="A6" s="17">
        <v>1</v>
      </c>
      <c r="B6" s="16">
        <v>2</v>
      </c>
      <c r="C6" s="16">
        <v>3</v>
      </c>
      <c r="D6" s="17">
        <v>4</v>
      </c>
      <c r="E6" s="17">
        <v>5</v>
      </c>
      <c r="F6" s="17">
        <v>6</v>
      </c>
      <c r="G6" s="16">
        <v>7</v>
      </c>
      <c r="H6" s="16">
        <v>8</v>
      </c>
      <c r="I6" s="16">
        <v>9</v>
      </c>
      <c r="J6" s="16">
        <v>10</v>
      </c>
      <c r="K6" s="16">
        <v>11</v>
      </c>
      <c r="L6" s="16">
        <v>12</v>
      </c>
      <c r="M6" s="16">
        <v>13</v>
      </c>
      <c r="N6" s="16">
        <v>14</v>
      </c>
      <c r="O6" s="16">
        <v>15</v>
      </c>
      <c r="P6" s="17">
        <v>16</v>
      </c>
    </row>
    <row r="7" spans="1:214" s="21" customFormat="1" ht="18.75" customHeight="1">
      <c r="A7" s="19" t="s">
        <v>9</v>
      </c>
      <c r="B7" s="216" t="s">
        <v>10</v>
      </c>
      <c r="C7" s="216"/>
      <c r="D7" s="216"/>
      <c r="E7" s="216"/>
      <c r="F7" s="20">
        <f t="shared" ref="F7:P8" si="0">SUM(F10,F23,F26)</f>
        <v>108649391</v>
      </c>
      <c r="G7" s="20">
        <f t="shared" si="0"/>
        <v>19599310</v>
      </c>
      <c r="H7" s="20">
        <f t="shared" si="0"/>
        <v>15061862</v>
      </c>
      <c r="I7" s="20">
        <f t="shared" si="0"/>
        <v>12867837</v>
      </c>
      <c r="J7" s="20">
        <f t="shared" si="0"/>
        <v>13191023</v>
      </c>
      <c r="K7" s="20">
        <f t="shared" si="0"/>
        <v>11460000</v>
      </c>
      <c r="L7" s="20">
        <f t="shared" si="0"/>
        <v>10030000</v>
      </c>
      <c r="M7" s="20">
        <f t="shared" si="0"/>
        <v>3500000</v>
      </c>
      <c r="N7" s="20">
        <f t="shared" si="0"/>
        <v>1050000</v>
      </c>
      <c r="O7" s="20">
        <f t="shared" si="0"/>
        <v>700000</v>
      </c>
      <c r="P7" s="20">
        <f t="shared" si="0"/>
        <v>87460032</v>
      </c>
    </row>
    <row r="8" spans="1:214" s="21" customFormat="1" ht="18.75" customHeight="1">
      <c r="A8" s="19" t="s">
        <v>11</v>
      </c>
      <c r="B8" s="216" t="s">
        <v>12</v>
      </c>
      <c r="C8" s="216"/>
      <c r="D8" s="216"/>
      <c r="E8" s="216"/>
      <c r="F8" s="20">
        <f t="shared" si="0"/>
        <v>11696876</v>
      </c>
      <c r="G8" s="20">
        <f>SUM(G11,G24,G27)</f>
        <v>3854423</v>
      </c>
      <c r="H8" s="20">
        <f t="shared" si="0"/>
        <v>2274681</v>
      </c>
      <c r="I8" s="20">
        <f t="shared" si="0"/>
        <v>1187837</v>
      </c>
      <c r="J8" s="20">
        <f t="shared" si="0"/>
        <v>903540</v>
      </c>
      <c r="K8" s="20">
        <f t="shared" si="0"/>
        <v>0</v>
      </c>
      <c r="L8" s="20">
        <f t="shared" si="0"/>
        <v>0</v>
      </c>
      <c r="M8" s="20">
        <f t="shared" si="0"/>
        <v>0</v>
      </c>
      <c r="N8" s="20">
        <f t="shared" si="0"/>
        <v>0</v>
      </c>
      <c r="O8" s="20">
        <f t="shared" si="0"/>
        <v>0</v>
      </c>
      <c r="P8" s="20">
        <f t="shared" si="0"/>
        <v>8220481</v>
      </c>
    </row>
    <row r="9" spans="1:214" s="21" customFormat="1" ht="18.75" customHeight="1">
      <c r="A9" s="19" t="s">
        <v>13</v>
      </c>
      <c r="B9" s="216" t="s">
        <v>14</v>
      </c>
      <c r="C9" s="216"/>
      <c r="D9" s="216"/>
      <c r="E9" s="216"/>
      <c r="F9" s="20">
        <f t="shared" ref="F9:P9" si="1">SUM(F21,F25,F32)</f>
        <v>96952515</v>
      </c>
      <c r="G9" s="20">
        <f t="shared" si="1"/>
        <v>15744887</v>
      </c>
      <c r="H9" s="20">
        <f>SUM(H21,H25,H32)</f>
        <v>12787181</v>
      </c>
      <c r="I9" s="20">
        <f t="shared" si="1"/>
        <v>11680000</v>
      </c>
      <c r="J9" s="20">
        <f t="shared" si="1"/>
        <v>12287483</v>
      </c>
      <c r="K9" s="20">
        <f t="shared" si="1"/>
        <v>11460000</v>
      </c>
      <c r="L9" s="20">
        <f t="shared" si="1"/>
        <v>10030000</v>
      </c>
      <c r="M9" s="20">
        <f t="shared" si="1"/>
        <v>3500000</v>
      </c>
      <c r="N9" s="20">
        <f t="shared" si="1"/>
        <v>1050000</v>
      </c>
      <c r="O9" s="20">
        <f t="shared" si="1"/>
        <v>700000</v>
      </c>
      <c r="P9" s="20">
        <f t="shared" si="1"/>
        <v>79239551</v>
      </c>
    </row>
    <row r="10" spans="1:214" s="23" customFormat="1" ht="48.75" customHeight="1">
      <c r="A10" s="19" t="s">
        <v>15</v>
      </c>
      <c r="B10" s="216" t="s">
        <v>121</v>
      </c>
      <c r="C10" s="216"/>
      <c r="D10" s="216"/>
      <c r="E10" s="216"/>
      <c r="F10" s="22">
        <f>SUM(F11,F21)</f>
        <v>7225446</v>
      </c>
      <c r="G10" s="22">
        <f t="shared" ref="G10:P10" si="2">SUM(G11,G21)</f>
        <v>3331245</v>
      </c>
      <c r="H10" s="22">
        <f t="shared" si="2"/>
        <v>903525</v>
      </c>
      <c r="I10" s="22">
        <f t="shared" si="2"/>
        <v>118896</v>
      </c>
      <c r="J10" s="22">
        <f t="shared" si="2"/>
        <v>0</v>
      </c>
      <c r="K10" s="22">
        <f t="shared" si="2"/>
        <v>0</v>
      </c>
      <c r="L10" s="22">
        <f t="shared" si="2"/>
        <v>0</v>
      </c>
      <c r="M10" s="22">
        <f t="shared" si="2"/>
        <v>0</v>
      </c>
      <c r="N10" s="22">
        <f t="shared" si="2"/>
        <v>0</v>
      </c>
      <c r="O10" s="22">
        <f t="shared" si="2"/>
        <v>0</v>
      </c>
      <c r="P10" s="22">
        <f t="shared" si="2"/>
        <v>4353666</v>
      </c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  <c r="BM10" s="132"/>
      <c r="BN10" s="132"/>
      <c r="BO10" s="132"/>
      <c r="BP10" s="132"/>
      <c r="BQ10" s="132"/>
      <c r="BR10" s="132"/>
      <c r="BS10" s="132"/>
      <c r="BT10" s="132"/>
      <c r="BU10" s="132"/>
      <c r="BV10" s="132"/>
      <c r="BW10" s="132"/>
      <c r="BX10" s="132"/>
      <c r="BY10" s="132"/>
      <c r="BZ10" s="132"/>
      <c r="CA10" s="132"/>
      <c r="CB10" s="132"/>
      <c r="CC10" s="132"/>
      <c r="CD10" s="132"/>
      <c r="CE10" s="132"/>
      <c r="CF10" s="132"/>
      <c r="CG10" s="132"/>
      <c r="CH10" s="132"/>
      <c r="CI10" s="132"/>
      <c r="CJ10" s="132"/>
      <c r="CK10" s="132"/>
      <c r="CL10" s="132"/>
      <c r="CM10" s="132"/>
      <c r="CN10" s="132"/>
      <c r="CO10" s="132"/>
      <c r="CP10" s="132"/>
      <c r="CQ10" s="132"/>
      <c r="CR10" s="132"/>
      <c r="CS10" s="132"/>
      <c r="CT10" s="132"/>
      <c r="CU10" s="132"/>
      <c r="CV10" s="132"/>
      <c r="CW10" s="132"/>
      <c r="CX10" s="132"/>
      <c r="CY10" s="132"/>
      <c r="CZ10" s="132"/>
      <c r="DA10" s="132"/>
      <c r="DB10" s="132"/>
      <c r="DC10" s="132"/>
      <c r="DD10" s="132"/>
      <c r="DE10" s="132"/>
      <c r="DF10" s="132"/>
      <c r="DG10" s="132"/>
      <c r="DH10" s="132"/>
      <c r="DI10" s="132"/>
      <c r="DJ10" s="132"/>
      <c r="DK10" s="132"/>
      <c r="DL10" s="132"/>
      <c r="DM10" s="132"/>
      <c r="DN10" s="132"/>
      <c r="DO10" s="132"/>
      <c r="DP10" s="132"/>
      <c r="DQ10" s="132"/>
      <c r="DR10" s="132"/>
      <c r="DS10" s="132"/>
      <c r="DT10" s="132"/>
      <c r="DU10" s="132"/>
      <c r="DV10" s="132"/>
      <c r="DW10" s="132"/>
      <c r="DX10" s="132"/>
      <c r="DY10" s="132"/>
      <c r="DZ10" s="132"/>
      <c r="EA10" s="132"/>
      <c r="EB10" s="132"/>
      <c r="EC10" s="132"/>
      <c r="ED10" s="132"/>
      <c r="EE10" s="132"/>
      <c r="EF10" s="132"/>
      <c r="EG10" s="132"/>
      <c r="EH10" s="132"/>
      <c r="EI10" s="132"/>
      <c r="EJ10" s="132"/>
      <c r="EK10" s="132"/>
      <c r="EL10" s="132"/>
      <c r="EM10" s="132"/>
      <c r="EN10" s="132"/>
      <c r="EO10" s="132"/>
      <c r="EP10" s="132"/>
      <c r="EQ10" s="132"/>
      <c r="ER10" s="132"/>
      <c r="ES10" s="132"/>
      <c r="ET10" s="132"/>
      <c r="EU10" s="132"/>
      <c r="EV10" s="132"/>
      <c r="EW10" s="132"/>
      <c r="EX10" s="132"/>
      <c r="EY10" s="132"/>
      <c r="EZ10" s="132"/>
      <c r="FA10" s="132"/>
      <c r="FB10" s="132"/>
      <c r="FC10" s="132"/>
      <c r="FD10" s="132"/>
      <c r="FE10" s="132"/>
      <c r="FF10" s="132"/>
      <c r="FG10" s="132"/>
      <c r="FH10" s="132"/>
      <c r="FI10" s="132"/>
      <c r="FJ10" s="132"/>
      <c r="FK10" s="132"/>
      <c r="FL10" s="132"/>
      <c r="FM10" s="132"/>
      <c r="FN10" s="132"/>
      <c r="FO10" s="132"/>
      <c r="FP10" s="132"/>
      <c r="FQ10" s="132"/>
      <c r="FR10" s="132"/>
      <c r="FS10" s="132"/>
      <c r="FT10" s="132"/>
      <c r="FU10" s="132"/>
      <c r="FV10" s="132"/>
      <c r="FW10" s="132"/>
      <c r="FX10" s="132"/>
      <c r="FY10" s="132"/>
      <c r="FZ10" s="132"/>
      <c r="GA10" s="132"/>
      <c r="GB10" s="132"/>
      <c r="GC10" s="132"/>
      <c r="GD10" s="132"/>
      <c r="GE10" s="132"/>
      <c r="GF10" s="132"/>
      <c r="GG10" s="132"/>
      <c r="GH10" s="132"/>
      <c r="GI10" s="132"/>
      <c r="GJ10" s="132"/>
      <c r="GK10" s="132"/>
      <c r="GL10" s="132"/>
      <c r="GM10" s="132"/>
      <c r="GN10" s="132"/>
      <c r="GO10" s="132"/>
      <c r="GP10" s="132"/>
      <c r="GQ10" s="132"/>
      <c r="GR10" s="132"/>
      <c r="GS10" s="132"/>
      <c r="GT10" s="132"/>
      <c r="GU10" s="132"/>
      <c r="GV10" s="132"/>
      <c r="GW10" s="132"/>
      <c r="GX10" s="132"/>
      <c r="GY10" s="132"/>
      <c r="GZ10" s="132"/>
      <c r="HA10" s="132"/>
      <c r="HB10" s="132"/>
      <c r="HC10" s="132"/>
      <c r="HD10" s="132"/>
      <c r="HE10" s="132"/>
      <c r="HF10" s="132"/>
    </row>
    <row r="11" spans="1:214" s="21" customFormat="1" ht="18.75" customHeight="1">
      <c r="A11" s="19" t="s">
        <v>16</v>
      </c>
      <c r="B11" s="216" t="s">
        <v>12</v>
      </c>
      <c r="C11" s="216"/>
      <c r="D11" s="216"/>
      <c r="E11" s="216"/>
      <c r="F11" s="20">
        <f>SUM(F12:F20)</f>
        <v>6888150</v>
      </c>
      <c r="G11" s="20">
        <f>SUM(G12:G20)</f>
        <v>3323275</v>
      </c>
      <c r="H11" s="20">
        <f t="shared" ref="H11:O11" si="3">SUM(H12:H20)</f>
        <v>825744</v>
      </c>
      <c r="I11" s="20">
        <f t="shared" si="3"/>
        <v>118896</v>
      </c>
      <c r="J11" s="20">
        <f t="shared" si="3"/>
        <v>0</v>
      </c>
      <c r="K11" s="20">
        <f t="shared" si="3"/>
        <v>0</v>
      </c>
      <c r="L11" s="20">
        <f t="shared" si="3"/>
        <v>0</v>
      </c>
      <c r="M11" s="20">
        <f t="shared" si="3"/>
        <v>0</v>
      </c>
      <c r="N11" s="20">
        <f t="shared" si="3"/>
        <v>0</v>
      </c>
      <c r="O11" s="20">
        <f t="shared" si="3"/>
        <v>0</v>
      </c>
      <c r="P11" s="20">
        <f>SUM(P12:P20)</f>
        <v>4267915</v>
      </c>
    </row>
    <row r="12" spans="1:214" s="36" customFormat="1" ht="42" customHeight="1">
      <c r="A12" s="26" t="s">
        <v>98</v>
      </c>
      <c r="B12" s="24" t="s">
        <v>22</v>
      </c>
      <c r="C12" s="25" t="s">
        <v>18</v>
      </c>
      <c r="D12" s="26">
        <v>2018</v>
      </c>
      <c r="E12" s="26">
        <v>2020</v>
      </c>
      <c r="F12" s="28">
        <v>643517</v>
      </c>
      <c r="G12" s="28">
        <f>134772+18286</f>
        <v>153058</v>
      </c>
      <c r="H12" s="28"/>
      <c r="I12" s="28"/>
      <c r="J12" s="28"/>
      <c r="K12" s="28"/>
      <c r="L12" s="28"/>
      <c r="M12" s="28"/>
      <c r="N12" s="28"/>
      <c r="O12" s="28"/>
      <c r="P12" s="27">
        <f t="shared" ref="P12:P20" si="4">SUM(G12:N12)</f>
        <v>153058</v>
      </c>
    </row>
    <row r="13" spans="1:214" s="36" customFormat="1" ht="42" customHeight="1">
      <c r="A13" s="26" t="s">
        <v>99</v>
      </c>
      <c r="B13" s="24" t="s">
        <v>105</v>
      </c>
      <c r="C13" s="25" t="s">
        <v>107</v>
      </c>
      <c r="D13" s="26">
        <v>2019</v>
      </c>
      <c r="E13" s="26">
        <v>2022</v>
      </c>
      <c r="F13" s="28">
        <v>805245</v>
      </c>
      <c r="G13" s="28">
        <f>109523+109087</f>
        <v>218610</v>
      </c>
      <c r="H13" s="28">
        <v>109536</v>
      </c>
      <c r="I13" s="28">
        <v>59275</v>
      </c>
      <c r="J13" s="28"/>
      <c r="K13" s="28"/>
      <c r="L13" s="28"/>
      <c r="M13" s="28"/>
      <c r="N13" s="28"/>
      <c r="O13" s="28"/>
      <c r="P13" s="27">
        <f t="shared" si="4"/>
        <v>387421</v>
      </c>
    </row>
    <row r="14" spans="1:214" s="36" customFormat="1" ht="42" customHeight="1">
      <c r="A14" s="26" t="s">
        <v>100</v>
      </c>
      <c r="B14" s="24" t="s">
        <v>106</v>
      </c>
      <c r="C14" s="25" t="s">
        <v>18</v>
      </c>
      <c r="D14" s="26">
        <v>2019</v>
      </c>
      <c r="E14" s="26">
        <v>2022</v>
      </c>
      <c r="F14" s="28">
        <v>830404</v>
      </c>
      <c r="G14" s="28">
        <f>186287+10578</f>
        <v>196865</v>
      </c>
      <c r="H14" s="28">
        <v>181624</v>
      </c>
      <c r="I14" s="28">
        <v>59621</v>
      </c>
      <c r="J14" s="28"/>
      <c r="K14" s="28"/>
      <c r="L14" s="28"/>
      <c r="M14" s="28"/>
      <c r="N14" s="28"/>
      <c r="O14" s="28"/>
      <c r="P14" s="27">
        <f t="shared" si="4"/>
        <v>438110</v>
      </c>
    </row>
    <row r="15" spans="1:214" s="30" customFormat="1" ht="42" customHeight="1">
      <c r="A15" s="26" t="s">
        <v>19</v>
      </c>
      <c r="B15" s="24" t="s">
        <v>198</v>
      </c>
      <c r="C15" s="25" t="s">
        <v>18</v>
      </c>
      <c r="D15" s="26">
        <v>2019</v>
      </c>
      <c r="E15" s="26">
        <v>2021</v>
      </c>
      <c r="F15" s="28">
        <v>641116</v>
      </c>
      <c r="G15" s="28">
        <v>507890</v>
      </c>
      <c r="H15" s="28">
        <v>133226</v>
      </c>
      <c r="I15" s="28"/>
      <c r="J15" s="28"/>
      <c r="K15" s="28"/>
      <c r="L15" s="28"/>
      <c r="M15" s="28"/>
      <c r="N15" s="28"/>
      <c r="O15" s="28"/>
      <c r="P15" s="29">
        <f t="shared" si="4"/>
        <v>641116</v>
      </c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  <c r="HA15" s="36"/>
      <c r="HB15" s="36"/>
      <c r="HC15" s="36"/>
      <c r="HD15" s="36"/>
      <c r="HE15" s="36"/>
      <c r="HF15" s="36"/>
    </row>
    <row r="16" spans="1:214" s="30" customFormat="1" ht="42" customHeight="1">
      <c r="A16" s="26" t="s">
        <v>20</v>
      </c>
      <c r="B16" s="31" t="s">
        <v>217</v>
      </c>
      <c r="C16" s="25" t="s">
        <v>18</v>
      </c>
      <c r="D16" s="32">
        <v>2020</v>
      </c>
      <c r="E16" s="32">
        <v>2021</v>
      </c>
      <c r="F16" s="33">
        <v>256153</v>
      </c>
      <c r="G16" s="33">
        <v>204922</v>
      </c>
      <c r="H16" s="33">
        <v>51231</v>
      </c>
      <c r="I16" s="33"/>
      <c r="J16" s="33"/>
      <c r="K16" s="33"/>
      <c r="L16" s="33"/>
      <c r="M16" s="33"/>
      <c r="N16" s="33"/>
      <c r="O16" s="33"/>
      <c r="P16" s="34">
        <f t="shared" si="4"/>
        <v>256153</v>
      </c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36"/>
      <c r="GX16" s="36"/>
      <c r="GY16" s="36"/>
      <c r="GZ16" s="36"/>
      <c r="HA16" s="36"/>
      <c r="HB16" s="36"/>
      <c r="HC16" s="36"/>
      <c r="HD16" s="36"/>
      <c r="HE16" s="36"/>
      <c r="HF16" s="36"/>
    </row>
    <row r="17" spans="1:214" s="36" customFormat="1" ht="47.25" customHeight="1">
      <c r="A17" s="26" t="s">
        <v>101</v>
      </c>
      <c r="B17" s="94" t="s">
        <v>340</v>
      </c>
      <c r="C17" s="95" t="s">
        <v>341</v>
      </c>
      <c r="D17" s="76">
        <v>2020</v>
      </c>
      <c r="E17" s="76">
        <v>2021</v>
      </c>
      <c r="F17" s="97">
        <v>132789</v>
      </c>
      <c r="G17" s="97">
        <v>104925</v>
      </c>
      <c r="H17" s="97">
        <v>27864</v>
      </c>
      <c r="I17" s="97"/>
      <c r="J17" s="97"/>
      <c r="K17" s="97"/>
      <c r="L17" s="97"/>
      <c r="M17" s="97"/>
      <c r="N17" s="97"/>
      <c r="O17" s="97"/>
      <c r="P17" s="96">
        <f t="shared" si="4"/>
        <v>132789</v>
      </c>
    </row>
    <row r="18" spans="1:214" s="36" customFormat="1" ht="52.5" customHeight="1">
      <c r="A18" s="26" t="s">
        <v>103</v>
      </c>
      <c r="B18" s="24" t="s">
        <v>21</v>
      </c>
      <c r="C18" s="25" t="s">
        <v>17</v>
      </c>
      <c r="D18" s="26">
        <v>2018</v>
      </c>
      <c r="E18" s="26">
        <v>2020</v>
      </c>
      <c r="F18" s="28">
        <f>2794923+2</f>
        <v>2794925</v>
      </c>
      <c r="G18" s="28">
        <f>1197543+17358-19512+314033</f>
        <v>1509422</v>
      </c>
      <c r="H18" s="28"/>
      <c r="I18" s="28"/>
      <c r="J18" s="28"/>
      <c r="K18" s="28"/>
      <c r="L18" s="28"/>
      <c r="M18" s="28"/>
      <c r="N18" s="28"/>
      <c r="O18" s="28"/>
      <c r="P18" s="28">
        <f t="shared" si="4"/>
        <v>1509422</v>
      </c>
    </row>
    <row r="19" spans="1:214" s="36" customFormat="1" ht="68.25" customHeight="1">
      <c r="A19" s="26" t="s">
        <v>104</v>
      </c>
      <c r="B19" s="24" t="s">
        <v>348</v>
      </c>
      <c r="C19" s="25" t="s">
        <v>17</v>
      </c>
      <c r="D19" s="26">
        <v>2021</v>
      </c>
      <c r="E19" s="26">
        <v>2023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/>
      <c r="L19" s="28"/>
      <c r="M19" s="28"/>
      <c r="N19" s="28"/>
      <c r="O19" s="28"/>
      <c r="P19" s="27">
        <f>SUM(G19:N19)</f>
        <v>0</v>
      </c>
    </row>
    <row r="20" spans="1:214" s="36" customFormat="1" ht="42.75" customHeight="1">
      <c r="A20" s="26" t="s">
        <v>339</v>
      </c>
      <c r="B20" s="24" t="s">
        <v>116</v>
      </c>
      <c r="C20" s="25" t="s">
        <v>17</v>
      </c>
      <c r="D20" s="26">
        <v>2019</v>
      </c>
      <c r="E20" s="26">
        <v>2021</v>
      </c>
      <c r="F20" s="28">
        <f>784000+1</f>
        <v>784001</v>
      </c>
      <c r="G20" s="28">
        <f>424712+2871</f>
        <v>427583</v>
      </c>
      <c r="H20" s="28">
        <v>322263</v>
      </c>
      <c r="I20" s="28"/>
      <c r="J20" s="28"/>
      <c r="K20" s="28"/>
      <c r="L20" s="28"/>
      <c r="M20" s="28"/>
      <c r="N20" s="28"/>
      <c r="O20" s="28"/>
      <c r="P20" s="28">
        <f t="shared" si="4"/>
        <v>749846</v>
      </c>
    </row>
    <row r="21" spans="1:214" s="21" customFormat="1" ht="18.75" customHeight="1">
      <c r="A21" s="19" t="s">
        <v>23</v>
      </c>
      <c r="B21" s="213" t="s">
        <v>14</v>
      </c>
      <c r="C21" s="214"/>
      <c r="D21" s="214"/>
      <c r="E21" s="215"/>
      <c r="F21" s="20">
        <f>F22</f>
        <v>337296</v>
      </c>
      <c r="G21" s="20">
        <f t="shared" ref="G21:P21" si="5">G22</f>
        <v>7970</v>
      </c>
      <c r="H21" s="20">
        <f t="shared" si="5"/>
        <v>77781</v>
      </c>
      <c r="I21" s="20">
        <f t="shared" si="5"/>
        <v>0</v>
      </c>
      <c r="J21" s="20">
        <f t="shared" si="5"/>
        <v>0</v>
      </c>
      <c r="K21" s="20">
        <f t="shared" si="5"/>
        <v>0</v>
      </c>
      <c r="L21" s="20">
        <f t="shared" si="5"/>
        <v>0</v>
      </c>
      <c r="M21" s="20">
        <f t="shared" si="5"/>
        <v>0</v>
      </c>
      <c r="N21" s="20">
        <f t="shared" si="5"/>
        <v>0</v>
      </c>
      <c r="O21" s="20">
        <f t="shared" si="5"/>
        <v>0</v>
      </c>
      <c r="P21" s="20">
        <f t="shared" si="5"/>
        <v>85751</v>
      </c>
      <c r="Q21" s="37"/>
    </row>
    <row r="22" spans="1:214" s="99" customFormat="1" ht="53.25" customHeight="1">
      <c r="A22" s="115" t="s">
        <v>346</v>
      </c>
      <c r="B22" s="118" t="s">
        <v>350</v>
      </c>
      <c r="C22" s="116" t="s">
        <v>24</v>
      </c>
      <c r="D22" s="116">
        <v>2016</v>
      </c>
      <c r="E22" s="116">
        <v>2021</v>
      </c>
      <c r="F22" s="117">
        <f>322117+15179</f>
        <v>337296</v>
      </c>
      <c r="G22" s="117">
        <f>22770-14800</f>
        <v>7970</v>
      </c>
      <c r="H22" s="117">
        <f>47802+29979</f>
        <v>77781</v>
      </c>
      <c r="I22" s="117"/>
      <c r="J22" s="117"/>
      <c r="K22" s="117"/>
      <c r="L22" s="117"/>
      <c r="M22" s="117"/>
      <c r="N22" s="117"/>
      <c r="O22" s="117"/>
      <c r="P22" s="117">
        <f>SUM(G22:O22)</f>
        <v>85751</v>
      </c>
      <c r="Q22" s="100"/>
    </row>
    <row r="23" spans="1:214" s="23" customFormat="1" ht="33.75" customHeight="1">
      <c r="A23" s="19" t="s">
        <v>25</v>
      </c>
      <c r="B23" s="213" t="s">
        <v>26</v>
      </c>
      <c r="C23" s="214"/>
      <c r="D23" s="214"/>
      <c r="E23" s="215"/>
      <c r="F23" s="106">
        <f t="shared" ref="F23:P23" si="6">SUM(F24:F25)</f>
        <v>0</v>
      </c>
      <c r="G23" s="22">
        <f>SUM(G24:G25)</f>
        <v>0</v>
      </c>
      <c r="H23" s="22">
        <f t="shared" si="6"/>
        <v>0</v>
      </c>
      <c r="I23" s="22">
        <f t="shared" si="6"/>
        <v>0</v>
      </c>
      <c r="J23" s="22">
        <f t="shared" si="6"/>
        <v>0</v>
      </c>
      <c r="K23" s="22">
        <f t="shared" si="6"/>
        <v>0</v>
      </c>
      <c r="L23" s="22">
        <f t="shared" si="6"/>
        <v>0</v>
      </c>
      <c r="M23" s="22">
        <f t="shared" si="6"/>
        <v>0</v>
      </c>
      <c r="N23" s="22">
        <f t="shared" si="6"/>
        <v>0</v>
      </c>
      <c r="O23" s="22">
        <f t="shared" si="6"/>
        <v>0</v>
      </c>
      <c r="P23" s="22">
        <f t="shared" si="6"/>
        <v>0</v>
      </c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/>
      <c r="AQ23" s="132"/>
      <c r="AR23" s="132"/>
      <c r="AS23" s="132"/>
      <c r="AT23" s="132"/>
      <c r="AU23" s="132"/>
      <c r="AV23" s="132"/>
      <c r="AW23" s="132"/>
      <c r="AX23" s="132"/>
      <c r="AY23" s="132"/>
      <c r="AZ23" s="132"/>
      <c r="BA23" s="132"/>
      <c r="BB23" s="132"/>
      <c r="BC23" s="132"/>
      <c r="BD23" s="132"/>
      <c r="BE23" s="132"/>
      <c r="BF23" s="132"/>
      <c r="BG23" s="132"/>
      <c r="BH23" s="132"/>
      <c r="BI23" s="132"/>
      <c r="BJ23" s="132"/>
      <c r="BK23" s="132"/>
      <c r="BL23" s="132"/>
      <c r="BM23" s="132"/>
      <c r="BN23" s="132"/>
      <c r="BO23" s="132"/>
      <c r="BP23" s="132"/>
      <c r="BQ23" s="132"/>
      <c r="BR23" s="132"/>
      <c r="BS23" s="132"/>
      <c r="BT23" s="132"/>
      <c r="BU23" s="132"/>
      <c r="BV23" s="132"/>
      <c r="BW23" s="132"/>
      <c r="BX23" s="132"/>
      <c r="BY23" s="132"/>
      <c r="BZ23" s="132"/>
      <c r="CA23" s="132"/>
      <c r="CB23" s="132"/>
      <c r="CC23" s="132"/>
      <c r="CD23" s="132"/>
      <c r="CE23" s="132"/>
      <c r="CF23" s="132"/>
      <c r="CG23" s="132"/>
      <c r="CH23" s="132"/>
      <c r="CI23" s="132"/>
      <c r="CJ23" s="132"/>
      <c r="CK23" s="132"/>
      <c r="CL23" s="132"/>
      <c r="CM23" s="132"/>
      <c r="CN23" s="132"/>
      <c r="CO23" s="132"/>
      <c r="CP23" s="132"/>
      <c r="CQ23" s="132"/>
      <c r="CR23" s="132"/>
      <c r="CS23" s="132"/>
      <c r="CT23" s="132"/>
      <c r="CU23" s="132"/>
      <c r="CV23" s="132"/>
      <c r="CW23" s="132"/>
      <c r="CX23" s="132"/>
      <c r="CY23" s="132"/>
      <c r="CZ23" s="132"/>
      <c r="DA23" s="132"/>
      <c r="DB23" s="132"/>
      <c r="DC23" s="132"/>
      <c r="DD23" s="132"/>
      <c r="DE23" s="132"/>
      <c r="DF23" s="132"/>
      <c r="DG23" s="132"/>
      <c r="DH23" s="132"/>
      <c r="DI23" s="132"/>
      <c r="DJ23" s="132"/>
      <c r="DK23" s="132"/>
      <c r="DL23" s="132"/>
      <c r="DM23" s="132"/>
      <c r="DN23" s="132"/>
      <c r="DO23" s="132"/>
      <c r="DP23" s="132"/>
      <c r="DQ23" s="132"/>
      <c r="DR23" s="132"/>
      <c r="DS23" s="132"/>
      <c r="DT23" s="132"/>
      <c r="DU23" s="132"/>
      <c r="DV23" s="132"/>
      <c r="DW23" s="132"/>
      <c r="DX23" s="132"/>
      <c r="DY23" s="132"/>
      <c r="DZ23" s="132"/>
      <c r="EA23" s="132"/>
      <c r="EB23" s="132"/>
      <c r="EC23" s="132"/>
      <c r="ED23" s="132"/>
      <c r="EE23" s="132"/>
      <c r="EF23" s="132"/>
      <c r="EG23" s="132"/>
      <c r="EH23" s="132"/>
      <c r="EI23" s="132"/>
      <c r="EJ23" s="132"/>
      <c r="EK23" s="132"/>
      <c r="EL23" s="132"/>
      <c r="EM23" s="132"/>
      <c r="EN23" s="132"/>
      <c r="EO23" s="132"/>
      <c r="EP23" s="132"/>
      <c r="EQ23" s="132"/>
      <c r="ER23" s="132"/>
      <c r="ES23" s="132"/>
      <c r="ET23" s="132"/>
      <c r="EU23" s="132"/>
      <c r="EV23" s="132"/>
      <c r="EW23" s="132"/>
      <c r="EX23" s="132"/>
      <c r="EY23" s="132"/>
      <c r="EZ23" s="132"/>
      <c r="FA23" s="132"/>
      <c r="FB23" s="132"/>
      <c r="FC23" s="132"/>
      <c r="FD23" s="132"/>
      <c r="FE23" s="132"/>
      <c r="FF23" s="132"/>
      <c r="FG23" s="132"/>
      <c r="FH23" s="132"/>
      <c r="FI23" s="132"/>
      <c r="FJ23" s="132"/>
      <c r="FK23" s="132"/>
      <c r="FL23" s="132"/>
      <c r="FM23" s="132"/>
      <c r="FN23" s="132"/>
      <c r="FO23" s="132"/>
      <c r="FP23" s="132"/>
      <c r="FQ23" s="132"/>
      <c r="FR23" s="132"/>
      <c r="FS23" s="132"/>
      <c r="FT23" s="132"/>
      <c r="FU23" s="132"/>
      <c r="FV23" s="132"/>
      <c r="FW23" s="132"/>
      <c r="FX23" s="132"/>
      <c r="FY23" s="132"/>
      <c r="FZ23" s="132"/>
      <c r="GA23" s="132"/>
      <c r="GB23" s="132"/>
      <c r="GC23" s="132"/>
      <c r="GD23" s="132"/>
      <c r="GE23" s="132"/>
      <c r="GF23" s="132"/>
      <c r="GG23" s="132"/>
      <c r="GH23" s="132"/>
      <c r="GI23" s="132"/>
      <c r="GJ23" s="132"/>
      <c r="GK23" s="132"/>
      <c r="GL23" s="132"/>
      <c r="GM23" s="132"/>
      <c r="GN23" s="132"/>
      <c r="GO23" s="132"/>
      <c r="GP23" s="132"/>
      <c r="GQ23" s="132"/>
      <c r="GR23" s="132"/>
      <c r="GS23" s="132"/>
      <c r="GT23" s="132"/>
      <c r="GU23" s="132"/>
      <c r="GV23" s="132"/>
      <c r="GW23" s="132"/>
      <c r="GX23" s="132"/>
      <c r="GY23" s="132"/>
      <c r="GZ23" s="132"/>
      <c r="HA23" s="132"/>
      <c r="HB23" s="132"/>
      <c r="HC23" s="132"/>
      <c r="HD23" s="132"/>
      <c r="HE23" s="132"/>
      <c r="HF23" s="132"/>
    </row>
    <row r="24" spans="1:214" s="23" customFormat="1" ht="18.75" customHeight="1">
      <c r="A24" s="19" t="s">
        <v>27</v>
      </c>
      <c r="B24" s="213" t="s">
        <v>12</v>
      </c>
      <c r="C24" s="214"/>
      <c r="D24" s="214"/>
      <c r="E24" s="215"/>
      <c r="F24" s="106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2"/>
      <c r="AO24" s="132"/>
      <c r="AP24" s="132"/>
      <c r="AQ24" s="132"/>
      <c r="AR24" s="132"/>
      <c r="AS24" s="132"/>
      <c r="AT24" s="132"/>
      <c r="AU24" s="132"/>
      <c r="AV24" s="132"/>
      <c r="AW24" s="132"/>
      <c r="AX24" s="132"/>
      <c r="AY24" s="132"/>
      <c r="AZ24" s="132"/>
      <c r="BA24" s="132"/>
      <c r="BB24" s="132"/>
      <c r="BC24" s="132"/>
      <c r="BD24" s="132"/>
      <c r="BE24" s="132"/>
      <c r="BF24" s="132"/>
      <c r="BG24" s="132"/>
      <c r="BH24" s="132"/>
      <c r="BI24" s="132"/>
      <c r="BJ24" s="132"/>
      <c r="BK24" s="132"/>
      <c r="BL24" s="132"/>
      <c r="BM24" s="132"/>
      <c r="BN24" s="132"/>
      <c r="BO24" s="132"/>
      <c r="BP24" s="132"/>
      <c r="BQ24" s="132"/>
      <c r="BR24" s="132"/>
      <c r="BS24" s="132"/>
      <c r="BT24" s="132"/>
      <c r="BU24" s="132"/>
      <c r="BV24" s="132"/>
      <c r="BW24" s="132"/>
      <c r="BX24" s="132"/>
      <c r="BY24" s="132"/>
      <c r="BZ24" s="132"/>
      <c r="CA24" s="132"/>
      <c r="CB24" s="132"/>
      <c r="CC24" s="132"/>
      <c r="CD24" s="132"/>
      <c r="CE24" s="132"/>
      <c r="CF24" s="132"/>
      <c r="CG24" s="132"/>
      <c r="CH24" s="132"/>
      <c r="CI24" s="132"/>
      <c r="CJ24" s="132"/>
      <c r="CK24" s="132"/>
      <c r="CL24" s="132"/>
      <c r="CM24" s="132"/>
      <c r="CN24" s="132"/>
      <c r="CO24" s="132"/>
      <c r="CP24" s="132"/>
      <c r="CQ24" s="132"/>
      <c r="CR24" s="132"/>
      <c r="CS24" s="132"/>
      <c r="CT24" s="132"/>
      <c r="CU24" s="132"/>
      <c r="CV24" s="132"/>
      <c r="CW24" s="132"/>
      <c r="CX24" s="132"/>
      <c r="CY24" s="132"/>
      <c r="CZ24" s="132"/>
      <c r="DA24" s="132"/>
      <c r="DB24" s="132"/>
      <c r="DC24" s="132"/>
      <c r="DD24" s="132"/>
      <c r="DE24" s="132"/>
      <c r="DF24" s="132"/>
      <c r="DG24" s="132"/>
      <c r="DH24" s="132"/>
      <c r="DI24" s="132"/>
      <c r="DJ24" s="132"/>
      <c r="DK24" s="132"/>
      <c r="DL24" s="132"/>
      <c r="DM24" s="132"/>
      <c r="DN24" s="132"/>
      <c r="DO24" s="132"/>
      <c r="DP24" s="132"/>
      <c r="DQ24" s="132"/>
      <c r="DR24" s="132"/>
      <c r="DS24" s="132"/>
      <c r="DT24" s="132"/>
      <c r="DU24" s="132"/>
      <c r="DV24" s="132"/>
      <c r="DW24" s="132"/>
      <c r="DX24" s="132"/>
      <c r="DY24" s="132"/>
      <c r="DZ24" s="132"/>
      <c r="EA24" s="132"/>
      <c r="EB24" s="132"/>
      <c r="EC24" s="132"/>
      <c r="ED24" s="132"/>
      <c r="EE24" s="132"/>
      <c r="EF24" s="132"/>
      <c r="EG24" s="132"/>
      <c r="EH24" s="132"/>
      <c r="EI24" s="132"/>
      <c r="EJ24" s="132"/>
      <c r="EK24" s="132"/>
      <c r="EL24" s="132"/>
      <c r="EM24" s="132"/>
      <c r="EN24" s="132"/>
      <c r="EO24" s="132"/>
      <c r="EP24" s="132"/>
      <c r="EQ24" s="132"/>
      <c r="ER24" s="132"/>
      <c r="ES24" s="132"/>
      <c r="ET24" s="132"/>
      <c r="EU24" s="132"/>
      <c r="EV24" s="132"/>
      <c r="EW24" s="132"/>
      <c r="EX24" s="132"/>
      <c r="EY24" s="132"/>
      <c r="EZ24" s="132"/>
      <c r="FA24" s="132"/>
      <c r="FB24" s="132"/>
      <c r="FC24" s="132"/>
      <c r="FD24" s="132"/>
      <c r="FE24" s="132"/>
      <c r="FF24" s="132"/>
      <c r="FG24" s="132"/>
      <c r="FH24" s="132"/>
      <c r="FI24" s="132"/>
      <c r="FJ24" s="132"/>
      <c r="FK24" s="132"/>
      <c r="FL24" s="132"/>
      <c r="FM24" s="132"/>
      <c r="FN24" s="132"/>
      <c r="FO24" s="132"/>
      <c r="FP24" s="132"/>
      <c r="FQ24" s="132"/>
      <c r="FR24" s="132"/>
      <c r="FS24" s="132"/>
      <c r="FT24" s="132"/>
      <c r="FU24" s="132"/>
      <c r="FV24" s="132"/>
      <c r="FW24" s="132"/>
      <c r="FX24" s="132"/>
      <c r="FY24" s="132"/>
      <c r="FZ24" s="132"/>
      <c r="GA24" s="132"/>
      <c r="GB24" s="132"/>
      <c r="GC24" s="132"/>
      <c r="GD24" s="132"/>
      <c r="GE24" s="132"/>
      <c r="GF24" s="132"/>
      <c r="GG24" s="132"/>
      <c r="GH24" s="132"/>
      <c r="GI24" s="132"/>
      <c r="GJ24" s="132"/>
      <c r="GK24" s="132"/>
      <c r="GL24" s="132"/>
      <c r="GM24" s="132"/>
      <c r="GN24" s="132"/>
      <c r="GO24" s="132"/>
      <c r="GP24" s="132"/>
      <c r="GQ24" s="132"/>
      <c r="GR24" s="132"/>
      <c r="GS24" s="132"/>
      <c r="GT24" s="132"/>
      <c r="GU24" s="132"/>
      <c r="GV24" s="132"/>
      <c r="GW24" s="132"/>
      <c r="GX24" s="132"/>
      <c r="GY24" s="132"/>
      <c r="GZ24" s="132"/>
      <c r="HA24" s="132"/>
      <c r="HB24" s="132"/>
      <c r="HC24" s="132"/>
      <c r="HD24" s="132"/>
      <c r="HE24" s="132"/>
      <c r="HF24" s="132"/>
    </row>
    <row r="25" spans="1:214" s="23" customFormat="1" ht="18.75" customHeight="1">
      <c r="A25" s="19" t="s">
        <v>28</v>
      </c>
      <c r="B25" s="213" t="s">
        <v>14</v>
      </c>
      <c r="C25" s="214"/>
      <c r="D25" s="214"/>
      <c r="E25" s="215"/>
      <c r="F25" s="106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  <c r="AP25" s="132"/>
      <c r="AQ25" s="132"/>
      <c r="AR25" s="132"/>
      <c r="AS25" s="132"/>
      <c r="AT25" s="132"/>
      <c r="AU25" s="132"/>
      <c r="AV25" s="132"/>
      <c r="AW25" s="132"/>
      <c r="AX25" s="132"/>
      <c r="AY25" s="132"/>
      <c r="AZ25" s="132"/>
      <c r="BA25" s="132"/>
      <c r="BB25" s="132"/>
      <c r="BC25" s="132"/>
      <c r="BD25" s="132"/>
      <c r="BE25" s="132"/>
      <c r="BF25" s="132"/>
      <c r="BG25" s="132"/>
      <c r="BH25" s="132"/>
      <c r="BI25" s="132"/>
      <c r="BJ25" s="132"/>
      <c r="BK25" s="132"/>
      <c r="BL25" s="132"/>
      <c r="BM25" s="132"/>
      <c r="BN25" s="132"/>
      <c r="BO25" s="132"/>
      <c r="BP25" s="132"/>
      <c r="BQ25" s="132"/>
      <c r="BR25" s="132"/>
      <c r="BS25" s="132"/>
      <c r="BT25" s="132"/>
      <c r="BU25" s="132"/>
      <c r="BV25" s="132"/>
      <c r="BW25" s="132"/>
      <c r="BX25" s="132"/>
      <c r="BY25" s="132"/>
      <c r="BZ25" s="132"/>
      <c r="CA25" s="132"/>
      <c r="CB25" s="132"/>
      <c r="CC25" s="132"/>
      <c r="CD25" s="132"/>
      <c r="CE25" s="132"/>
      <c r="CF25" s="132"/>
      <c r="CG25" s="132"/>
      <c r="CH25" s="132"/>
      <c r="CI25" s="132"/>
      <c r="CJ25" s="132"/>
      <c r="CK25" s="132"/>
      <c r="CL25" s="132"/>
      <c r="CM25" s="132"/>
      <c r="CN25" s="132"/>
      <c r="CO25" s="132"/>
      <c r="CP25" s="132"/>
      <c r="CQ25" s="132"/>
      <c r="CR25" s="132"/>
      <c r="CS25" s="132"/>
      <c r="CT25" s="132"/>
      <c r="CU25" s="132"/>
      <c r="CV25" s="132"/>
      <c r="CW25" s="132"/>
      <c r="CX25" s="132"/>
      <c r="CY25" s="132"/>
      <c r="CZ25" s="132"/>
      <c r="DA25" s="132"/>
      <c r="DB25" s="132"/>
      <c r="DC25" s="132"/>
      <c r="DD25" s="132"/>
      <c r="DE25" s="132"/>
      <c r="DF25" s="132"/>
      <c r="DG25" s="132"/>
      <c r="DH25" s="132"/>
      <c r="DI25" s="132"/>
      <c r="DJ25" s="132"/>
      <c r="DK25" s="132"/>
      <c r="DL25" s="132"/>
      <c r="DM25" s="132"/>
      <c r="DN25" s="132"/>
      <c r="DO25" s="132"/>
      <c r="DP25" s="132"/>
      <c r="DQ25" s="132"/>
      <c r="DR25" s="132"/>
      <c r="DS25" s="132"/>
      <c r="DT25" s="132"/>
      <c r="DU25" s="132"/>
      <c r="DV25" s="132"/>
      <c r="DW25" s="132"/>
      <c r="DX25" s="132"/>
      <c r="DY25" s="132"/>
      <c r="DZ25" s="132"/>
      <c r="EA25" s="132"/>
      <c r="EB25" s="132"/>
      <c r="EC25" s="132"/>
      <c r="ED25" s="132"/>
      <c r="EE25" s="132"/>
      <c r="EF25" s="132"/>
      <c r="EG25" s="132"/>
      <c r="EH25" s="132"/>
      <c r="EI25" s="132"/>
      <c r="EJ25" s="132"/>
      <c r="EK25" s="132"/>
      <c r="EL25" s="132"/>
      <c r="EM25" s="132"/>
      <c r="EN25" s="132"/>
      <c r="EO25" s="132"/>
      <c r="EP25" s="132"/>
      <c r="EQ25" s="132"/>
      <c r="ER25" s="132"/>
      <c r="ES25" s="132"/>
      <c r="ET25" s="132"/>
      <c r="EU25" s="132"/>
      <c r="EV25" s="132"/>
      <c r="EW25" s="132"/>
      <c r="EX25" s="132"/>
      <c r="EY25" s="132"/>
      <c r="EZ25" s="132"/>
      <c r="FA25" s="132"/>
      <c r="FB25" s="132"/>
      <c r="FC25" s="132"/>
      <c r="FD25" s="132"/>
      <c r="FE25" s="132"/>
      <c r="FF25" s="132"/>
      <c r="FG25" s="132"/>
      <c r="FH25" s="132"/>
      <c r="FI25" s="132"/>
      <c r="FJ25" s="132"/>
      <c r="FK25" s="132"/>
      <c r="FL25" s="132"/>
      <c r="FM25" s="132"/>
      <c r="FN25" s="132"/>
      <c r="FO25" s="132"/>
      <c r="FP25" s="132"/>
      <c r="FQ25" s="132"/>
      <c r="FR25" s="132"/>
      <c r="FS25" s="132"/>
      <c r="FT25" s="132"/>
      <c r="FU25" s="132"/>
      <c r="FV25" s="132"/>
      <c r="FW25" s="132"/>
      <c r="FX25" s="132"/>
      <c r="FY25" s="132"/>
      <c r="FZ25" s="132"/>
      <c r="GA25" s="132"/>
      <c r="GB25" s="132"/>
      <c r="GC25" s="132"/>
      <c r="GD25" s="132"/>
      <c r="GE25" s="132"/>
      <c r="GF25" s="132"/>
      <c r="GG25" s="132"/>
      <c r="GH25" s="132"/>
      <c r="GI25" s="132"/>
      <c r="GJ25" s="132"/>
      <c r="GK25" s="132"/>
      <c r="GL25" s="132"/>
      <c r="GM25" s="132"/>
      <c r="GN25" s="132"/>
      <c r="GO25" s="132"/>
      <c r="GP25" s="132"/>
      <c r="GQ25" s="132"/>
      <c r="GR25" s="132"/>
      <c r="GS25" s="132"/>
      <c r="GT25" s="132"/>
      <c r="GU25" s="132"/>
      <c r="GV25" s="132"/>
      <c r="GW25" s="132"/>
      <c r="GX25" s="132"/>
      <c r="GY25" s="132"/>
      <c r="GZ25" s="132"/>
      <c r="HA25" s="132"/>
      <c r="HB25" s="132"/>
      <c r="HC25" s="132"/>
      <c r="HD25" s="132"/>
      <c r="HE25" s="132"/>
      <c r="HF25" s="132"/>
    </row>
    <row r="26" spans="1:214" s="23" customFormat="1" ht="28.5" customHeight="1">
      <c r="A26" s="19" t="s">
        <v>29</v>
      </c>
      <c r="B26" s="213" t="s">
        <v>30</v>
      </c>
      <c r="C26" s="214"/>
      <c r="D26" s="214"/>
      <c r="E26" s="215"/>
      <c r="F26" s="22">
        <f>SUM(F27,F32)</f>
        <v>101423945</v>
      </c>
      <c r="G26" s="22">
        <f t="shared" ref="G26:P26" si="7">SUM(G27,G32)</f>
        <v>16268065</v>
      </c>
      <c r="H26" s="22">
        <f t="shared" si="7"/>
        <v>14158337</v>
      </c>
      <c r="I26" s="22">
        <f t="shared" si="7"/>
        <v>12748941</v>
      </c>
      <c r="J26" s="22">
        <f t="shared" si="7"/>
        <v>13191023</v>
      </c>
      <c r="K26" s="22">
        <f t="shared" si="7"/>
        <v>11460000</v>
      </c>
      <c r="L26" s="22">
        <f t="shared" si="7"/>
        <v>10030000</v>
      </c>
      <c r="M26" s="22">
        <f t="shared" si="7"/>
        <v>3500000</v>
      </c>
      <c r="N26" s="22">
        <f t="shared" si="7"/>
        <v>1050000</v>
      </c>
      <c r="O26" s="22">
        <f t="shared" si="7"/>
        <v>700000</v>
      </c>
      <c r="P26" s="22">
        <f t="shared" si="7"/>
        <v>83106366</v>
      </c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  <c r="AM26" s="132"/>
      <c r="AN26" s="132"/>
      <c r="AO26" s="132"/>
      <c r="AP26" s="132"/>
      <c r="AQ26" s="132"/>
      <c r="AR26" s="132"/>
      <c r="AS26" s="132"/>
      <c r="AT26" s="132"/>
      <c r="AU26" s="132"/>
      <c r="AV26" s="132"/>
      <c r="AW26" s="132"/>
      <c r="AX26" s="132"/>
      <c r="AY26" s="132"/>
      <c r="AZ26" s="132"/>
      <c r="BA26" s="132"/>
      <c r="BB26" s="132"/>
      <c r="BC26" s="132"/>
      <c r="BD26" s="132"/>
      <c r="BE26" s="132"/>
      <c r="BF26" s="132"/>
      <c r="BG26" s="132"/>
      <c r="BH26" s="132"/>
      <c r="BI26" s="132"/>
      <c r="BJ26" s="132"/>
      <c r="BK26" s="132"/>
      <c r="BL26" s="132"/>
      <c r="BM26" s="132"/>
      <c r="BN26" s="132"/>
      <c r="BO26" s="132"/>
      <c r="BP26" s="132"/>
      <c r="BQ26" s="132"/>
      <c r="BR26" s="132"/>
      <c r="BS26" s="132"/>
      <c r="BT26" s="132"/>
      <c r="BU26" s="132"/>
      <c r="BV26" s="132"/>
      <c r="BW26" s="132"/>
      <c r="BX26" s="132"/>
      <c r="BY26" s="132"/>
      <c r="BZ26" s="132"/>
      <c r="CA26" s="132"/>
      <c r="CB26" s="132"/>
      <c r="CC26" s="132"/>
      <c r="CD26" s="132"/>
      <c r="CE26" s="132"/>
      <c r="CF26" s="132"/>
      <c r="CG26" s="132"/>
      <c r="CH26" s="132"/>
      <c r="CI26" s="132"/>
      <c r="CJ26" s="132"/>
      <c r="CK26" s="132"/>
      <c r="CL26" s="132"/>
      <c r="CM26" s="132"/>
      <c r="CN26" s="132"/>
      <c r="CO26" s="132"/>
      <c r="CP26" s="132"/>
      <c r="CQ26" s="132"/>
      <c r="CR26" s="132"/>
      <c r="CS26" s="132"/>
      <c r="CT26" s="132"/>
      <c r="CU26" s="132"/>
      <c r="CV26" s="132"/>
      <c r="CW26" s="132"/>
      <c r="CX26" s="132"/>
      <c r="CY26" s="132"/>
      <c r="CZ26" s="132"/>
      <c r="DA26" s="132"/>
      <c r="DB26" s="132"/>
      <c r="DC26" s="132"/>
      <c r="DD26" s="132"/>
      <c r="DE26" s="132"/>
      <c r="DF26" s="132"/>
      <c r="DG26" s="132"/>
      <c r="DH26" s="132"/>
      <c r="DI26" s="132"/>
      <c r="DJ26" s="132"/>
      <c r="DK26" s="132"/>
      <c r="DL26" s="132"/>
      <c r="DM26" s="132"/>
      <c r="DN26" s="132"/>
      <c r="DO26" s="132"/>
      <c r="DP26" s="132"/>
      <c r="DQ26" s="132"/>
      <c r="DR26" s="132"/>
      <c r="DS26" s="132"/>
      <c r="DT26" s="132"/>
      <c r="DU26" s="132"/>
      <c r="DV26" s="132"/>
      <c r="DW26" s="132"/>
      <c r="DX26" s="132"/>
      <c r="DY26" s="132"/>
      <c r="DZ26" s="132"/>
      <c r="EA26" s="132"/>
      <c r="EB26" s="132"/>
      <c r="EC26" s="132"/>
      <c r="ED26" s="132"/>
      <c r="EE26" s="132"/>
      <c r="EF26" s="132"/>
      <c r="EG26" s="132"/>
      <c r="EH26" s="132"/>
      <c r="EI26" s="132"/>
      <c r="EJ26" s="132"/>
      <c r="EK26" s="132"/>
      <c r="EL26" s="132"/>
      <c r="EM26" s="132"/>
      <c r="EN26" s="132"/>
      <c r="EO26" s="132"/>
      <c r="EP26" s="132"/>
      <c r="EQ26" s="132"/>
      <c r="ER26" s="132"/>
      <c r="ES26" s="132"/>
      <c r="ET26" s="132"/>
      <c r="EU26" s="132"/>
      <c r="EV26" s="132"/>
      <c r="EW26" s="132"/>
      <c r="EX26" s="132"/>
      <c r="EY26" s="132"/>
      <c r="EZ26" s="132"/>
      <c r="FA26" s="132"/>
      <c r="FB26" s="132"/>
      <c r="FC26" s="132"/>
      <c r="FD26" s="132"/>
      <c r="FE26" s="132"/>
      <c r="FF26" s="132"/>
      <c r="FG26" s="132"/>
      <c r="FH26" s="132"/>
      <c r="FI26" s="132"/>
      <c r="FJ26" s="132"/>
      <c r="FK26" s="132"/>
      <c r="FL26" s="132"/>
      <c r="FM26" s="132"/>
      <c r="FN26" s="132"/>
      <c r="FO26" s="132"/>
      <c r="FP26" s="132"/>
      <c r="FQ26" s="132"/>
      <c r="FR26" s="132"/>
      <c r="FS26" s="132"/>
      <c r="FT26" s="132"/>
      <c r="FU26" s="132"/>
      <c r="FV26" s="132"/>
      <c r="FW26" s="132"/>
      <c r="FX26" s="132"/>
      <c r="FY26" s="132"/>
      <c r="FZ26" s="132"/>
      <c r="GA26" s="132"/>
      <c r="GB26" s="132"/>
      <c r="GC26" s="132"/>
      <c r="GD26" s="132"/>
      <c r="GE26" s="132"/>
      <c r="GF26" s="132"/>
      <c r="GG26" s="132"/>
      <c r="GH26" s="132"/>
      <c r="GI26" s="132"/>
      <c r="GJ26" s="132"/>
      <c r="GK26" s="132"/>
      <c r="GL26" s="132"/>
      <c r="GM26" s="132"/>
      <c r="GN26" s="132"/>
      <c r="GO26" s="132"/>
      <c r="GP26" s="132"/>
      <c r="GQ26" s="132"/>
      <c r="GR26" s="132"/>
      <c r="GS26" s="132"/>
      <c r="GT26" s="132"/>
      <c r="GU26" s="132"/>
      <c r="GV26" s="132"/>
      <c r="GW26" s="132"/>
      <c r="GX26" s="132"/>
      <c r="GY26" s="132"/>
      <c r="GZ26" s="132"/>
      <c r="HA26" s="132"/>
      <c r="HB26" s="132"/>
      <c r="HC26" s="132"/>
      <c r="HD26" s="132"/>
      <c r="HE26" s="132"/>
      <c r="HF26" s="132"/>
    </row>
    <row r="27" spans="1:214" s="23" customFormat="1" ht="18.75" customHeight="1">
      <c r="A27" s="19" t="s">
        <v>31</v>
      </c>
      <c r="B27" s="213" t="s">
        <v>12</v>
      </c>
      <c r="C27" s="214"/>
      <c r="D27" s="214"/>
      <c r="E27" s="215"/>
      <c r="F27" s="22">
        <f>SUM(F28:F31)</f>
        <v>4808726</v>
      </c>
      <c r="G27" s="22">
        <f t="shared" ref="G27:P27" si="8">SUM(G28:G31)</f>
        <v>531148</v>
      </c>
      <c r="H27" s="22">
        <f t="shared" si="8"/>
        <v>1448937</v>
      </c>
      <c r="I27" s="22">
        <f t="shared" si="8"/>
        <v>1068941</v>
      </c>
      <c r="J27" s="22">
        <f t="shared" si="8"/>
        <v>903540</v>
      </c>
      <c r="K27" s="22">
        <f t="shared" si="8"/>
        <v>0</v>
      </c>
      <c r="L27" s="22">
        <f t="shared" si="8"/>
        <v>0</v>
      </c>
      <c r="M27" s="22">
        <f t="shared" si="8"/>
        <v>0</v>
      </c>
      <c r="N27" s="22">
        <f t="shared" si="8"/>
        <v>0</v>
      </c>
      <c r="O27" s="22">
        <f t="shared" si="8"/>
        <v>0</v>
      </c>
      <c r="P27" s="22">
        <f t="shared" si="8"/>
        <v>3952566</v>
      </c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132"/>
      <c r="AM27" s="132"/>
      <c r="AN27" s="132"/>
      <c r="AO27" s="132"/>
      <c r="AP27" s="132"/>
      <c r="AQ27" s="132"/>
      <c r="AR27" s="132"/>
      <c r="AS27" s="132"/>
      <c r="AT27" s="132"/>
      <c r="AU27" s="132"/>
      <c r="AV27" s="132"/>
      <c r="AW27" s="132"/>
      <c r="AX27" s="132"/>
      <c r="AY27" s="132"/>
      <c r="AZ27" s="132"/>
      <c r="BA27" s="132"/>
      <c r="BB27" s="132"/>
      <c r="BC27" s="132"/>
      <c r="BD27" s="132"/>
      <c r="BE27" s="132"/>
      <c r="BF27" s="132"/>
      <c r="BG27" s="132"/>
      <c r="BH27" s="132"/>
      <c r="BI27" s="132"/>
      <c r="BJ27" s="132"/>
      <c r="BK27" s="132"/>
      <c r="BL27" s="132"/>
      <c r="BM27" s="132"/>
      <c r="BN27" s="132"/>
      <c r="BO27" s="132"/>
      <c r="BP27" s="132"/>
      <c r="BQ27" s="132"/>
      <c r="BR27" s="132"/>
      <c r="BS27" s="132"/>
      <c r="BT27" s="132"/>
      <c r="BU27" s="132"/>
      <c r="BV27" s="132"/>
      <c r="BW27" s="132"/>
      <c r="BX27" s="132"/>
      <c r="BY27" s="132"/>
      <c r="BZ27" s="132"/>
      <c r="CA27" s="132"/>
      <c r="CB27" s="132"/>
      <c r="CC27" s="132"/>
      <c r="CD27" s="132"/>
      <c r="CE27" s="132"/>
      <c r="CF27" s="132"/>
      <c r="CG27" s="132"/>
      <c r="CH27" s="132"/>
      <c r="CI27" s="132"/>
      <c r="CJ27" s="132"/>
      <c r="CK27" s="132"/>
      <c r="CL27" s="132"/>
      <c r="CM27" s="132"/>
      <c r="CN27" s="132"/>
      <c r="CO27" s="132"/>
      <c r="CP27" s="132"/>
      <c r="CQ27" s="132"/>
      <c r="CR27" s="132"/>
      <c r="CS27" s="132"/>
      <c r="CT27" s="132"/>
      <c r="CU27" s="132"/>
      <c r="CV27" s="132"/>
      <c r="CW27" s="132"/>
      <c r="CX27" s="132"/>
      <c r="CY27" s="132"/>
      <c r="CZ27" s="132"/>
      <c r="DA27" s="132"/>
      <c r="DB27" s="132"/>
      <c r="DC27" s="132"/>
      <c r="DD27" s="132"/>
      <c r="DE27" s="132"/>
      <c r="DF27" s="132"/>
      <c r="DG27" s="132"/>
      <c r="DH27" s="132"/>
      <c r="DI27" s="132"/>
      <c r="DJ27" s="132"/>
      <c r="DK27" s="132"/>
      <c r="DL27" s="132"/>
      <c r="DM27" s="132"/>
      <c r="DN27" s="132"/>
      <c r="DO27" s="132"/>
      <c r="DP27" s="132"/>
      <c r="DQ27" s="132"/>
      <c r="DR27" s="132"/>
      <c r="DS27" s="132"/>
      <c r="DT27" s="132"/>
      <c r="DU27" s="132"/>
      <c r="DV27" s="132"/>
      <c r="DW27" s="132"/>
      <c r="DX27" s="132"/>
      <c r="DY27" s="132"/>
      <c r="DZ27" s="132"/>
      <c r="EA27" s="132"/>
      <c r="EB27" s="132"/>
      <c r="EC27" s="132"/>
      <c r="ED27" s="132"/>
      <c r="EE27" s="132"/>
      <c r="EF27" s="132"/>
      <c r="EG27" s="132"/>
      <c r="EH27" s="132"/>
      <c r="EI27" s="132"/>
      <c r="EJ27" s="132"/>
      <c r="EK27" s="132"/>
      <c r="EL27" s="132"/>
      <c r="EM27" s="132"/>
      <c r="EN27" s="132"/>
      <c r="EO27" s="132"/>
      <c r="EP27" s="132"/>
      <c r="EQ27" s="132"/>
      <c r="ER27" s="132"/>
      <c r="ES27" s="132"/>
      <c r="ET27" s="132"/>
      <c r="EU27" s="132"/>
      <c r="EV27" s="132"/>
      <c r="EW27" s="132"/>
      <c r="EX27" s="132"/>
      <c r="EY27" s="132"/>
      <c r="EZ27" s="132"/>
      <c r="FA27" s="132"/>
      <c r="FB27" s="132"/>
      <c r="FC27" s="132"/>
      <c r="FD27" s="132"/>
      <c r="FE27" s="132"/>
      <c r="FF27" s="132"/>
      <c r="FG27" s="132"/>
      <c r="FH27" s="132"/>
      <c r="FI27" s="132"/>
      <c r="FJ27" s="132"/>
      <c r="FK27" s="132"/>
      <c r="FL27" s="132"/>
      <c r="FM27" s="132"/>
      <c r="FN27" s="132"/>
      <c r="FO27" s="132"/>
      <c r="FP27" s="132"/>
      <c r="FQ27" s="132"/>
      <c r="FR27" s="132"/>
      <c r="FS27" s="132"/>
      <c r="FT27" s="132"/>
      <c r="FU27" s="132"/>
      <c r="FV27" s="132"/>
      <c r="FW27" s="132"/>
      <c r="FX27" s="132"/>
      <c r="FY27" s="132"/>
      <c r="FZ27" s="132"/>
      <c r="GA27" s="132"/>
      <c r="GB27" s="132"/>
      <c r="GC27" s="132"/>
      <c r="GD27" s="132"/>
      <c r="GE27" s="132"/>
      <c r="GF27" s="132"/>
      <c r="GG27" s="132"/>
      <c r="GH27" s="132"/>
      <c r="GI27" s="132"/>
      <c r="GJ27" s="132"/>
      <c r="GK27" s="132"/>
      <c r="GL27" s="132"/>
      <c r="GM27" s="132"/>
      <c r="GN27" s="132"/>
      <c r="GO27" s="132"/>
      <c r="GP27" s="132"/>
      <c r="GQ27" s="132"/>
      <c r="GR27" s="132"/>
      <c r="GS27" s="132"/>
      <c r="GT27" s="132"/>
      <c r="GU27" s="132"/>
      <c r="GV27" s="132"/>
      <c r="GW27" s="132"/>
      <c r="GX27" s="132"/>
      <c r="GY27" s="132"/>
      <c r="GZ27" s="132"/>
      <c r="HA27" s="132"/>
      <c r="HB27" s="132"/>
      <c r="HC27" s="132"/>
      <c r="HD27" s="132"/>
      <c r="HE27" s="132"/>
      <c r="HF27" s="132"/>
    </row>
    <row r="28" spans="1:214" s="36" customFormat="1" ht="36" customHeight="1">
      <c r="A28" s="26" t="s">
        <v>32</v>
      </c>
      <c r="B28" s="24" t="s">
        <v>33</v>
      </c>
      <c r="C28" s="25" t="s">
        <v>24</v>
      </c>
      <c r="D28" s="26">
        <v>2017</v>
      </c>
      <c r="E28" s="26">
        <v>2022</v>
      </c>
      <c r="F28" s="28">
        <f>240000+5000+100000+105000+110000+50000+52500+55400</f>
        <v>717900</v>
      </c>
      <c r="G28" s="28">
        <f>100000+50000</f>
        <v>150000</v>
      </c>
      <c r="H28" s="28">
        <f>105000+52500</f>
        <v>157500</v>
      </c>
      <c r="I28" s="28">
        <f>110000+55400</f>
        <v>165400</v>
      </c>
      <c r="J28" s="28"/>
      <c r="K28" s="28"/>
      <c r="L28" s="28"/>
      <c r="M28" s="28"/>
      <c r="N28" s="28"/>
      <c r="O28" s="28"/>
      <c r="P28" s="27">
        <f>SUM(G28:N28)</f>
        <v>472900</v>
      </c>
    </row>
    <row r="29" spans="1:214" s="30" customFormat="1" ht="52.5" customHeight="1">
      <c r="A29" s="26" t="s">
        <v>34</v>
      </c>
      <c r="B29" s="24" t="s">
        <v>35</v>
      </c>
      <c r="C29" s="25" t="s">
        <v>36</v>
      </c>
      <c r="D29" s="26">
        <v>2017</v>
      </c>
      <c r="E29" s="26">
        <v>2021</v>
      </c>
      <c r="F29" s="28">
        <v>1359960</v>
      </c>
      <c r="G29" s="35">
        <v>374400</v>
      </c>
      <c r="H29" s="35">
        <v>374400</v>
      </c>
      <c r="I29" s="35"/>
      <c r="J29" s="35"/>
      <c r="K29" s="35"/>
      <c r="L29" s="35"/>
      <c r="M29" s="35"/>
      <c r="N29" s="35"/>
      <c r="O29" s="35"/>
      <c r="P29" s="29">
        <f>SUM(G29:N29)</f>
        <v>748800</v>
      </c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/>
      <c r="FK29" s="36"/>
      <c r="FL29" s="36"/>
      <c r="FM29" s="36"/>
      <c r="FN29" s="36"/>
      <c r="FO29" s="36"/>
      <c r="FP29" s="36"/>
      <c r="FQ29" s="36"/>
      <c r="FR29" s="36"/>
      <c r="FS29" s="36"/>
      <c r="FT29" s="36"/>
      <c r="FU29" s="36"/>
      <c r="FV29" s="36"/>
      <c r="FW29" s="36"/>
      <c r="FX29" s="36"/>
      <c r="FY29" s="36"/>
      <c r="FZ29" s="36"/>
      <c r="GA29" s="36"/>
      <c r="GB29" s="36"/>
      <c r="GC29" s="36"/>
      <c r="GD29" s="36"/>
      <c r="GE29" s="36"/>
      <c r="GF29" s="36"/>
      <c r="GG29" s="36"/>
      <c r="GH29" s="36"/>
      <c r="GI29" s="36"/>
      <c r="GJ29" s="36"/>
      <c r="GK29" s="36"/>
      <c r="GL29" s="36"/>
      <c r="GM29" s="36"/>
      <c r="GN29" s="36"/>
      <c r="GO29" s="36"/>
      <c r="GP29" s="36"/>
      <c r="GQ29" s="36"/>
      <c r="GR29" s="36"/>
      <c r="GS29" s="36"/>
      <c r="GT29" s="36"/>
      <c r="GU29" s="36"/>
      <c r="GV29" s="36"/>
      <c r="GW29" s="36"/>
      <c r="GX29" s="36"/>
      <c r="GY29" s="36"/>
      <c r="GZ29" s="36"/>
      <c r="HA29" s="36"/>
      <c r="HB29" s="36"/>
      <c r="HC29" s="36"/>
      <c r="HD29" s="36"/>
      <c r="HE29" s="36"/>
      <c r="HF29" s="36"/>
    </row>
    <row r="30" spans="1:214" s="36" customFormat="1" ht="70.5" customHeight="1">
      <c r="A30" s="26" t="s">
        <v>123</v>
      </c>
      <c r="B30" s="24" t="s">
        <v>124</v>
      </c>
      <c r="C30" s="25" t="s">
        <v>17</v>
      </c>
      <c r="D30" s="26">
        <v>2019</v>
      </c>
      <c r="E30" s="26">
        <v>2021</v>
      </c>
      <c r="F30" s="28">
        <v>20244</v>
      </c>
      <c r="G30" s="28">
        <v>6748</v>
      </c>
      <c r="H30" s="28">
        <f>6748+6748</f>
        <v>13496</v>
      </c>
      <c r="I30" s="28"/>
      <c r="J30" s="28"/>
      <c r="K30" s="28"/>
      <c r="L30" s="28"/>
      <c r="M30" s="28"/>
      <c r="N30" s="28"/>
      <c r="O30" s="28"/>
      <c r="P30" s="28">
        <f>SUM(G30:N30)</f>
        <v>20244</v>
      </c>
    </row>
    <row r="31" spans="1:214" s="36" customFormat="1" ht="70.5" customHeight="1">
      <c r="A31" s="26" t="s">
        <v>347</v>
      </c>
      <c r="B31" s="24" t="s">
        <v>348</v>
      </c>
      <c r="C31" s="25" t="s">
        <v>17</v>
      </c>
      <c r="D31" s="26">
        <v>2021</v>
      </c>
      <c r="E31" s="26">
        <v>2023</v>
      </c>
      <c r="F31" s="28">
        <v>2710622</v>
      </c>
      <c r="G31" s="28">
        <v>0</v>
      </c>
      <c r="H31" s="28">
        <v>903541</v>
      </c>
      <c r="I31" s="28">
        <v>903541</v>
      </c>
      <c r="J31" s="28">
        <v>903540</v>
      </c>
      <c r="K31" s="28"/>
      <c r="L31" s="28"/>
      <c r="M31" s="28"/>
      <c r="N31" s="28"/>
      <c r="O31" s="28"/>
      <c r="P31" s="27">
        <f>SUM(G31:N31)</f>
        <v>2710622</v>
      </c>
    </row>
    <row r="32" spans="1:214" s="23" customFormat="1" ht="27" customHeight="1">
      <c r="A32" s="19" t="s">
        <v>37</v>
      </c>
      <c r="B32" s="213" t="s">
        <v>14</v>
      </c>
      <c r="C32" s="214"/>
      <c r="D32" s="214"/>
      <c r="E32" s="215"/>
      <c r="F32" s="22">
        <f>SUM(F33:F86)</f>
        <v>96615219</v>
      </c>
      <c r="G32" s="22">
        <f t="shared" ref="G32:P32" si="9">SUM(G33:G86)</f>
        <v>15736917</v>
      </c>
      <c r="H32" s="22">
        <f t="shared" si="9"/>
        <v>12709400</v>
      </c>
      <c r="I32" s="22">
        <f t="shared" si="9"/>
        <v>11680000</v>
      </c>
      <c r="J32" s="22">
        <f t="shared" si="9"/>
        <v>12287483</v>
      </c>
      <c r="K32" s="22">
        <f t="shared" si="9"/>
        <v>11460000</v>
      </c>
      <c r="L32" s="22">
        <f t="shared" si="9"/>
        <v>10030000</v>
      </c>
      <c r="M32" s="22">
        <f t="shared" si="9"/>
        <v>3500000</v>
      </c>
      <c r="N32" s="22">
        <f t="shared" si="9"/>
        <v>1050000</v>
      </c>
      <c r="O32" s="22">
        <f t="shared" si="9"/>
        <v>700000</v>
      </c>
      <c r="P32" s="22">
        <f t="shared" si="9"/>
        <v>79153800</v>
      </c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132"/>
      <c r="AL32" s="132"/>
      <c r="AM32" s="132"/>
      <c r="AN32" s="132"/>
      <c r="AO32" s="132"/>
      <c r="AP32" s="132"/>
      <c r="AQ32" s="132"/>
      <c r="AR32" s="132"/>
      <c r="AS32" s="132"/>
      <c r="AT32" s="132"/>
      <c r="AU32" s="132"/>
      <c r="AV32" s="132"/>
      <c r="AW32" s="132"/>
      <c r="AX32" s="132"/>
      <c r="AY32" s="132"/>
      <c r="AZ32" s="132"/>
      <c r="BA32" s="132"/>
      <c r="BB32" s="132"/>
      <c r="BC32" s="132"/>
      <c r="BD32" s="132"/>
      <c r="BE32" s="132"/>
      <c r="BF32" s="132"/>
      <c r="BG32" s="132"/>
      <c r="BH32" s="132"/>
      <c r="BI32" s="132"/>
      <c r="BJ32" s="132"/>
      <c r="BK32" s="132"/>
      <c r="BL32" s="132"/>
      <c r="BM32" s="132"/>
      <c r="BN32" s="132"/>
      <c r="BO32" s="132"/>
      <c r="BP32" s="132"/>
      <c r="BQ32" s="132"/>
      <c r="BR32" s="132"/>
      <c r="BS32" s="132"/>
      <c r="BT32" s="132"/>
      <c r="BU32" s="132"/>
      <c r="BV32" s="132"/>
      <c r="BW32" s="132"/>
      <c r="BX32" s="132"/>
      <c r="BY32" s="132"/>
      <c r="BZ32" s="132"/>
      <c r="CA32" s="132"/>
      <c r="CB32" s="132"/>
      <c r="CC32" s="132"/>
      <c r="CD32" s="132"/>
      <c r="CE32" s="132"/>
      <c r="CF32" s="132"/>
      <c r="CG32" s="132"/>
      <c r="CH32" s="132"/>
      <c r="CI32" s="132"/>
      <c r="CJ32" s="132"/>
      <c r="CK32" s="132"/>
      <c r="CL32" s="132"/>
      <c r="CM32" s="132"/>
      <c r="CN32" s="132"/>
      <c r="CO32" s="132"/>
      <c r="CP32" s="132"/>
      <c r="CQ32" s="132"/>
      <c r="CR32" s="132"/>
      <c r="CS32" s="132"/>
      <c r="CT32" s="132"/>
      <c r="CU32" s="132"/>
      <c r="CV32" s="132"/>
      <c r="CW32" s="132"/>
      <c r="CX32" s="132"/>
      <c r="CY32" s="132"/>
      <c r="CZ32" s="132"/>
      <c r="DA32" s="132"/>
      <c r="DB32" s="132"/>
      <c r="DC32" s="132"/>
      <c r="DD32" s="132"/>
      <c r="DE32" s="132"/>
      <c r="DF32" s="132"/>
      <c r="DG32" s="132"/>
      <c r="DH32" s="132"/>
      <c r="DI32" s="132"/>
      <c r="DJ32" s="132"/>
      <c r="DK32" s="132"/>
      <c r="DL32" s="132"/>
      <c r="DM32" s="132"/>
      <c r="DN32" s="132"/>
      <c r="DO32" s="132"/>
      <c r="DP32" s="132"/>
      <c r="DQ32" s="132"/>
      <c r="DR32" s="132"/>
      <c r="DS32" s="132"/>
      <c r="DT32" s="132"/>
      <c r="DU32" s="132"/>
      <c r="DV32" s="132"/>
      <c r="DW32" s="132"/>
      <c r="DX32" s="132"/>
      <c r="DY32" s="132"/>
      <c r="DZ32" s="132"/>
      <c r="EA32" s="132"/>
      <c r="EB32" s="132"/>
      <c r="EC32" s="132"/>
      <c r="ED32" s="132"/>
      <c r="EE32" s="132"/>
      <c r="EF32" s="132"/>
      <c r="EG32" s="132"/>
      <c r="EH32" s="132"/>
      <c r="EI32" s="132"/>
      <c r="EJ32" s="132"/>
      <c r="EK32" s="132"/>
      <c r="EL32" s="132"/>
      <c r="EM32" s="132"/>
      <c r="EN32" s="132"/>
      <c r="EO32" s="132"/>
      <c r="EP32" s="132"/>
      <c r="EQ32" s="132"/>
      <c r="ER32" s="132"/>
      <c r="ES32" s="132"/>
      <c r="ET32" s="132"/>
      <c r="EU32" s="132"/>
      <c r="EV32" s="132"/>
      <c r="EW32" s="132"/>
      <c r="EX32" s="132"/>
      <c r="EY32" s="132"/>
      <c r="EZ32" s="132"/>
      <c r="FA32" s="132"/>
      <c r="FB32" s="132"/>
      <c r="FC32" s="132"/>
      <c r="FD32" s="132"/>
      <c r="FE32" s="132"/>
      <c r="FF32" s="132"/>
      <c r="FG32" s="132"/>
      <c r="FH32" s="132"/>
      <c r="FI32" s="132"/>
      <c r="FJ32" s="132"/>
      <c r="FK32" s="132"/>
      <c r="FL32" s="132"/>
      <c r="FM32" s="132"/>
      <c r="FN32" s="132"/>
      <c r="FO32" s="132"/>
      <c r="FP32" s="132"/>
      <c r="FQ32" s="132"/>
      <c r="FR32" s="132"/>
      <c r="FS32" s="132"/>
      <c r="FT32" s="132"/>
      <c r="FU32" s="132"/>
      <c r="FV32" s="132"/>
      <c r="FW32" s="132"/>
      <c r="FX32" s="132"/>
      <c r="FY32" s="132"/>
      <c r="FZ32" s="132"/>
      <c r="GA32" s="132"/>
      <c r="GB32" s="132"/>
      <c r="GC32" s="132"/>
      <c r="GD32" s="132"/>
      <c r="GE32" s="132"/>
      <c r="GF32" s="132"/>
      <c r="GG32" s="132"/>
      <c r="GH32" s="132"/>
      <c r="GI32" s="132"/>
      <c r="GJ32" s="132"/>
      <c r="GK32" s="132"/>
      <c r="GL32" s="132"/>
      <c r="GM32" s="132"/>
      <c r="GN32" s="132"/>
      <c r="GO32" s="132"/>
      <c r="GP32" s="132"/>
      <c r="GQ32" s="132"/>
      <c r="GR32" s="132"/>
      <c r="GS32" s="132"/>
      <c r="GT32" s="132"/>
      <c r="GU32" s="132"/>
      <c r="GV32" s="132"/>
      <c r="GW32" s="132"/>
      <c r="GX32" s="132"/>
      <c r="GY32" s="132"/>
      <c r="GZ32" s="132"/>
      <c r="HA32" s="132"/>
      <c r="HB32" s="132"/>
      <c r="HC32" s="132"/>
      <c r="HD32" s="132"/>
      <c r="HE32" s="132"/>
      <c r="HF32" s="132"/>
    </row>
    <row r="33" spans="1:214" s="30" customFormat="1" ht="35.25" customHeight="1">
      <c r="A33" s="26" t="s">
        <v>38</v>
      </c>
      <c r="B33" s="24" t="s">
        <v>39</v>
      </c>
      <c r="C33" s="25" t="s">
        <v>40</v>
      </c>
      <c r="D33" s="26">
        <v>2014</v>
      </c>
      <c r="E33" s="26">
        <v>2022</v>
      </c>
      <c r="F33" s="28">
        <f>744637+100000</f>
        <v>844637</v>
      </c>
      <c r="G33" s="35">
        <v>0</v>
      </c>
      <c r="H33" s="28">
        <v>100000</v>
      </c>
      <c r="I33" s="28">
        <v>150000</v>
      </c>
      <c r="J33" s="35"/>
      <c r="K33" s="35"/>
      <c r="L33" s="35"/>
      <c r="M33" s="35"/>
      <c r="N33" s="35"/>
      <c r="O33" s="35"/>
      <c r="P33" s="29">
        <f>SUM(G33:O33)</f>
        <v>250000</v>
      </c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  <c r="FR33" s="36"/>
      <c r="FS33" s="36"/>
      <c r="FT33" s="36"/>
      <c r="FU33" s="36"/>
      <c r="FV33" s="36"/>
      <c r="FW33" s="36"/>
      <c r="FX33" s="36"/>
      <c r="FY33" s="36"/>
      <c r="FZ33" s="36"/>
      <c r="GA33" s="36"/>
      <c r="GB33" s="36"/>
      <c r="GC33" s="36"/>
      <c r="GD33" s="36"/>
      <c r="GE33" s="36"/>
      <c r="GF33" s="36"/>
      <c r="GG33" s="36"/>
      <c r="GH33" s="36"/>
      <c r="GI33" s="36"/>
      <c r="GJ33" s="36"/>
      <c r="GK33" s="36"/>
      <c r="GL33" s="36"/>
      <c r="GM33" s="36"/>
      <c r="GN33" s="36"/>
      <c r="GO33" s="36"/>
      <c r="GP33" s="36"/>
      <c r="GQ33" s="36"/>
      <c r="GR33" s="36"/>
      <c r="GS33" s="36"/>
      <c r="GT33" s="36"/>
      <c r="GU33" s="36"/>
      <c r="GV33" s="36"/>
      <c r="GW33" s="36"/>
      <c r="GX33" s="36"/>
      <c r="GY33" s="36"/>
      <c r="GZ33" s="36"/>
      <c r="HA33" s="36"/>
      <c r="HB33" s="36"/>
      <c r="HC33" s="36"/>
      <c r="HD33" s="36"/>
      <c r="HE33" s="36"/>
      <c r="HF33" s="36"/>
    </row>
    <row r="34" spans="1:214" s="30" customFormat="1" ht="45.75" customHeight="1">
      <c r="A34" s="109" t="s">
        <v>41</v>
      </c>
      <c r="B34" s="111" t="s">
        <v>97</v>
      </c>
      <c r="C34" s="112" t="s">
        <v>40</v>
      </c>
      <c r="D34" s="109">
        <v>2015</v>
      </c>
      <c r="E34" s="109">
        <v>2022</v>
      </c>
      <c r="F34" s="110">
        <v>1349861</v>
      </c>
      <c r="G34" s="110">
        <v>100000</v>
      </c>
      <c r="H34" s="110">
        <v>200000</v>
      </c>
      <c r="I34" s="110">
        <v>100000</v>
      </c>
      <c r="J34" s="110"/>
      <c r="K34" s="110"/>
      <c r="L34" s="110"/>
      <c r="M34" s="110"/>
      <c r="N34" s="110"/>
      <c r="O34" s="110"/>
      <c r="P34" s="110">
        <f t="shared" ref="P34:P86" si="10">SUM(G34:O34)</f>
        <v>400000</v>
      </c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</row>
    <row r="35" spans="1:214" s="36" customFormat="1" ht="65.25" customHeight="1">
      <c r="A35" s="109" t="s">
        <v>42</v>
      </c>
      <c r="B35" s="120" t="s">
        <v>43</v>
      </c>
      <c r="C35" s="116" t="s">
        <v>24</v>
      </c>
      <c r="D35" s="115">
        <v>2011</v>
      </c>
      <c r="E35" s="115">
        <v>2022</v>
      </c>
      <c r="F35" s="119">
        <v>2979176</v>
      </c>
      <c r="G35" s="119">
        <f>500000+272000-272000-310000</f>
        <v>190000</v>
      </c>
      <c r="H35" s="119">
        <f>1000000+450000</f>
        <v>1450000</v>
      </c>
      <c r="I35" s="119">
        <f>1000000-140000</f>
        <v>860000</v>
      </c>
      <c r="J35" s="119"/>
      <c r="K35" s="119"/>
      <c r="L35" s="119"/>
      <c r="M35" s="119"/>
      <c r="N35" s="119"/>
      <c r="O35" s="119"/>
      <c r="P35" s="119">
        <f t="shared" si="10"/>
        <v>2500000</v>
      </c>
    </row>
    <row r="36" spans="1:214" s="126" customFormat="1" ht="46.5" customHeight="1">
      <c r="A36" s="164" t="s">
        <v>344</v>
      </c>
      <c r="B36" s="166" t="s">
        <v>48</v>
      </c>
      <c r="C36" s="167" t="s">
        <v>40</v>
      </c>
      <c r="D36" s="165">
        <v>2017</v>
      </c>
      <c r="E36" s="165">
        <v>2022</v>
      </c>
      <c r="F36" s="168">
        <f>248413</f>
        <v>248413</v>
      </c>
      <c r="G36" s="168">
        <v>0</v>
      </c>
      <c r="H36" s="168">
        <v>220000</v>
      </c>
      <c r="I36" s="168">
        <v>0</v>
      </c>
      <c r="J36" s="168"/>
      <c r="K36" s="168"/>
      <c r="L36" s="168"/>
      <c r="M36" s="168"/>
      <c r="N36" s="168"/>
      <c r="O36" s="168"/>
      <c r="P36" s="168">
        <f t="shared" si="10"/>
        <v>220000</v>
      </c>
    </row>
    <row r="37" spans="1:214" s="54" customFormat="1" ht="33.75" customHeight="1">
      <c r="A37" s="26" t="s">
        <v>44</v>
      </c>
      <c r="B37" s="24" t="s">
        <v>51</v>
      </c>
      <c r="C37" s="25" t="s">
        <v>40</v>
      </c>
      <c r="D37" s="26">
        <v>2017</v>
      </c>
      <c r="E37" s="26">
        <v>2023</v>
      </c>
      <c r="F37" s="28">
        <f>465460</f>
        <v>465460</v>
      </c>
      <c r="G37" s="28">
        <f>100000+100000</f>
        <v>200000</v>
      </c>
      <c r="H37" s="28">
        <v>0</v>
      </c>
      <c r="I37" s="28">
        <v>150000</v>
      </c>
      <c r="J37" s="28"/>
      <c r="K37" s="28"/>
      <c r="L37" s="28"/>
      <c r="M37" s="28"/>
      <c r="N37" s="28"/>
      <c r="O37" s="28"/>
      <c r="P37" s="28">
        <f t="shared" si="10"/>
        <v>350000</v>
      </c>
    </row>
    <row r="38" spans="1:214" s="54" customFormat="1" ht="36.75" customHeight="1">
      <c r="A38" s="26" t="s">
        <v>45</v>
      </c>
      <c r="B38" s="24" t="s">
        <v>54</v>
      </c>
      <c r="C38" s="25" t="s">
        <v>40</v>
      </c>
      <c r="D38" s="26">
        <v>2017</v>
      </c>
      <c r="E38" s="26">
        <v>2022</v>
      </c>
      <c r="F38" s="28">
        <f>800000+100000</f>
        <v>900000</v>
      </c>
      <c r="G38" s="28">
        <v>100000</v>
      </c>
      <c r="H38" s="28">
        <v>150000</v>
      </c>
      <c r="I38" s="28">
        <v>150000</v>
      </c>
      <c r="J38" s="28"/>
      <c r="K38" s="28"/>
      <c r="L38" s="28"/>
      <c r="M38" s="28"/>
      <c r="N38" s="28"/>
      <c r="O38" s="28"/>
      <c r="P38" s="28">
        <f t="shared" si="10"/>
        <v>400000</v>
      </c>
    </row>
    <row r="39" spans="1:214" s="54" customFormat="1" ht="39.75" customHeight="1">
      <c r="A39" s="26" t="s">
        <v>46</v>
      </c>
      <c r="B39" s="24" t="s">
        <v>58</v>
      </c>
      <c r="C39" s="25" t="s">
        <v>40</v>
      </c>
      <c r="D39" s="26">
        <v>2017</v>
      </c>
      <c r="E39" s="26">
        <v>2021</v>
      </c>
      <c r="F39" s="28">
        <v>500000</v>
      </c>
      <c r="G39" s="28">
        <v>0</v>
      </c>
      <c r="H39" s="28">
        <v>250000</v>
      </c>
      <c r="I39" s="28"/>
      <c r="J39" s="28"/>
      <c r="K39" s="28"/>
      <c r="L39" s="28"/>
      <c r="M39" s="28"/>
      <c r="N39" s="28"/>
      <c r="O39" s="28"/>
      <c r="P39" s="28">
        <f t="shared" si="10"/>
        <v>250000</v>
      </c>
    </row>
    <row r="40" spans="1:214" s="54" customFormat="1" ht="48" customHeight="1">
      <c r="A40" s="26" t="s">
        <v>47</v>
      </c>
      <c r="B40" s="24" t="s">
        <v>60</v>
      </c>
      <c r="C40" s="25" t="s">
        <v>40</v>
      </c>
      <c r="D40" s="26">
        <v>2017</v>
      </c>
      <c r="E40" s="26">
        <v>2022</v>
      </c>
      <c r="F40" s="28">
        <v>639987</v>
      </c>
      <c r="G40" s="28">
        <v>0</v>
      </c>
      <c r="H40" s="28">
        <v>110000</v>
      </c>
      <c r="I40" s="28">
        <v>190000</v>
      </c>
      <c r="J40" s="28"/>
      <c r="K40" s="28"/>
      <c r="L40" s="28"/>
      <c r="M40" s="28"/>
      <c r="N40" s="28"/>
      <c r="O40" s="28"/>
      <c r="P40" s="28">
        <f t="shared" si="10"/>
        <v>300000</v>
      </c>
    </row>
    <row r="41" spans="1:214" s="54" customFormat="1" ht="37.5" customHeight="1">
      <c r="A41" s="26" t="s">
        <v>49</v>
      </c>
      <c r="B41" s="24" t="s">
        <v>63</v>
      </c>
      <c r="C41" s="25" t="s">
        <v>40</v>
      </c>
      <c r="D41" s="26">
        <v>2017</v>
      </c>
      <c r="E41" s="26">
        <v>2027</v>
      </c>
      <c r="F41" s="28">
        <v>700000</v>
      </c>
      <c r="G41" s="28">
        <v>100000</v>
      </c>
      <c r="H41" s="28">
        <v>0</v>
      </c>
      <c r="I41" s="28">
        <v>100000</v>
      </c>
      <c r="J41" s="28">
        <v>150000</v>
      </c>
      <c r="K41" s="28">
        <v>0</v>
      </c>
      <c r="L41" s="28">
        <v>0</v>
      </c>
      <c r="M41" s="28">
        <v>0</v>
      </c>
      <c r="N41" s="28">
        <v>150000</v>
      </c>
      <c r="O41" s="28"/>
      <c r="P41" s="28">
        <f t="shared" si="10"/>
        <v>500000</v>
      </c>
    </row>
    <row r="42" spans="1:214" s="54" customFormat="1" ht="33" customHeight="1">
      <c r="A42" s="26" t="s">
        <v>50</v>
      </c>
      <c r="B42" s="98" t="s">
        <v>67</v>
      </c>
      <c r="C42" s="25" t="s">
        <v>40</v>
      </c>
      <c r="D42" s="26">
        <v>2017</v>
      </c>
      <c r="E42" s="26">
        <v>2022</v>
      </c>
      <c r="F42" s="28">
        <f>1025000+100000</f>
        <v>1125000</v>
      </c>
      <c r="G42" s="28">
        <v>100000</v>
      </c>
      <c r="H42" s="28">
        <v>250000</v>
      </c>
      <c r="I42" s="28"/>
      <c r="J42" s="28"/>
      <c r="K42" s="28"/>
      <c r="L42" s="28"/>
      <c r="M42" s="28"/>
      <c r="N42" s="28"/>
      <c r="O42" s="28"/>
      <c r="P42" s="28">
        <f t="shared" si="10"/>
        <v>350000</v>
      </c>
    </row>
    <row r="43" spans="1:214" s="54" customFormat="1" ht="32.25" customHeight="1">
      <c r="A43" s="26" t="s">
        <v>52</v>
      </c>
      <c r="B43" s="38" t="s">
        <v>72</v>
      </c>
      <c r="C43" s="39" t="s">
        <v>40</v>
      </c>
      <c r="D43" s="40">
        <v>2017</v>
      </c>
      <c r="E43" s="26">
        <v>2023</v>
      </c>
      <c r="F43" s="41">
        <v>845000</v>
      </c>
      <c r="G43" s="41">
        <v>0</v>
      </c>
      <c r="H43" s="41">
        <v>0</v>
      </c>
      <c r="I43" s="41">
        <v>250000</v>
      </c>
      <c r="J43" s="41">
        <v>300000</v>
      </c>
      <c r="K43" s="41"/>
      <c r="L43" s="41"/>
      <c r="M43" s="41"/>
      <c r="N43" s="41"/>
      <c r="O43" s="41"/>
      <c r="P43" s="27">
        <f t="shared" si="10"/>
        <v>550000</v>
      </c>
    </row>
    <row r="44" spans="1:214" s="125" customFormat="1" ht="37.5" customHeight="1">
      <c r="A44" s="109" t="s">
        <v>53</v>
      </c>
      <c r="B44" s="123" t="s">
        <v>353</v>
      </c>
      <c r="C44" s="124" t="s">
        <v>74</v>
      </c>
      <c r="D44" s="109">
        <v>2018</v>
      </c>
      <c r="E44" s="109">
        <v>2024</v>
      </c>
      <c r="F44" s="110">
        <v>9484332</v>
      </c>
      <c r="G44" s="110">
        <v>0</v>
      </c>
      <c r="H44" s="110">
        <f>3500000+500000-100000-3900000</f>
        <v>0</v>
      </c>
      <c r="I44" s="110">
        <v>3900000</v>
      </c>
      <c r="J44" s="110">
        <v>3700000</v>
      </c>
      <c r="K44" s="110">
        <v>1800000</v>
      </c>
      <c r="L44" s="110"/>
      <c r="M44" s="110"/>
      <c r="N44" s="110"/>
      <c r="O44" s="110"/>
      <c r="P44" s="110">
        <f t="shared" si="10"/>
        <v>9400000</v>
      </c>
    </row>
    <row r="45" spans="1:214" s="42" customFormat="1" ht="36.75" customHeight="1">
      <c r="A45" s="26" t="s">
        <v>55</v>
      </c>
      <c r="B45" s="43" t="s">
        <v>82</v>
      </c>
      <c r="C45" s="25" t="s">
        <v>95</v>
      </c>
      <c r="D45" s="26">
        <v>2018</v>
      </c>
      <c r="E45" s="26">
        <v>2020</v>
      </c>
      <c r="F45" s="28">
        <v>3676150</v>
      </c>
      <c r="G45" s="28">
        <f>700000+910000+34000</f>
        <v>1644000</v>
      </c>
      <c r="H45" s="28"/>
      <c r="I45" s="28"/>
      <c r="J45" s="28"/>
      <c r="K45" s="28"/>
      <c r="L45" s="28"/>
      <c r="M45" s="28"/>
      <c r="N45" s="28"/>
      <c r="O45" s="28"/>
      <c r="P45" s="29">
        <f t="shared" si="10"/>
        <v>1644000</v>
      </c>
    </row>
    <row r="46" spans="1:214" s="54" customFormat="1" ht="36.75" customHeight="1">
      <c r="A46" s="26" t="s">
        <v>56</v>
      </c>
      <c r="B46" s="133" t="s">
        <v>78</v>
      </c>
      <c r="C46" s="134" t="s">
        <v>40</v>
      </c>
      <c r="D46" s="135">
        <v>2017</v>
      </c>
      <c r="E46" s="135">
        <v>2023</v>
      </c>
      <c r="F46" s="136">
        <v>850000</v>
      </c>
      <c r="G46" s="136">
        <v>0</v>
      </c>
      <c r="H46" s="136">
        <v>100000</v>
      </c>
      <c r="I46" s="136">
        <v>300000</v>
      </c>
      <c r="J46" s="136">
        <v>150000</v>
      </c>
      <c r="K46" s="136"/>
      <c r="L46" s="136"/>
      <c r="M46" s="136"/>
      <c r="N46" s="136"/>
      <c r="O46" s="136"/>
      <c r="P46" s="27">
        <f t="shared" si="10"/>
        <v>550000</v>
      </c>
    </row>
    <row r="47" spans="1:214" ht="37.9" customHeight="1">
      <c r="A47" s="26" t="s">
        <v>57</v>
      </c>
      <c r="B47" s="44" t="s">
        <v>80</v>
      </c>
      <c r="C47" s="45" t="s">
        <v>40</v>
      </c>
      <c r="D47" s="26">
        <v>2017</v>
      </c>
      <c r="E47" s="26">
        <v>2021</v>
      </c>
      <c r="F47" s="107">
        <v>417266</v>
      </c>
      <c r="G47" s="46">
        <v>0</v>
      </c>
      <c r="H47" s="46">
        <v>60000</v>
      </c>
      <c r="I47" s="47"/>
      <c r="J47" s="47"/>
      <c r="K47" s="47"/>
      <c r="L47" s="47"/>
      <c r="M47" s="47"/>
      <c r="N47" s="47"/>
      <c r="O47" s="47"/>
      <c r="P47" s="29">
        <f t="shared" si="10"/>
        <v>60000</v>
      </c>
    </row>
    <row r="48" spans="1:214" s="54" customFormat="1" ht="37.9" customHeight="1">
      <c r="A48" s="26" t="s">
        <v>59</v>
      </c>
      <c r="B48" s="127" t="s">
        <v>81</v>
      </c>
      <c r="C48" s="128" t="s">
        <v>40</v>
      </c>
      <c r="D48" s="40">
        <v>2017</v>
      </c>
      <c r="E48" s="40">
        <v>2022</v>
      </c>
      <c r="F48" s="129">
        <v>329983</v>
      </c>
      <c r="G48" s="129">
        <v>0</v>
      </c>
      <c r="H48" s="129">
        <v>150000</v>
      </c>
      <c r="I48" s="129">
        <v>0</v>
      </c>
      <c r="J48" s="129"/>
      <c r="K48" s="129"/>
      <c r="L48" s="129"/>
      <c r="M48" s="129"/>
      <c r="N48" s="129"/>
      <c r="O48" s="129"/>
      <c r="P48" s="27">
        <f t="shared" si="10"/>
        <v>150000</v>
      </c>
    </row>
    <row r="49" spans="1:214" ht="34.15" customHeight="1">
      <c r="A49" s="26" t="s">
        <v>61</v>
      </c>
      <c r="B49" s="43" t="s">
        <v>83</v>
      </c>
      <c r="C49" s="25" t="s">
        <v>40</v>
      </c>
      <c r="D49" s="26">
        <v>2018</v>
      </c>
      <c r="E49" s="40">
        <v>2021</v>
      </c>
      <c r="F49" s="48">
        <v>500000</v>
      </c>
      <c r="G49" s="48">
        <v>0</v>
      </c>
      <c r="H49" s="48">
        <v>200000</v>
      </c>
      <c r="I49" s="49"/>
      <c r="J49" s="49"/>
      <c r="K49" s="49"/>
      <c r="L49" s="49"/>
      <c r="M49" s="49"/>
      <c r="N49" s="49"/>
      <c r="O49" s="49"/>
      <c r="P49" s="29">
        <f t="shared" si="10"/>
        <v>200000</v>
      </c>
    </row>
    <row r="50" spans="1:214" s="54" customFormat="1" ht="32.450000000000003" customHeight="1">
      <c r="A50" s="26" t="s">
        <v>62</v>
      </c>
      <c r="B50" s="43" t="s">
        <v>84</v>
      </c>
      <c r="C50" s="25" t="s">
        <v>40</v>
      </c>
      <c r="D50" s="26">
        <v>2018</v>
      </c>
      <c r="E50" s="40">
        <v>2023</v>
      </c>
      <c r="F50" s="48">
        <v>360433</v>
      </c>
      <c r="G50" s="48">
        <v>100000</v>
      </c>
      <c r="H50" s="48">
        <v>0</v>
      </c>
      <c r="I50" s="48">
        <v>100000</v>
      </c>
      <c r="J50" s="48">
        <v>100000</v>
      </c>
      <c r="K50" s="48"/>
      <c r="L50" s="48"/>
      <c r="M50" s="48"/>
      <c r="N50" s="48"/>
      <c r="O50" s="48"/>
      <c r="P50" s="27">
        <f t="shared" si="10"/>
        <v>300000</v>
      </c>
      <c r="Q50" s="122"/>
    </row>
    <row r="51" spans="1:214" s="54" customFormat="1" ht="36" customHeight="1">
      <c r="A51" s="26" t="s">
        <v>64</v>
      </c>
      <c r="B51" s="50" t="s">
        <v>85</v>
      </c>
      <c r="C51" s="25" t="s">
        <v>40</v>
      </c>
      <c r="D51" s="26">
        <v>2018</v>
      </c>
      <c r="E51" s="26">
        <v>2027</v>
      </c>
      <c r="F51" s="48">
        <f>2189458+200000</f>
        <v>2389458</v>
      </c>
      <c r="G51" s="48">
        <v>200000</v>
      </c>
      <c r="H51" s="48">
        <v>200000</v>
      </c>
      <c r="I51" s="48">
        <v>200000</v>
      </c>
      <c r="J51" s="48">
        <v>200000</v>
      </c>
      <c r="K51" s="48">
        <v>250000</v>
      </c>
      <c r="L51" s="48">
        <v>250000</v>
      </c>
      <c r="M51" s="48">
        <v>200000</v>
      </c>
      <c r="N51" s="48">
        <v>200000</v>
      </c>
      <c r="O51" s="48"/>
      <c r="P51" s="28">
        <f>SUM(G51:O51)</f>
        <v>1700000</v>
      </c>
    </row>
    <row r="52" spans="1:214" s="54" customFormat="1" ht="39" customHeight="1">
      <c r="A52" s="26" t="s">
        <v>65</v>
      </c>
      <c r="B52" s="113" t="s">
        <v>86</v>
      </c>
      <c r="C52" s="39" t="s">
        <v>40</v>
      </c>
      <c r="D52" s="40">
        <v>2018</v>
      </c>
      <c r="E52" s="40">
        <v>2028</v>
      </c>
      <c r="F52" s="114">
        <f>640000+1700000+200000</f>
        <v>2540000</v>
      </c>
      <c r="G52" s="114">
        <v>200000</v>
      </c>
      <c r="H52" s="114">
        <v>200000</v>
      </c>
      <c r="I52" s="114">
        <v>150000</v>
      </c>
      <c r="J52" s="114">
        <v>200000</v>
      </c>
      <c r="K52" s="114">
        <v>250000</v>
      </c>
      <c r="L52" s="114">
        <v>250000</v>
      </c>
      <c r="M52" s="114">
        <v>250000</v>
      </c>
      <c r="N52" s="114">
        <v>200000</v>
      </c>
      <c r="O52" s="114">
        <v>200000</v>
      </c>
      <c r="P52" s="28">
        <f>SUM(G52:O52)</f>
        <v>1900000</v>
      </c>
    </row>
    <row r="53" spans="1:214" s="99" customFormat="1" ht="42" customHeight="1">
      <c r="A53" s="26" t="s">
        <v>66</v>
      </c>
      <c r="B53" s="103" t="s">
        <v>120</v>
      </c>
      <c r="C53" s="51" t="s">
        <v>40</v>
      </c>
      <c r="D53" s="52">
        <v>2018</v>
      </c>
      <c r="E53" s="52">
        <v>2020</v>
      </c>
      <c r="F53" s="61">
        <f>1110000+2844000+615000+50000</f>
        <v>4619000</v>
      </c>
      <c r="G53" s="53">
        <f>550000+615000+50000+1924000</f>
        <v>3139000</v>
      </c>
      <c r="H53" s="53"/>
      <c r="I53" s="53"/>
      <c r="J53" s="53"/>
      <c r="K53" s="53"/>
      <c r="L53" s="53"/>
      <c r="M53" s="53"/>
      <c r="N53" s="53"/>
      <c r="O53" s="53"/>
      <c r="P53" s="27">
        <f t="shared" si="10"/>
        <v>3139000</v>
      </c>
    </row>
    <row r="54" spans="1:214" ht="37.9" customHeight="1">
      <c r="A54" s="26" t="s">
        <v>68</v>
      </c>
      <c r="B54" s="55" t="s">
        <v>87</v>
      </c>
      <c r="C54" s="56" t="s">
        <v>40</v>
      </c>
      <c r="D54" s="57">
        <v>2018</v>
      </c>
      <c r="E54" s="57">
        <v>2021</v>
      </c>
      <c r="F54" s="58">
        <v>200000</v>
      </c>
      <c r="G54" s="58">
        <v>0</v>
      </c>
      <c r="H54" s="58">
        <v>100000</v>
      </c>
      <c r="I54" s="58"/>
      <c r="J54" s="58"/>
      <c r="K54" s="58"/>
      <c r="L54" s="58"/>
      <c r="M54" s="58"/>
      <c r="N54" s="58"/>
      <c r="O54" s="58"/>
      <c r="P54" s="29">
        <f t="shared" si="10"/>
        <v>100000</v>
      </c>
    </row>
    <row r="55" spans="1:214" ht="34.5" customHeight="1">
      <c r="A55" s="26" t="s">
        <v>69</v>
      </c>
      <c r="B55" s="43" t="s">
        <v>88</v>
      </c>
      <c r="C55" s="51" t="s">
        <v>40</v>
      </c>
      <c r="D55" s="52">
        <v>2018</v>
      </c>
      <c r="E55" s="52">
        <v>2021</v>
      </c>
      <c r="F55" s="53">
        <v>655931</v>
      </c>
      <c r="G55" s="53">
        <v>0</v>
      </c>
      <c r="H55" s="53">
        <v>300000</v>
      </c>
      <c r="I55" s="53"/>
      <c r="J55" s="53"/>
      <c r="K55" s="53"/>
      <c r="L55" s="53"/>
      <c r="M55" s="53"/>
      <c r="N55" s="53"/>
      <c r="O55" s="53"/>
      <c r="P55" s="29">
        <f t="shared" si="10"/>
        <v>300000</v>
      </c>
    </row>
    <row r="56" spans="1:214" s="54" customFormat="1" ht="39" customHeight="1">
      <c r="A56" s="26" t="s">
        <v>70</v>
      </c>
      <c r="B56" s="43" t="s">
        <v>89</v>
      </c>
      <c r="C56" s="51" t="s">
        <v>40</v>
      </c>
      <c r="D56" s="52">
        <v>2018</v>
      </c>
      <c r="E56" s="52">
        <v>2021</v>
      </c>
      <c r="F56" s="53">
        <f>450000+100000</f>
        <v>550000</v>
      </c>
      <c r="G56" s="53">
        <v>100000</v>
      </c>
      <c r="H56" s="53">
        <v>200000</v>
      </c>
      <c r="I56" s="53"/>
      <c r="J56" s="53"/>
      <c r="K56" s="53"/>
      <c r="L56" s="53"/>
      <c r="M56" s="53"/>
      <c r="N56" s="53"/>
      <c r="O56" s="53"/>
      <c r="P56" s="27">
        <f t="shared" si="10"/>
        <v>300000</v>
      </c>
    </row>
    <row r="57" spans="1:214" ht="38.25" customHeight="1">
      <c r="A57" s="26" t="s">
        <v>71</v>
      </c>
      <c r="B57" s="59" t="s">
        <v>96</v>
      </c>
      <c r="C57" s="60" t="s">
        <v>40</v>
      </c>
      <c r="D57" s="52">
        <v>2018</v>
      </c>
      <c r="E57" s="52">
        <v>2021</v>
      </c>
      <c r="F57" s="53">
        <v>449409</v>
      </c>
      <c r="G57" s="53">
        <v>0</v>
      </c>
      <c r="H57" s="53">
        <v>160000</v>
      </c>
      <c r="I57" s="53"/>
      <c r="J57" s="53"/>
      <c r="K57" s="53"/>
      <c r="L57" s="53"/>
      <c r="M57" s="53"/>
      <c r="N57" s="53"/>
      <c r="O57" s="53"/>
      <c r="P57" s="29">
        <f t="shared" si="10"/>
        <v>160000</v>
      </c>
    </row>
    <row r="58" spans="1:214" ht="36" customHeight="1">
      <c r="A58" s="26" t="s">
        <v>73</v>
      </c>
      <c r="B58" s="50" t="s">
        <v>90</v>
      </c>
      <c r="C58" s="51" t="s">
        <v>40</v>
      </c>
      <c r="D58" s="52">
        <v>2018</v>
      </c>
      <c r="E58" s="52">
        <v>2021</v>
      </c>
      <c r="F58" s="53">
        <v>220711</v>
      </c>
      <c r="G58" s="53">
        <v>0</v>
      </c>
      <c r="H58" s="53">
        <v>50000</v>
      </c>
      <c r="I58" s="53"/>
      <c r="J58" s="53"/>
      <c r="K58" s="53"/>
      <c r="L58" s="53"/>
      <c r="M58" s="53"/>
      <c r="N58" s="53"/>
      <c r="O58" s="53"/>
      <c r="P58" s="29">
        <f t="shared" si="10"/>
        <v>50000</v>
      </c>
    </row>
    <row r="59" spans="1:214" s="177" customFormat="1" ht="64.5" customHeight="1">
      <c r="A59" s="109" t="s">
        <v>75</v>
      </c>
      <c r="B59" s="186" t="s">
        <v>218</v>
      </c>
      <c r="C59" s="187" t="s">
        <v>40</v>
      </c>
      <c r="D59" s="109">
        <v>2018</v>
      </c>
      <c r="E59" s="109">
        <v>2021</v>
      </c>
      <c r="F59" s="188">
        <v>1739938</v>
      </c>
      <c r="G59" s="188">
        <v>0</v>
      </c>
      <c r="H59" s="188">
        <v>1690000</v>
      </c>
      <c r="I59" s="188"/>
      <c r="J59" s="188"/>
      <c r="K59" s="188"/>
      <c r="L59" s="188"/>
      <c r="M59" s="188"/>
      <c r="N59" s="188"/>
      <c r="O59" s="188"/>
      <c r="P59" s="110">
        <f t="shared" si="10"/>
        <v>1690000</v>
      </c>
      <c r="Q59" s="18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99"/>
      <c r="AK59" s="99"/>
      <c r="AL59" s="99"/>
      <c r="AM59" s="99"/>
      <c r="AN59" s="99"/>
      <c r="AO59" s="99"/>
      <c r="AP59" s="99"/>
      <c r="AQ59" s="99"/>
      <c r="AR59" s="99"/>
      <c r="AS59" s="99"/>
      <c r="AT59" s="99"/>
      <c r="AU59" s="99"/>
      <c r="AV59" s="99"/>
      <c r="AW59" s="99"/>
      <c r="AX59" s="99"/>
      <c r="AY59" s="99"/>
      <c r="AZ59" s="99"/>
      <c r="BA59" s="99"/>
      <c r="BB59" s="99"/>
      <c r="BC59" s="99"/>
      <c r="BD59" s="99"/>
      <c r="BE59" s="99"/>
      <c r="BF59" s="99"/>
      <c r="BG59" s="99"/>
      <c r="BH59" s="99"/>
      <c r="BI59" s="99"/>
      <c r="BJ59" s="99"/>
      <c r="BK59" s="99"/>
      <c r="BL59" s="99"/>
      <c r="BM59" s="99"/>
      <c r="BN59" s="99"/>
      <c r="BO59" s="99"/>
      <c r="BP59" s="99"/>
      <c r="BQ59" s="99"/>
      <c r="BR59" s="99"/>
      <c r="BS59" s="99"/>
      <c r="BT59" s="99"/>
      <c r="BU59" s="99"/>
      <c r="BV59" s="99"/>
      <c r="BW59" s="99"/>
      <c r="BX59" s="99"/>
      <c r="BY59" s="99"/>
      <c r="BZ59" s="99"/>
      <c r="CA59" s="99"/>
      <c r="CB59" s="99"/>
      <c r="CC59" s="99"/>
      <c r="CD59" s="99"/>
      <c r="CE59" s="99"/>
      <c r="CF59" s="99"/>
      <c r="CG59" s="99"/>
      <c r="CH59" s="99"/>
      <c r="CI59" s="99"/>
      <c r="CJ59" s="99"/>
      <c r="CK59" s="99"/>
      <c r="CL59" s="99"/>
      <c r="CM59" s="99"/>
      <c r="CN59" s="99"/>
      <c r="CO59" s="99"/>
      <c r="CP59" s="99"/>
      <c r="CQ59" s="99"/>
      <c r="CR59" s="99"/>
      <c r="CS59" s="99"/>
      <c r="CT59" s="99"/>
      <c r="CU59" s="99"/>
      <c r="CV59" s="99"/>
      <c r="CW59" s="99"/>
      <c r="CX59" s="99"/>
      <c r="CY59" s="99"/>
      <c r="CZ59" s="99"/>
      <c r="DA59" s="99"/>
      <c r="DB59" s="99"/>
      <c r="DC59" s="99"/>
      <c r="DD59" s="99"/>
      <c r="DE59" s="99"/>
      <c r="DF59" s="99"/>
      <c r="DG59" s="99"/>
      <c r="DH59" s="99"/>
      <c r="DI59" s="99"/>
      <c r="DJ59" s="99"/>
      <c r="DK59" s="99"/>
      <c r="DL59" s="99"/>
      <c r="DM59" s="99"/>
      <c r="DN59" s="99"/>
      <c r="DO59" s="99"/>
      <c r="DP59" s="99"/>
      <c r="DQ59" s="99"/>
      <c r="DR59" s="99"/>
      <c r="DS59" s="99"/>
      <c r="DT59" s="99"/>
      <c r="DU59" s="99"/>
      <c r="DV59" s="99"/>
      <c r="DW59" s="99"/>
      <c r="DX59" s="99"/>
      <c r="DY59" s="99"/>
      <c r="DZ59" s="99"/>
      <c r="EA59" s="99"/>
      <c r="EB59" s="99"/>
      <c r="EC59" s="99"/>
      <c r="ED59" s="99"/>
      <c r="EE59" s="99"/>
      <c r="EF59" s="99"/>
      <c r="EG59" s="99"/>
      <c r="EH59" s="99"/>
      <c r="EI59" s="99"/>
      <c r="EJ59" s="99"/>
      <c r="EK59" s="99"/>
      <c r="EL59" s="99"/>
      <c r="EM59" s="99"/>
      <c r="EN59" s="99"/>
      <c r="EO59" s="99"/>
      <c r="EP59" s="99"/>
      <c r="EQ59" s="99"/>
      <c r="ER59" s="99"/>
      <c r="ES59" s="99"/>
      <c r="ET59" s="99"/>
      <c r="EU59" s="99"/>
      <c r="EV59" s="99"/>
      <c r="EW59" s="99"/>
      <c r="EX59" s="99"/>
      <c r="EY59" s="99"/>
      <c r="EZ59" s="99"/>
      <c r="FA59" s="99"/>
      <c r="FB59" s="99"/>
      <c r="FC59" s="99"/>
      <c r="FD59" s="99"/>
      <c r="FE59" s="99"/>
      <c r="FF59" s="99"/>
      <c r="FG59" s="99"/>
      <c r="FH59" s="99"/>
      <c r="FI59" s="99"/>
      <c r="FJ59" s="99"/>
      <c r="FK59" s="99"/>
      <c r="FL59" s="99"/>
      <c r="FM59" s="99"/>
      <c r="FN59" s="99"/>
      <c r="FO59" s="99"/>
      <c r="FP59" s="99"/>
      <c r="FQ59" s="99"/>
      <c r="FR59" s="99"/>
      <c r="FS59" s="99"/>
      <c r="FT59" s="99"/>
      <c r="FU59" s="99"/>
      <c r="FV59" s="99"/>
      <c r="FW59" s="99"/>
      <c r="FX59" s="99"/>
      <c r="FY59" s="99"/>
      <c r="FZ59" s="99"/>
      <c r="GA59" s="99"/>
      <c r="GB59" s="99"/>
      <c r="GC59" s="99"/>
      <c r="GD59" s="99"/>
      <c r="GE59" s="99"/>
      <c r="GF59" s="99"/>
      <c r="GG59" s="99"/>
      <c r="GH59" s="99"/>
      <c r="GI59" s="99"/>
      <c r="GJ59" s="99"/>
      <c r="GK59" s="99"/>
      <c r="GL59" s="99"/>
      <c r="GM59" s="99"/>
      <c r="GN59" s="99"/>
      <c r="GO59" s="99"/>
      <c r="GP59" s="99"/>
      <c r="GQ59" s="99"/>
      <c r="GR59" s="99"/>
      <c r="GS59" s="99"/>
      <c r="GT59" s="99"/>
      <c r="GU59" s="99"/>
      <c r="GV59" s="99"/>
      <c r="GW59" s="99"/>
      <c r="GX59" s="99"/>
      <c r="GY59" s="99"/>
      <c r="GZ59" s="99"/>
      <c r="HA59" s="99"/>
      <c r="HB59" s="99"/>
      <c r="HC59" s="99"/>
      <c r="HD59" s="99"/>
      <c r="HE59" s="99"/>
      <c r="HF59" s="99"/>
    </row>
    <row r="60" spans="1:214" ht="114" customHeight="1">
      <c r="A60" s="26" t="s">
        <v>76</v>
      </c>
      <c r="B60" s="62" t="s">
        <v>345</v>
      </c>
      <c r="C60" s="63" t="s">
        <v>24</v>
      </c>
      <c r="D60" s="26">
        <v>2020</v>
      </c>
      <c r="E60" s="26">
        <v>2022</v>
      </c>
      <c r="F60" s="108">
        <v>2500000</v>
      </c>
      <c r="G60" s="64">
        <v>500000</v>
      </c>
      <c r="H60" s="64">
        <v>1000000</v>
      </c>
      <c r="I60" s="64">
        <v>1000000</v>
      </c>
      <c r="J60" s="64"/>
      <c r="K60" s="64"/>
      <c r="L60" s="64"/>
      <c r="M60" s="64"/>
      <c r="N60" s="64"/>
      <c r="O60" s="64"/>
      <c r="P60" s="29">
        <f t="shared" si="10"/>
        <v>2500000</v>
      </c>
    </row>
    <row r="61" spans="1:214" ht="47.25" customHeight="1">
      <c r="A61" s="26" t="s">
        <v>77</v>
      </c>
      <c r="B61" s="65" t="s">
        <v>108</v>
      </c>
      <c r="C61" s="66" t="s">
        <v>40</v>
      </c>
      <c r="D61" s="40">
        <v>2017</v>
      </c>
      <c r="E61" s="40">
        <v>2023</v>
      </c>
      <c r="F61" s="69">
        <v>647475</v>
      </c>
      <c r="G61" s="67">
        <v>0</v>
      </c>
      <c r="H61" s="67">
        <v>0</v>
      </c>
      <c r="I61" s="67">
        <v>150000</v>
      </c>
      <c r="J61" s="67">
        <v>150000</v>
      </c>
      <c r="K61" s="67"/>
      <c r="L61" s="67"/>
      <c r="M61" s="67"/>
      <c r="N61" s="67"/>
      <c r="O61" s="67"/>
      <c r="P61" s="29">
        <f t="shared" si="10"/>
        <v>300000</v>
      </c>
    </row>
    <row r="62" spans="1:214" s="54" customFormat="1" ht="50.25" customHeight="1">
      <c r="A62" s="26" t="s">
        <v>79</v>
      </c>
      <c r="B62" s="24" t="s">
        <v>113</v>
      </c>
      <c r="C62" s="66" t="s">
        <v>40</v>
      </c>
      <c r="D62" s="26">
        <v>2019</v>
      </c>
      <c r="E62" s="26">
        <v>2020</v>
      </c>
      <c r="F62" s="61">
        <f>90000-10000</f>
        <v>80000</v>
      </c>
      <c r="G62" s="61">
        <f>70000-10000</f>
        <v>60000</v>
      </c>
      <c r="H62" s="61"/>
      <c r="I62" s="61"/>
      <c r="J62" s="61"/>
      <c r="K62" s="61"/>
      <c r="L62" s="61"/>
      <c r="M62" s="61"/>
      <c r="N62" s="61"/>
      <c r="O62" s="69"/>
      <c r="P62" s="27">
        <f t="shared" si="10"/>
        <v>60000</v>
      </c>
    </row>
    <row r="63" spans="1:214" ht="41.25" customHeight="1">
      <c r="A63" s="26" t="s">
        <v>91</v>
      </c>
      <c r="B63" s="98" t="s">
        <v>114</v>
      </c>
      <c r="C63" s="101" t="s">
        <v>107</v>
      </c>
      <c r="D63" s="40">
        <v>2019</v>
      </c>
      <c r="E63" s="40">
        <v>2020</v>
      </c>
      <c r="F63" s="69">
        <f>6500000+180000</f>
        <v>6680000</v>
      </c>
      <c r="G63" s="69">
        <v>2500000</v>
      </c>
      <c r="H63" s="69"/>
      <c r="I63" s="69"/>
      <c r="J63" s="69"/>
      <c r="K63" s="69"/>
      <c r="L63" s="69"/>
      <c r="M63" s="69"/>
      <c r="N63" s="69"/>
      <c r="O63" s="69"/>
      <c r="P63" s="27">
        <f t="shared" si="10"/>
        <v>2500000</v>
      </c>
    </row>
    <row r="64" spans="1:214" s="54" customFormat="1" ht="48" customHeight="1">
      <c r="A64" s="26" t="s">
        <v>92</v>
      </c>
      <c r="B64" s="68" t="s">
        <v>117</v>
      </c>
      <c r="C64" s="66" t="s">
        <v>40</v>
      </c>
      <c r="D64" s="40">
        <v>2019</v>
      </c>
      <c r="E64" s="40">
        <v>2020</v>
      </c>
      <c r="F64" s="69">
        <f>1901000+172252</f>
        <v>2073252</v>
      </c>
      <c r="G64" s="69">
        <f>1401000+172252</f>
        <v>1573252</v>
      </c>
      <c r="H64" s="69"/>
      <c r="I64" s="69"/>
      <c r="J64" s="69"/>
      <c r="K64" s="69"/>
      <c r="L64" s="69"/>
      <c r="M64" s="69"/>
      <c r="N64" s="69"/>
      <c r="O64" s="69"/>
      <c r="P64" s="29">
        <f t="shared" si="10"/>
        <v>1573252</v>
      </c>
    </row>
    <row r="65" spans="1:214" s="54" customFormat="1" ht="51.75" customHeight="1">
      <c r="A65" s="26" t="s">
        <v>93</v>
      </c>
      <c r="B65" s="102" t="s">
        <v>118</v>
      </c>
      <c r="C65" s="51" t="s">
        <v>40</v>
      </c>
      <c r="D65" s="104">
        <v>2017</v>
      </c>
      <c r="E65" s="104">
        <v>2020</v>
      </c>
      <c r="F65" s="61">
        <v>2106681</v>
      </c>
      <c r="G65" s="61">
        <f>949000+153946+850694</f>
        <v>1953640</v>
      </c>
      <c r="H65" s="61"/>
      <c r="I65" s="61"/>
      <c r="J65" s="61"/>
      <c r="K65" s="61"/>
      <c r="L65" s="61"/>
      <c r="M65" s="61"/>
      <c r="N65" s="61"/>
      <c r="O65" s="61"/>
      <c r="P65" s="27">
        <f t="shared" si="10"/>
        <v>1953640</v>
      </c>
    </row>
    <row r="66" spans="1:214" s="99" customFormat="1" ht="39" customHeight="1">
      <c r="A66" s="109" t="s">
        <v>94</v>
      </c>
      <c r="B66" s="171" t="s">
        <v>199</v>
      </c>
      <c r="C66" s="172" t="s">
        <v>40</v>
      </c>
      <c r="D66" s="169">
        <v>2019</v>
      </c>
      <c r="E66" s="169">
        <v>2023</v>
      </c>
      <c r="F66" s="170">
        <f>15000+75083+3500000+1400000+74175</f>
        <v>5064258</v>
      </c>
      <c r="G66" s="170">
        <f>49083+26000+1400000-1120000-207483+74175</f>
        <v>221775</v>
      </c>
      <c r="H66" s="170">
        <v>1000000</v>
      </c>
      <c r="I66" s="170">
        <v>2000000</v>
      </c>
      <c r="J66" s="170">
        <v>1827483</v>
      </c>
      <c r="K66" s="173"/>
      <c r="L66" s="173"/>
      <c r="M66" s="173"/>
      <c r="N66" s="173"/>
      <c r="O66" s="173"/>
      <c r="P66" s="110">
        <f t="shared" si="10"/>
        <v>5049258</v>
      </c>
    </row>
    <row r="67" spans="1:214" s="177" customFormat="1" ht="33.75" customHeight="1">
      <c r="A67" s="109" t="s">
        <v>102</v>
      </c>
      <c r="B67" s="174" t="s">
        <v>200</v>
      </c>
      <c r="C67" s="175" t="s">
        <v>40</v>
      </c>
      <c r="D67" s="169">
        <v>2018</v>
      </c>
      <c r="E67" s="169">
        <v>2021</v>
      </c>
      <c r="F67" s="170">
        <v>3834256</v>
      </c>
      <c r="G67" s="170">
        <v>2700600</v>
      </c>
      <c r="H67" s="170">
        <v>1099400</v>
      </c>
      <c r="I67" s="170"/>
      <c r="J67" s="170"/>
      <c r="K67" s="170"/>
      <c r="L67" s="170"/>
      <c r="M67" s="170"/>
      <c r="N67" s="170"/>
      <c r="O67" s="170"/>
      <c r="P67" s="110">
        <f t="shared" si="10"/>
        <v>3800000</v>
      </c>
      <c r="Q67" s="176"/>
      <c r="R67" s="99"/>
      <c r="S67" s="99"/>
      <c r="T67" s="99"/>
      <c r="U67" s="99"/>
      <c r="V67" s="99"/>
      <c r="W67" s="99"/>
      <c r="X67" s="99"/>
      <c r="Y67" s="99"/>
      <c r="Z67" s="99"/>
      <c r="AA67" s="99"/>
      <c r="AB67" s="99"/>
      <c r="AC67" s="99"/>
      <c r="AD67" s="99"/>
      <c r="AE67" s="99"/>
      <c r="AF67" s="99"/>
      <c r="AG67" s="99"/>
      <c r="AH67" s="99"/>
      <c r="AI67" s="99"/>
      <c r="AJ67" s="99"/>
      <c r="AK67" s="99"/>
      <c r="AL67" s="99"/>
      <c r="AM67" s="99"/>
      <c r="AN67" s="99"/>
      <c r="AO67" s="99"/>
      <c r="AP67" s="99"/>
      <c r="AQ67" s="99"/>
      <c r="AR67" s="99"/>
      <c r="AS67" s="99"/>
      <c r="AT67" s="99"/>
      <c r="AU67" s="99"/>
      <c r="AV67" s="99"/>
      <c r="AW67" s="99"/>
      <c r="AX67" s="99"/>
      <c r="AY67" s="99"/>
      <c r="AZ67" s="99"/>
      <c r="BA67" s="99"/>
      <c r="BB67" s="99"/>
      <c r="BC67" s="99"/>
      <c r="BD67" s="99"/>
      <c r="BE67" s="99"/>
      <c r="BF67" s="99"/>
      <c r="BG67" s="99"/>
      <c r="BH67" s="99"/>
      <c r="BI67" s="99"/>
      <c r="BJ67" s="99"/>
      <c r="BK67" s="99"/>
      <c r="BL67" s="99"/>
      <c r="BM67" s="99"/>
      <c r="BN67" s="99"/>
      <c r="BO67" s="99"/>
      <c r="BP67" s="99"/>
      <c r="BQ67" s="99"/>
      <c r="BR67" s="99"/>
      <c r="BS67" s="99"/>
      <c r="BT67" s="99"/>
      <c r="BU67" s="99"/>
      <c r="BV67" s="99"/>
      <c r="BW67" s="99"/>
      <c r="BX67" s="99"/>
      <c r="BY67" s="99"/>
      <c r="BZ67" s="99"/>
      <c r="CA67" s="99"/>
      <c r="CB67" s="99"/>
      <c r="CC67" s="99"/>
      <c r="CD67" s="99"/>
      <c r="CE67" s="99"/>
      <c r="CF67" s="99"/>
      <c r="CG67" s="99"/>
      <c r="CH67" s="99"/>
      <c r="CI67" s="99"/>
      <c r="CJ67" s="99"/>
      <c r="CK67" s="99"/>
      <c r="CL67" s="99"/>
      <c r="CM67" s="99"/>
      <c r="CN67" s="99"/>
      <c r="CO67" s="99"/>
      <c r="CP67" s="99"/>
      <c r="CQ67" s="99"/>
      <c r="CR67" s="99"/>
      <c r="CS67" s="99"/>
      <c r="CT67" s="99"/>
      <c r="CU67" s="99"/>
      <c r="CV67" s="99"/>
      <c r="CW67" s="99"/>
      <c r="CX67" s="99"/>
      <c r="CY67" s="99"/>
      <c r="CZ67" s="99"/>
      <c r="DA67" s="99"/>
      <c r="DB67" s="99"/>
      <c r="DC67" s="99"/>
      <c r="DD67" s="99"/>
      <c r="DE67" s="99"/>
      <c r="DF67" s="99"/>
      <c r="DG67" s="99"/>
      <c r="DH67" s="99"/>
      <c r="DI67" s="99"/>
      <c r="DJ67" s="99"/>
      <c r="DK67" s="99"/>
      <c r="DL67" s="99"/>
      <c r="DM67" s="99"/>
      <c r="DN67" s="99"/>
      <c r="DO67" s="99"/>
      <c r="DP67" s="99"/>
      <c r="DQ67" s="99"/>
      <c r="DR67" s="99"/>
      <c r="DS67" s="99"/>
      <c r="DT67" s="99"/>
      <c r="DU67" s="99"/>
      <c r="DV67" s="99"/>
      <c r="DW67" s="99"/>
      <c r="DX67" s="99"/>
      <c r="DY67" s="99"/>
      <c r="DZ67" s="99"/>
      <c r="EA67" s="99"/>
      <c r="EB67" s="99"/>
      <c r="EC67" s="99"/>
      <c r="ED67" s="99"/>
      <c r="EE67" s="99"/>
      <c r="EF67" s="99"/>
      <c r="EG67" s="99"/>
      <c r="EH67" s="99"/>
      <c r="EI67" s="99"/>
      <c r="EJ67" s="99"/>
      <c r="EK67" s="99"/>
      <c r="EL67" s="99"/>
      <c r="EM67" s="99"/>
      <c r="EN67" s="99"/>
      <c r="EO67" s="99"/>
      <c r="EP67" s="99"/>
      <c r="EQ67" s="99"/>
      <c r="ER67" s="99"/>
      <c r="ES67" s="99"/>
      <c r="ET67" s="99"/>
      <c r="EU67" s="99"/>
      <c r="EV67" s="99"/>
      <c r="EW67" s="99"/>
      <c r="EX67" s="99"/>
      <c r="EY67" s="99"/>
      <c r="EZ67" s="99"/>
      <c r="FA67" s="99"/>
      <c r="FB67" s="99"/>
      <c r="FC67" s="99"/>
      <c r="FD67" s="99"/>
      <c r="FE67" s="99"/>
      <c r="FF67" s="99"/>
      <c r="FG67" s="99"/>
      <c r="FH67" s="99"/>
      <c r="FI67" s="99"/>
      <c r="FJ67" s="99"/>
      <c r="FK67" s="99"/>
      <c r="FL67" s="99"/>
      <c r="FM67" s="99"/>
      <c r="FN67" s="99"/>
      <c r="FO67" s="99"/>
      <c r="FP67" s="99"/>
      <c r="FQ67" s="99"/>
      <c r="FR67" s="99"/>
      <c r="FS67" s="99"/>
      <c r="FT67" s="99"/>
      <c r="FU67" s="99"/>
      <c r="FV67" s="99"/>
      <c r="FW67" s="99"/>
      <c r="FX67" s="99"/>
      <c r="FY67" s="99"/>
      <c r="FZ67" s="99"/>
      <c r="GA67" s="99"/>
      <c r="GB67" s="99"/>
      <c r="GC67" s="99"/>
      <c r="GD67" s="99"/>
      <c r="GE67" s="99"/>
      <c r="GF67" s="99"/>
      <c r="GG67" s="99"/>
      <c r="GH67" s="99"/>
      <c r="GI67" s="99"/>
      <c r="GJ67" s="99"/>
      <c r="GK67" s="99"/>
      <c r="GL67" s="99"/>
      <c r="GM67" s="99"/>
      <c r="GN67" s="99"/>
      <c r="GO67" s="99"/>
      <c r="GP67" s="99"/>
      <c r="GQ67" s="99"/>
      <c r="GR67" s="99"/>
      <c r="GS67" s="99"/>
      <c r="GT67" s="99"/>
      <c r="GU67" s="99"/>
      <c r="GV67" s="99"/>
      <c r="GW67" s="99"/>
      <c r="GX67" s="99"/>
      <c r="GY67" s="99"/>
      <c r="GZ67" s="99"/>
      <c r="HA67" s="99"/>
      <c r="HB67" s="99"/>
      <c r="HC67" s="99"/>
      <c r="HD67" s="99"/>
      <c r="HE67" s="99"/>
      <c r="HF67" s="99"/>
    </row>
    <row r="68" spans="1:214" ht="40.5" customHeight="1">
      <c r="A68" s="26" t="s">
        <v>109</v>
      </c>
      <c r="B68" s="70" t="s">
        <v>201</v>
      </c>
      <c r="C68" s="71" t="s">
        <v>202</v>
      </c>
      <c r="D68" s="72">
        <v>2020</v>
      </c>
      <c r="E68" s="72">
        <v>2024</v>
      </c>
      <c r="F68" s="138">
        <v>600000</v>
      </c>
      <c r="G68" s="138">
        <v>0</v>
      </c>
      <c r="H68" s="138">
        <v>50000</v>
      </c>
      <c r="I68" s="138">
        <v>200000</v>
      </c>
      <c r="J68" s="138">
        <v>350000</v>
      </c>
      <c r="K68" s="138">
        <v>0</v>
      </c>
      <c r="L68" s="138"/>
      <c r="M68" s="138"/>
      <c r="N68" s="138"/>
      <c r="O68" s="138"/>
      <c r="P68" s="27">
        <f t="shared" si="10"/>
        <v>600000</v>
      </c>
    </row>
    <row r="69" spans="1:214" ht="32.25" customHeight="1">
      <c r="A69" s="26" t="s">
        <v>110</v>
      </c>
      <c r="B69" s="70" t="s">
        <v>203</v>
      </c>
      <c r="C69" s="71" t="s">
        <v>202</v>
      </c>
      <c r="D69" s="72">
        <v>2020</v>
      </c>
      <c r="E69" s="72">
        <v>2026</v>
      </c>
      <c r="F69" s="138">
        <v>800000</v>
      </c>
      <c r="G69" s="138">
        <v>0</v>
      </c>
      <c r="H69" s="138">
        <v>50000</v>
      </c>
      <c r="I69" s="138">
        <v>250000</v>
      </c>
      <c r="J69" s="138">
        <v>250000</v>
      </c>
      <c r="K69" s="138">
        <v>250000</v>
      </c>
      <c r="L69" s="138">
        <v>0</v>
      </c>
      <c r="M69" s="138">
        <v>0</v>
      </c>
      <c r="N69" s="138"/>
      <c r="O69" s="138"/>
      <c r="P69" s="27">
        <f t="shared" si="10"/>
        <v>800000</v>
      </c>
    </row>
    <row r="70" spans="1:214" ht="35.25" customHeight="1">
      <c r="A70" s="26" t="s">
        <v>111</v>
      </c>
      <c r="B70" s="70" t="s">
        <v>204</v>
      </c>
      <c r="C70" s="71" t="s">
        <v>202</v>
      </c>
      <c r="D70" s="72">
        <v>2020</v>
      </c>
      <c r="E70" s="72">
        <v>2024</v>
      </c>
      <c r="F70" s="73">
        <v>1500000</v>
      </c>
      <c r="G70" s="73">
        <v>0</v>
      </c>
      <c r="H70" s="73">
        <v>80000</v>
      </c>
      <c r="I70" s="73">
        <v>0</v>
      </c>
      <c r="J70" s="73">
        <v>0</v>
      </c>
      <c r="K70" s="73">
        <v>1420000</v>
      </c>
      <c r="L70" s="73"/>
      <c r="M70" s="73"/>
      <c r="N70" s="73"/>
      <c r="O70" s="73"/>
      <c r="P70" s="29">
        <f t="shared" si="10"/>
        <v>1500000</v>
      </c>
    </row>
    <row r="71" spans="1:214" ht="32.25" customHeight="1">
      <c r="A71" s="26" t="s">
        <v>112</v>
      </c>
      <c r="B71" s="70" t="s">
        <v>205</v>
      </c>
      <c r="C71" s="71" t="s">
        <v>202</v>
      </c>
      <c r="D71" s="72">
        <v>2020</v>
      </c>
      <c r="E71" s="72">
        <v>2024</v>
      </c>
      <c r="F71" s="73">
        <v>440000</v>
      </c>
      <c r="G71" s="73">
        <v>0</v>
      </c>
      <c r="H71" s="73">
        <v>40000</v>
      </c>
      <c r="I71" s="73">
        <v>150000</v>
      </c>
      <c r="J71" s="73">
        <v>150000</v>
      </c>
      <c r="K71" s="73">
        <v>100000</v>
      </c>
      <c r="L71" s="73"/>
      <c r="M71" s="73"/>
      <c r="N71" s="73"/>
      <c r="O71" s="73"/>
      <c r="P71" s="29">
        <f t="shared" si="10"/>
        <v>440000</v>
      </c>
    </row>
    <row r="72" spans="1:214" s="177" customFormat="1" ht="52.5" customHeight="1">
      <c r="A72" s="109" t="s">
        <v>115</v>
      </c>
      <c r="B72" s="179" t="s">
        <v>206</v>
      </c>
      <c r="C72" s="180" t="s">
        <v>202</v>
      </c>
      <c r="D72" s="178">
        <v>2020</v>
      </c>
      <c r="E72" s="178">
        <v>2025</v>
      </c>
      <c r="F72" s="181">
        <v>4500000</v>
      </c>
      <c r="G72" s="181">
        <v>0</v>
      </c>
      <c r="H72" s="181">
        <v>150000</v>
      </c>
      <c r="I72" s="181">
        <v>0</v>
      </c>
      <c r="J72" s="181">
        <v>1000000</v>
      </c>
      <c r="K72" s="181">
        <v>1500000</v>
      </c>
      <c r="L72" s="181">
        <v>1850000</v>
      </c>
      <c r="M72" s="181"/>
      <c r="N72" s="181"/>
      <c r="O72" s="181"/>
      <c r="P72" s="110">
        <f t="shared" si="10"/>
        <v>4500000</v>
      </c>
      <c r="Q72" s="99"/>
      <c r="R72" s="99"/>
      <c r="S72" s="99"/>
      <c r="T72" s="99"/>
      <c r="U72" s="99"/>
      <c r="V72" s="99"/>
      <c r="W72" s="99"/>
      <c r="X72" s="99"/>
      <c r="Y72" s="99"/>
      <c r="Z72" s="99"/>
      <c r="AA72" s="99"/>
      <c r="AB72" s="99"/>
      <c r="AC72" s="99"/>
      <c r="AD72" s="99"/>
      <c r="AE72" s="99"/>
      <c r="AF72" s="99"/>
      <c r="AG72" s="99"/>
      <c r="AH72" s="99"/>
      <c r="AI72" s="99"/>
      <c r="AJ72" s="99"/>
      <c r="AK72" s="99"/>
      <c r="AL72" s="99"/>
      <c r="AM72" s="99"/>
      <c r="AN72" s="99"/>
      <c r="AO72" s="99"/>
      <c r="AP72" s="99"/>
      <c r="AQ72" s="99"/>
      <c r="AR72" s="99"/>
      <c r="AS72" s="99"/>
      <c r="AT72" s="99"/>
      <c r="AU72" s="99"/>
      <c r="AV72" s="99"/>
      <c r="AW72" s="99"/>
      <c r="AX72" s="99"/>
      <c r="AY72" s="99"/>
      <c r="AZ72" s="99"/>
      <c r="BA72" s="99"/>
      <c r="BB72" s="99"/>
      <c r="BC72" s="99"/>
      <c r="BD72" s="99"/>
      <c r="BE72" s="99"/>
      <c r="BF72" s="99"/>
      <c r="BG72" s="99"/>
      <c r="BH72" s="99"/>
      <c r="BI72" s="99"/>
      <c r="BJ72" s="99"/>
      <c r="BK72" s="99"/>
      <c r="BL72" s="99"/>
      <c r="BM72" s="99"/>
      <c r="BN72" s="99"/>
      <c r="BO72" s="99"/>
      <c r="BP72" s="99"/>
      <c r="BQ72" s="99"/>
      <c r="BR72" s="99"/>
      <c r="BS72" s="99"/>
      <c r="BT72" s="99"/>
      <c r="BU72" s="99"/>
      <c r="BV72" s="99"/>
      <c r="BW72" s="99"/>
      <c r="BX72" s="99"/>
      <c r="BY72" s="99"/>
      <c r="BZ72" s="99"/>
      <c r="CA72" s="99"/>
      <c r="CB72" s="99"/>
      <c r="CC72" s="99"/>
      <c r="CD72" s="99"/>
      <c r="CE72" s="99"/>
      <c r="CF72" s="99"/>
      <c r="CG72" s="99"/>
      <c r="CH72" s="99"/>
      <c r="CI72" s="99"/>
      <c r="CJ72" s="99"/>
      <c r="CK72" s="99"/>
      <c r="CL72" s="99"/>
      <c r="CM72" s="99"/>
      <c r="CN72" s="99"/>
      <c r="CO72" s="99"/>
      <c r="CP72" s="99"/>
      <c r="CQ72" s="99"/>
      <c r="CR72" s="99"/>
      <c r="CS72" s="99"/>
      <c r="CT72" s="99"/>
      <c r="CU72" s="99"/>
      <c r="CV72" s="99"/>
      <c r="CW72" s="99"/>
      <c r="CX72" s="99"/>
      <c r="CY72" s="99"/>
      <c r="CZ72" s="99"/>
      <c r="DA72" s="99"/>
      <c r="DB72" s="99"/>
      <c r="DC72" s="99"/>
      <c r="DD72" s="99"/>
      <c r="DE72" s="99"/>
      <c r="DF72" s="99"/>
      <c r="DG72" s="99"/>
      <c r="DH72" s="99"/>
      <c r="DI72" s="99"/>
      <c r="DJ72" s="99"/>
      <c r="DK72" s="99"/>
      <c r="DL72" s="99"/>
      <c r="DM72" s="99"/>
      <c r="DN72" s="99"/>
      <c r="DO72" s="99"/>
      <c r="DP72" s="99"/>
      <c r="DQ72" s="99"/>
      <c r="DR72" s="99"/>
      <c r="DS72" s="99"/>
      <c r="DT72" s="99"/>
      <c r="DU72" s="99"/>
      <c r="DV72" s="99"/>
      <c r="DW72" s="99"/>
      <c r="DX72" s="99"/>
      <c r="DY72" s="99"/>
      <c r="DZ72" s="99"/>
      <c r="EA72" s="99"/>
      <c r="EB72" s="99"/>
      <c r="EC72" s="99"/>
      <c r="ED72" s="99"/>
      <c r="EE72" s="99"/>
      <c r="EF72" s="99"/>
      <c r="EG72" s="99"/>
      <c r="EH72" s="99"/>
      <c r="EI72" s="99"/>
      <c r="EJ72" s="99"/>
      <c r="EK72" s="99"/>
      <c r="EL72" s="99"/>
      <c r="EM72" s="99"/>
      <c r="EN72" s="99"/>
      <c r="EO72" s="99"/>
      <c r="EP72" s="99"/>
      <c r="EQ72" s="99"/>
      <c r="ER72" s="99"/>
      <c r="ES72" s="99"/>
      <c r="ET72" s="99"/>
      <c r="EU72" s="99"/>
      <c r="EV72" s="99"/>
      <c r="EW72" s="99"/>
      <c r="EX72" s="99"/>
      <c r="EY72" s="99"/>
      <c r="EZ72" s="99"/>
      <c r="FA72" s="99"/>
      <c r="FB72" s="99"/>
      <c r="FC72" s="99"/>
      <c r="FD72" s="99"/>
      <c r="FE72" s="99"/>
      <c r="FF72" s="99"/>
      <c r="FG72" s="99"/>
      <c r="FH72" s="99"/>
      <c r="FI72" s="99"/>
      <c r="FJ72" s="99"/>
      <c r="FK72" s="99"/>
      <c r="FL72" s="99"/>
      <c r="FM72" s="99"/>
      <c r="FN72" s="99"/>
      <c r="FO72" s="99"/>
      <c r="FP72" s="99"/>
      <c r="FQ72" s="99"/>
      <c r="FR72" s="99"/>
      <c r="FS72" s="99"/>
      <c r="FT72" s="99"/>
      <c r="FU72" s="99"/>
      <c r="FV72" s="99"/>
      <c r="FW72" s="99"/>
      <c r="FX72" s="99"/>
      <c r="FY72" s="99"/>
      <c r="FZ72" s="99"/>
      <c r="GA72" s="99"/>
      <c r="GB72" s="99"/>
      <c r="GC72" s="99"/>
      <c r="GD72" s="99"/>
      <c r="GE72" s="99"/>
      <c r="GF72" s="99"/>
      <c r="GG72" s="99"/>
      <c r="GH72" s="99"/>
      <c r="GI72" s="99"/>
      <c r="GJ72" s="99"/>
      <c r="GK72" s="99"/>
      <c r="GL72" s="99"/>
      <c r="GM72" s="99"/>
      <c r="GN72" s="99"/>
      <c r="GO72" s="99"/>
      <c r="GP72" s="99"/>
      <c r="GQ72" s="99"/>
      <c r="GR72" s="99"/>
      <c r="GS72" s="99"/>
      <c r="GT72" s="99"/>
      <c r="GU72" s="99"/>
      <c r="GV72" s="99"/>
      <c r="GW72" s="99"/>
      <c r="GX72" s="99"/>
      <c r="GY72" s="99"/>
      <c r="GZ72" s="99"/>
      <c r="HA72" s="99"/>
      <c r="HB72" s="99"/>
      <c r="HC72" s="99"/>
      <c r="HD72" s="99"/>
      <c r="HE72" s="99"/>
      <c r="HF72" s="99"/>
    </row>
    <row r="73" spans="1:214" s="177" customFormat="1" ht="50.25" customHeight="1">
      <c r="A73" s="109" t="s">
        <v>119</v>
      </c>
      <c r="B73" s="179" t="s">
        <v>207</v>
      </c>
      <c r="C73" s="180" t="s">
        <v>202</v>
      </c>
      <c r="D73" s="178">
        <v>2020</v>
      </c>
      <c r="E73" s="178">
        <v>2025</v>
      </c>
      <c r="F73" s="181">
        <v>3150000</v>
      </c>
      <c r="G73" s="181">
        <v>0</v>
      </c>
      <c r="H73" s="181">
        <v>150000</v>
      </c>
      <c r="I73" s="181">
        <v>500000</v>
      </c>
      <c r="J73" s="181">
        <v>500000</v>
      </c>
      <c r="K73" s="181">
        <v>1000000</v>
      </c>
      <c r="L73" s="181">
        <v>1000000</v>
      </c>
      <c r="M73" s="181"/>
      <c r="N73" s="181"/>
      <c r="O73" s="181"/>
      <c r="P73" s="110">
        <f t="shared" si="10"/>
        <v>3150000</v>
      </c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99"/>
      <c r="AC73" s="99"/>
      <c r="AD73" s="99"/>
      <c r="AE73" s="99"/>
      <c r="AF73" s="99"/>
      <c r="AG73" s="99"/>
      <c r="AH73" s="99"/>
      <c r="AI73" s="99"/>
      <c r="AJ73" s="99"/>
      <c r="AK73" s="99"/>
      <c r="AL73" s="99"/>
      <c r="AM73" s="99"/>
      <c r="AN73" s="99"/>
      <c r="AO73" s="99"/>
      <c r="AP73" s="99"/>
      <c r="AQ73" s="99"/>
      <c r="AR73" s="99"/>
      <c r="AS73" s="99"/>
      <c r="AT73" s="99"/>
      <c r="AU73" s="99"/>
      <c r="AV73" s="99"/>
      <c r="AW73" s="99"/>
      <c r="AX73" s="99"/>
      <c r="AY73" s="99"/>
      <c r="AZ73" s="99"/>
      <c r="BA73" s="99"/>
      <c r="BB73" s="99"/>
      <c r="BC73" s="99"/>
      <c r="BD73" s="99"/>
      <c r="BE73" s="99"/>
      <c r="BF73" s="99"/>
      <c r="BG73" s="99"/>
      <c r="BH73" s="99"/>
      <c r="BI73" s="99"/>
      <c r="BJ73" s="99"/>
      <c r="BK73" s="99"/>
      <c r="BL73" s="99"/>
      <c r="BM73" s="99"/>
      <c r="BN73" s="99"/>
      <c r="BO73" s="99"/>
      <c r="BP73" s="99"/>
      <c r="BQ73" s="99"/>
      <c r="BR73" s="99"/>
      <c r="BS73" s="99"/>
      <c r="BT73" s="99"/>
      <c r="BU73" s="99"/>
      <c r="BV73" s="99"/>
      <c r="BW73" s="99"/>
      <c r="BX73" s="99"/>
      <c r="BY73" s="99"/>
      <c r="BZ73" s="99"/>
      <c r="CA73" s="99"/>
      <c r="CB73" s="99"/>
      <c r="CC73" s="99"/>
      <c r="CD73" s="99"/>
      <c r="CE73" s="99"/>
      <c r="CF73" s="99"/>
      <c r="CG73" s="99"/>
      <c r="CH73" s="99"/>
      <c r="CI73" s="99"/>
      <c r="CJ73" s="99"/>
      <c r="CK73" s="99"/>
      <c r="CL73" s="99"/>
      <c r="CM73" s="99"/>
      <c r="CN73" s="99"/>
      <c r="CO73" s="99"/>
      <c r="CP73" s="99"/>
      <c r="CQ73" s="99"/>
      <c r="CR73" s="99"/>
      <c r="CS73" s="99"/>
      <c r="CT73" s="99"/>
      <c r="CU73" s="99"/>
      <c r="CV73" s="99"/>
      <c r="CW73" s="99"/>
      <c r="CX73" s="99"/>
      <c r="CY73" s="99"/>
      <c r="CZ73" s="99"/>
      <c r="DA73" s="99"/>
      <c r="DB73" s="99"/>
      <c r="DC73" s="99"/>
      <c r="DD73" s="99"/>
      <c r="DE73" s="99"/>
      <c r="DF73" s="99"/>
      <c r="DG73" s="99"/>
      <c r="DH73" s="99"/>
      <c r="DI73" s="99"/>
      <c r="DJ73" s="99"/>
      <c r="DK73" s="99"/>
      <c r="DL73" s="99"/>
      <c r="DM73" s="99"/>
      <c r="DN73" s="99"/>
      <c r="DO73" s="99"/>
      <c r="DP73" s="99"/>
      <c r="DQ73" s="99"/>
      <c r="DR73" s="99"/>
      <c r="DS73" s="99"/>
      <c r="DT73" s="99"/>
      <c r="DU73" s="99"/>
      <c r="DV73" s="99"/>
      <c r="DW73" s="99"/>
      <c r="DX73" s="99"/>
      <c r="DY73" s="99"/>
      <c r="DZ73" s="99"/>
      <c r="EA73" s="99"/>
      <c r="EB73" s="99"/>
      <c r="EC73" s="99"/>
      <c r="ED73" s="99"/>
      <c r="EE73" s="99"/>
      <c r="EF73" s="99"/>
      <c r="EG73" s="99"/>
      <c r="EH73" s="99"/>
      <c r="EI73" s="99"/>
      <c r="EJ73" s="99"/>
      <c r="EK73" s="99"/>
      <c r="EL73" s="99"/>
      <c r="EM73" s="99"/>
      <c r="EN73" s="99"/>
      <c r="EO73" s="99"/>
      <c r="EP73" s="99"/>
      <c r="EQ73" s="99"/>
      <c r="ER73" s="99"/>
      <c r="ES73" s="99"/>
      <c r="ET73" s="99"/>
      <c r="EU73" s="99"/>
      <c r="EV73" s="99"/>
      <c r="EW73" s="99"/>
      <c r="EX73" s="99"/>
      <c r="EY73" s="99"/>
      <c r="EZ73" s="99"/>
      <c r="FA73" s="99"/>
      <c r="FB73" s="99"/>
      <c r="FC73" s="99"/>
      <c r="FD73" s="99"/>
      <c r="FE73" s="99"/>
      <c r="FF73" s="99"/>
      <c r="FG73" s="99"/>
      <c r="FH73" s="99"/>
      <c r="FI73" s="99"/>
      <c r="FJ73" s="99"/>
      <c r="FK73" s="99"/>
      <c r="FL73" s="99"/>
      <c r="FM73" s="99"/>
      <c r="FN73" s="99"/>
      <c r="FO73" s="99"/>
      <c r="FP73" s="99"/>
      <c r="FQ73" s="99"/>
      <c r="FR73" s="99"/>
      <c r="FS73" s="99"/>
      <c r="FT73" s="99"/>
      <c r="FU73" s="99"/>
      <c r="FV73" s="99"/>
      <c r="FW73" s="99"/>
      <c r="FX73" s="99"/>
      <c r="FY73" s="99"/>
      <c r="FZ73" s="99"/>
      <c r="GA73" s="99"/>
      <c r="GB73" s="99"/>
      <c r="GC73" s="99"/>
      <c r="GD73" s="99"/>
      <c r="GE73" s="99"/>
      <c r="GF73" s="99"/>
      <c r="GG73" s="99"/>
      <c r="GH73" s="99"/>
      <c r="GI73" s="99"/>
      <c r="GJ73" s="99"/>
      <c r="GK73" s="99"/>
      <c r="GL73" s="99"/>
      <c r="GM73" s="99"/>
      <c r="GN73" s="99"/>
      <c r="GO73" s="99"/>
      <c r="GP73" s="99"/>
      <c r="GQ73" s="99"/>
      <c r="GR73" s="99"/>
      <c r="GS73" s="99"/>
      <c r="GT73" s="99"/>
      <c r="GU73" s="99"/>
      <c r="GV73" s="99"/>
      <c r="GW73" s="99"/>
      <c r="GX73" s="99"/>
      <c r="GY73" s="99"/>
      <c r="GZ73" s="99"/>
      <c r="HA73" s="99"/>
      <c r="HB73" s="99"/>
      <c r="HC73" s="99"/>
      <c r="HD73" s="99"/>
      <c r="HE73" s="99"/>
      <c r="HF73" s="99"/>
    </row>
    <row r="74" spans="1:214" s="177" customFormat="1" ht="49.5" customHeight="1">
      <c r="A74" s="109" t="s">
        <v>122</v>
      </c>
      <c r="B74" s="179" t="s">
        <v>208</v>
      </c>
      <c r="C74" s="180" t="s">
        <v>202</v>
      </c>
      <c r="D74" s="178">
        <v>2020</v>
      </c>
      <c r="E74" s="178">
        <v>2024</v>
      </c>
      <c r="F74" s="181">
        <v>1270000</v>
      </c>
      <c r="G74" s="181">
        <v>0</v>
      </c>
      <c r="H74" s="181">
        <v>70000</v>
      </c>
      <c r="I74" s="181">
        <v>0</v>
      </c>
      <c r="J74" s="181">
        <v>600000</v>
      </c>
      <c r="K74" s="181">
        <v>600000</v>
      </c>
      <c r="L74" s="181"/>
      <c r="M74" s="181"/>
      <c r="N74" s="181"/>
      <c r="O74" s="181"/>
      <c r="P74" s="110">
        <f t="shared" si="10"/>
        <v>1270000</v>
      </c>
      <c r="Q74" s="99"/>
      <c r="R74" s="99"/>
      <c r="S74" s="99"/>
      <c r="T74" s="99"/>
      <c r="U74" s="99"/>
      <c r="V74" s="99"/>
      <c r="W74" s="99"/>
      <c r="X74" s="99"/>
      <c r="Y74" s="99"/>
      <c r="Z74" s="99"/>
      <c r="AA74" s="99"/>
      <c r="AB74" s="99"/>
      <c r="AC74" s="99"/>
      <c r="AD74" s="99"/>
      <c r="AE74" s="99"/>
      <c r="AF74" s="99"/>
      <c r="AG74" s="99"/>
      <c r="AH74" s="99"/>
      <c r="AI74" s="99"/>
      <c r="AJ74" s="99"/>
      <c r="AK74" s="99"/>
      <c r="AL74" s="99"/>
      <c r="AM74" s="99"/>
      <c r="AN74" s="99"/>
      <c r="AO74" s="99"/>
      <c r="AP74" s="99"/>
      <c r="AQ74" s="99"/>
      <c r="AR74" s="99"/>
      <c r="AS74" s="99"/>
      <c r="AT74" s="99"/>
      <c r="AU74" s="99"/>
      <c r="AV74" s="99"/>
      <c r="AW74" s="99"/>
      <c r="AX74" s="99"/>
      <c r="AY74" s="99"/>
      <c r="AZ74" s="99"/>
      <c r="BA74" s="99"/>
      <c r="BB74" s="99"/>
      <c r="BC74" s="99"/>
      <c r="BD74" s="99"/>
      <c r="BE74" s="99"/>
      <c r="BF74" s="99"/>
      <c r="BG74" s="99"/>
      <c r="BH74" s="99"/>
      <c r="BI74" s="99"/>
      <c r="BJ74" s="99"/>
      <c r="BK74" s="99"/>
      <c r="BL74" s="99"/>
      <c r="BM74" s="99"/>
      <c r="BN74" s="99"/>
      <c r="BO74" s="99"/>
      <c r="BP74" s="99"/>
      <c r="BQ74" s="99"/>
      <c r="BR74" s="99"/>
      <c r="BS74" s="99"/>
      <c r="BT74" s="99"/>
      <c r="BU74" s="99"/>
      <c r="BV74" s="99"/>
      <c r="BW74" s="99"/>
      <c r="BX74" s="99"/>
      <c r="BY74" s="99"/>
      <c r="BZ74" s="99"/>
      <c r="CA74" s="99"/>
      <c r="CB74" s="99"/>
      <c r="CC74" s="99"/>
      <c r="CD74" s="99"/>
      <c r="CE74" s="99"/>
      <c r="CF74" s="99"/>
      <c r="CG74" s="99"/>
      <c r="CH74" s="99"/>
      <c r="CI74" s="99"/>
      <c r="CJ74" s="99"/>
      <c r="CK74" s="99"/>
      <c r="CL74" s="99"/>
      <c r="CM74" s="99"/>
      <c r="CN74" s="99"/>
      <c r="CO74" s="99"/>
      <c r="CP74" s="99"/>
      <c r="CQ74" s="99"/>
      <c r="CR74" s="99"/>
      <c r="CS74" s="99"/>
      <c r="CT74" s="99"/>
      <c r="CU74" s="99"/>
      <c r="CV74" s="99"/>
      <c r="CW74" s="99"/>
      <c r="CX74" s="99"/>
      <c r="CY74" s="99"/>
      <c r="CZ74" s="99"/>
      <c r="DA74" s="99"/>
      <c r="DB74" s="99"/>
      <c r="DC74" s="99"/>
      <c r="DD74" s="99"/>
      <c r="DE74" s="99"/>
      <c r="DF74" s="99"/>
      <c r="DG74" s="99"/>
      <c r="DH74" s="99"/>
      <c r="DI74" s="99"/>
      <c r="DJ74" s="99"/>
      <c r="DK74" s="99"/>
      <c r="DL74" s="99"/>
      <c r="DM74" s="99"/>
      <c r="DN74" s="99"/>
      <c r="DO74" s="99"/>
      <c r="DP74" s="99"/>
      <c r="DQ74" s="99"/>
      <c r="DR74" s="99"/>
      <c r="DS74" s="99"/>
      <c r="DT74" s="99"/>
      <c r="DU74" s="99"/>
      <c r="DV74" s="99"/>
      <c r="DW74" s="99"/>
      <c r="DX74" s="99"/>
      <c r="DY74" s="99"/>
      <c r="DZ74" s="99"/>
      <c r="EA74" s="99"/>
      <c r="EB74" s="99"/>
      <c r="EC74" s="99"/>
      <c r="ED74" s="99"/>
      <c r="EE74" s="99"/>
      <c r="EF74" s="99"/>
      <c r="EG74" s="99"/>
      <c r="EH74" s="99"/>
      <c r="EI74" s="99"/>
      <c r="EJ74" s="99"/>
      <c r="EK74" s="99"/>
      <c r="EL74" s="99"/>
      <c r="EM74" s="99"/>
      <c r="EN74" s="99"/>
      <c r="EO74" s="99"/>
      <c r="EP74" s="99"/>
      <c r="EQ74" s="99"/>
      <c r="ER74" s="99"/>
      <c r="ES74" s="99"/>
      <c r="ET74" s="99"/>
      <c r="EU74" s="99"/>
      <c r="EV74" s="99"/>
      <c r="EW74" s="99"/>
      <c r="EX74" s="99"/>
      <c r="EY74" s="99"/>
      <c r="EZ74" s="99"/>
      <c r="FA74" s="99"/>
      <c r="FB74" s="99"/>
      <c r="FC74" s="99"/>
      <c r="FD74" s="99"/>
      <c r="FE74" s="99"/>
      <c r="FF74" s="99"/>
      <c r="FG74" s="99"/>
      <c r="FH74" s="99"/>
      <c r="FI74" s="99"/>
      <c r="FJ74" s="99"/>
      <c r="FK74" s="99"/>
      <c r="FL74" s="99"/>
      <c r="FM74" s="99"/>
      <c r="FN74" s="99"/>
      <c r="FO74" s="99"/>
      <c r="FP74" s="99"/>
      <c r="FQ74" s="99"/>
      <c r="FR74" s="99"/>
      <c r="FS74" s="99"/>
      <c r="FT74" s="99"/>
      <c r="FU74" s="99"/>
      <c r="FV74" s="99"/>
      <c r="FW74" s="99"/>
      <c r="FX74" s="99"/>
      <c r="FY74" s="99"/>
      <c r="FZ74" s="99"/>
      <c r="GA74" s="99"/>
      <c r="GB74" s="99"/>
      <c r="GC74" s="99"/>
      <c r="GD74" s="99"/>
      <c r="GE74" s="99"/>
      <c r="GF74" s="99"/>
      <c r="GG74" s="99"/>
      <c r="GH74" s="99"/>
      <c r="GI74" s="99"/>
      <c r="GJ74" s="99"/>
      <c r="GK74" s="99"/>
      <c r="GL74" s="99"/>
      <c r="GM74" s="99"/>
      <c r="GN74" s="99"/>
      <c r="GO74" s="99"/>
      <c r="GP74" s="99"/>
      <c r="GQ74" s="99"/>
      <c r="GR74" s="99"/>
      <c r="GS74" s="99"/>
      <c r="GT74" s="99"/>
      <c r="GU74" s="99"/>
      <c r="GV74" s="99"/>
      <c r="GW74" s="99"/>
      <c r="GX74" s="99"/>
      <c r="GY74" s="99"/>
      <c r="GZ74" s="99"/>
      <c r="HA74" s="99"/>
      <c r="HB74" s="99"/>
      <c r="HC74" s="99"/>
      <c r="HD74" s="99"/>
      <c r="HE74" s="99"/>
      <c r="HF74" s="99"/>
    </row>
    <row r="75" spans="1:214" ht="47.25" customHeight="1">
      <c r="A75" s="26" t="s">
        <v>219</v>
      </c>
      <c r="B75" s="70" t="s">
        <v>209</v>
      </c>
      <c r="C75" s="71" t="s">
        <v>202</v>
      </c>
      <c r="D75" s="72">
        <v>2020</v>
      </c>
      <c r="E75" s="72">
        <v>2025</v>
      </c>
      <c r="F75" s="73">
        <v>2070000</v>
      </c>
      <c r="G75" s="73">
        <v>0</v>
      </c>
      <c r="H75" s="73">
        <v>70000</v>
      </c>
      <c r="I75" s="73">
        <v>0</v>
      </c>
      <c r="J75" s="73">
        <v>0</v>
      </c>
      <c r="K75" s="73">
        <v>0</v>
      </c>
      <c r="L75" s="73">
        <v>2000000</v>
      </c>
      <c r="M75" s="73"/>
      <c r="N75" s="73"/>
      <c r="O75" s="73"/>
      <c r="P75" s="29">
        <f t="shared" si="10"/>
        <v>2070000</v>
      </c>
    </row>
    <row r="76" spans="1:214" ht="35.25" customHeight="1">
      <c r="A76" s="190" t="s">
        <v>220</v>
      </c>
      <c r="B76" s="70" t="s">
        <v>352</v>
      </c>
      <c r="C76" s="71" t="s">
        <v>202</v>
      </c>
      <c r="D76" s="191">
        <v>2020</v>
      </c>
      <c r="E76" s="191">
        <v>2024</v>
      </c>
      <c r="F76" s="73">
        <v>4500000</v>
      </c>
      <c r="G76" s="73">
        <v>0</v>
      </c>
      <c r="H76" s="73">
        <v>150000</v>
      </c>
      <c r="I76" s="73">
        <v>0</v>
      </c>
      <c r="J76" s="73">
        <v>2000000</v>
      </c>
      <c r="K76" s="73">
        <v>2350000</v>
      </c>
      <c r="L76" s="73"/>
      <c r="M76" s="73"/>
      <c r="N76" s="73"/>
      <c r="O76" s="73"/>
      <c r="P76" s="35">
        <f t="shared" si="10"/>
        <v>4500000</v>
      </c>
    </row>
    <row r="77" spans="1:214" ht="51" customHeight="1">
      <c r="A77" s="26" t="s">
        <v>221</v>
      </c>
      <c r="B77" s="70" t="s">
        <v>210</v>
      </c>
      <c r="C77" s="71" t="s">
        <v>202</v>
      </c>
      <c r="D77" s="72">
        <v>2020</v>
      </c>
      <c r="E77" s="72">
        <v>2022</v>
      </c>
      <c r="F77" s="73">
        <v>150000</v>
      </c>
      <c r="G77" s="73">
        <v>0</v>
      </c>
      <c r="H77" s="73">
        <v>30000</v>
      </c>
      <c r="I77" s="73">
        <v>120000</v>
      </c>
      <c r="J77" s="73"/>
      <c r="K77" s="73"/>
      <c r="L77" s="73"/>
      <c r="M77" s="73"/>
      <c r="N77" s="73"/>
      <c r="O77" s="73"/>
      <c r="P77" s="29">
        <f t="shared" si="10"/>
        <v>150000</v>
      </c>
    </row>
    <row r="78" spans="1:214" ht="30.75" customHeight="1">
      <c r="A78" s="26" t="s">
        <v>222</v>
      </c>
      <c r="B78" s="70" t="s">
        <v>211</v>
      </c>
      <c r="C78" s="71" t="s">
        <v>202</v>
      </c>
      <c r="D78" s="72">
        <v>2020</v>
      </c>
      <c r="E78" s="72">
        <v>2027</v>
      </c>
      <c r="F78" s="138">
        <v>790000</v>
      </c>
      <c r="G78" s="138">
        <v>0</v>
      </c>
      <c r="H78" s="138">
        <v>40000</v>
      </c>
      <c r="I78" s="138"/>
      <c r="J78" s="138">
        <v>250000</v>
      </c>
      <c r="K78" s="138">
        <v>250000</v>
      </c>
      <c r="L78" s="138">
        <v>250000</v>
      </c>
      <c r="M78" s="138">
        <v>0</v>
      </c>
      <c r="N78" s="138">
        <v>0</v>
      </c>
      <c r="O78" s="138"/>
      <c r="P78" s="27">
        <f t="shared" si="10"/>
        <v>790000</v>
      </c>
    </row>
    <row r="79" spans="1:214" ht="32.25" customHeight="1">
      <c r="A79" s="26" t="s">
        <v>223</v>
      </c>
      <c r="B79" s="74" t="s">
        <v>212</v>
      </c>
      <c r="C79" s="71" t="s">
        <v>202</v>
      </c>
      <c r="D79" s="72">
        <v>2019</v>
      </c>
      <c r="E79" s="72">
        <v>2021</v>
      </c>
      <c r="F79" s="73">
        <v>350000</v>
      </c>
      <c r="G79" s="73">
        <v>0</v>
      </c>
      <c r="H79" s="73">
        <v>200000</v>
      </c>
      <c r="I79" s="73"/>
      <c r="J79" s="73"/>
      <c r="K79" s="73"/>
      <c r="L79" s="73"/>
      <c r="M79" s="73"/>
      <c r="N79" s="73"/>
      <c r="O79" s="73"/>
      <c r="P79" s="29">
        <f t="shared" si="10"/>
        <v>200000</v>
      </c>
    </row>
    <row r="80" spans="1:214" s="177" customFormat="1" ht="35.25" customHeight="1">
      <c r="A80" s="109" t="s">
        <v>224</v>
      </c>
      <c r="B80" s="179" t="s">
        <v>213</v>
      </c>
      <c r="C80" s="180" t="s">
        <v>202</v>
      </c>
      <c r="D80" s="178">
        <v>2020</v>
      </c>
      <c r="E80" s="178">
        <v>2026</v>
      </c>
      <c r="F80" s="181">
        <v>5200000</v>
      </c>
      <c r="G80" s="181">
        <v>0</v>
      </c>
      <c r="H80" s="181">
        <v>0</v>
      </c>
      <c r="I80" s="181">
        <v>0</v>
      </c>
      <c r="J80" s="181">
        <v>150000</v>
      </c>
      <c r="K80" s="181">
        <v>0</v>
      </c>
      <c r="L80" s="181">
        <v>2500000</v>
      </c>
      <c r="M80" s="181">
        <v>2550000</v>
      </c>
      <c r="N80" s="181"/>
      <c r="O80" s="181"/>
      <c r="P80" s="110">
        <f t="shared" si="10"/>
        <v>5200000</v>
      </c>
      <c r="Q80" s="99"/>
      <c r="R80" s="99"/>
      <c r="S80" s="99"/>
      <c r="T80" s="99"/>
      <c r="U80" s="99"/>
      <c r="V80" s="99"/>
      <c r="W80" s="99"/>
      <c r="X80" s="99"/>
      <c r="Y80" s="99"/>
      <c r="Z80" s="99"/>
      <c r="AA80" s="99"/>
      <c r="AB80" s="99"/>
      <c r="AC80" s="99"/>
      <c r="AD80" s="99"/>
      <c r="AE80" s="99"/>
      <c r="AF80" s="99"/>
      <c r="AG80" s="99"/>
      <c r="AH80" s="99"/>
      <c r="AI80" s="99"/>
      <c r="AJ80" s="99"/>
      <c r="AK80" s="99"/>
      <c r="AL80" s="99"/>
      <c r="AM80" s="99"/>
      <c r="AN80" s="99"/>
      <c r="AO80" s="99"/>
      <c r="AP80" s="99"/>
      <c r="AQ80" s="99"/>
      <c r="AR80" s="99"/>
      <c r="AS80" s="99"/>
      <c r="AT80" s="99"/>
      <c r="AU80" s="99"/>
      <c r="AV80" s="99"/>
      <c r="AW80" s="99"/>
      <c r="AX80" s="99"/>
      <c r="AY80" s="99"/>
      <c r="AZ80" s="99"/>
      <c r="BA80" s="99"/>
      <c r="BB80" s="99"/>
      <c r="BC80" s="99"/>
      <c r="BD80" s="99"/>
      <c r="BE80" s="99"/>
      <c r="BF80" s="99"/>
      <c r="BG80" s="99"/>
      <c r="BH80" s="99"/>
      <c r="BI80" s="99"/>
      <c r="BJ80" s="99"/>
      <c r="BK80" s="99"/>
      <c r="BL80" s="99"/>
      <c r="BM80" s="99"/>
      <c r="BN80" s="99"/>
      <c r="BO80" s="99"/>
      <c r="BP80" s="99"/>
      <c r="BQ80" s="99"/>
      <c r="BR80" s="99"/>
      <c r="BS80" s="99"/>
      <c r="BT80" s="99"/>
      <c r="BU80" s="99"/>
      <c r="BV80" s="99"/>
      <c r="BW80" s="99"/>
      <c r="BX80" s="99"/>
      <c r="BY80" s="99"/>
      <c r="BZ80" s="99"/>
      <c r="CA80" s="99"/>
      <c r="CB80" s="99"/>
      <c r="CC80" s="99"/>
      <c r="CD80" s="99"/>
      <c r="CE80" s="99"/>
      <c r="CF80" s="99"/>
      <c r="CG80" s="99"/>
      <c r="CH80" s="99"/>
      <c r="CI80" s="99"/>
      <c r="CJ80" s="99"/>
      <c r="CK80" s="99"/>
      <c r="CL80" s="99"/>
      <c r="CM80" s="99"/>
      <c r="CN80" s="99"/>
      <c r="CO80" s="99"/>
      <c r="CP80" s="99"/>
      <c r="CQ80" s="99"/>
      <c r="CR80" s="99"/>
      <c r="CS80" s="99"/>
      <c r="CT80" s="99"/>
      <c r="CU80" s="99"/>
      <c r="CV80" s="99"/>
      <c r="CW80" s="99"/>
      <c r="CX80" s="99"/>
      <c r="CY80" s="99"/>
      <c r="CZ80" s="99"/>
      <c r="DA80" s="99"/>
      <c r="DB80" s="99"/>
      <c r="DC80" s="99"/>
      <c r="DD80" s="99"/>
      <c r="DE80" s="99"/>
      <c r="DF80" s="99"/>
      <c r="DG80" s="99"/>
      <c r="DH80" s="99"/>
      <c r="DI80" s="99"/>
      <c r="DJ80" s="99"/>
      <c r="DK80" s="99"/>
      <c r="DL80" s="99"/>
      <c r="DM80" s="99"/>
      <c r="DN80" s="99"/>
      <c r="DO80" s="99"/>
      <c r="DP80" s="99"/>
      <c r="DQ80" s="99"/>
      <c r="DR80" s="99"/>
      <c r="DS80" s="99"/>
      <c r="DT80" s="99"/>
      <c r="DU80" s="99"/>
      <c r="DV80" s="99"/>
      <c r="DW80" s="99"/>
      <c r="DX80" s="99"/>
      <c r="DY80" s="99"/>
      <c r="DZ80" s="99"/>
      <c r="EA80" s="99"/>
      <c r="EB80" s="99"/>
      <c r="EC80" s="99"/>
      <c r="ED80" s="99"/>
      <c r="EE80" s="99"/>
      <c r="EF80" s="99"/>
      <c r="EG80" s="99"/>
      <c r="EH80" s="99"/>
      <c r="EI80" s="99"/>
      <c r="EJ80" s="99"/>
      <c r="EK80" s="99"/>
      <c r="EL80" s="99"/>
      <c r="EM80" s="99"/>
      <c r="EN80" s="99"/>
      <c r="EO80" s="99"/>
      <c r="EP80" s="99"/>
      <c r="EQ80" s="99"/>
      <c r="ER80" s="99"/>
      <c r="ES80" s="99"/>
      <c r="ET80" s="99"/>
      <c r="EU80" s="99"/>
      <c r="EV80" s="99"/>
      <c r="EW80" s="99"/>
      <c r="EX80" s="99"/>
      <c r="EY80" s="99"/>
      <c r="EZ80" s="99"/>
      <c r="FA80" s="99"/>
      <c r="FB80" s="99"/>
      <c r="FC80" s="99"/>
      <c r="FD80" s="99"/>
      <c r="FE80" s="99"/>
      <c r="FF80" s="99"/>
      <c r="FG80" s="99"/>
      <c r="FH80" s="99"/>
      <c r="FI80" s="99"/>
      <c r="FJ80" s="99"/>
      <c r="FK80" s="99"/>
      <c r="FL80" s="99"/>
      <c r="FM80" s="99"/>
      <c r="FN80" s="99"/>
      <c r="FO80" s="99"/>
      <c r="FP80" s="99"/>
      <c r="FQ80" s="99"/>
      <c r="FR80" s="99"/>
      <c r="FS80" s="99"/>
      <c r="FT80" s="99"/>
      <c r="FU80" s="99"/>
      <c r="FV80" s="99"/>
      <c r="FW80" s="99"/>
      <c r="FX80" s="99"/>
      <c r="FY80" s="99"/>
      <c r="FZ80" s="99"/>
      <c r="GA80" s="99"/>
      <c r="GB80" s="99"/>
      <c r="GC80" s="99"/>
      <c r="GD80" s="99"/>
      <c r="GE80" s="99"/>
      <c r="GF80" s="99"/>
      <c r="GG80" s="99"/>
      <c r="GH80" s="99"/>
      <c r="GI80" s="99"/>
      <c r="GJ80" s="99"/>
      <c r="GK80" s="99"/>
      <c r="GL80" s="99"/>
      <c r="GM80" s="99"/>
      <c r="GN80" s="99"/>
      <c r="GO80" s="99"/>
      <c r="GP80" s="99"/>
      <c r="GQ80" s="99"/>
      <c r="GR80" s="99"/>
      <c r="GS80" s="99"/>
      <c r="GT80" s="99"/>
      <c r="GU80" s="99"/>
      <c r="GV80" s="99"/>
      <c r="GW80" s="99"/>
      <c r="GX80" s="99"/>
      <c r="GY80" s="99"/>
      <c r="GZ80" s="99"/>
      <c r="HA80" s="99"/>
      <c r="HB80" s="99"/>
      <c r="HC80" s="99"/>
      <c r="HD80" s="99"/>
      <c r="HE80" s="99"/>
      <c r="HF80" s="99"/>
    </row>
    <row r="81" spans="1:214" ht="38.25" customHeight="1">
      <c r="A81" s="26" t="s">
        <v>225</v>
      </c>
      <c r="B81" s="70" t="s">
        <v>214</v>
      </c>
      <c r="C81" s="71" t="s">
        <v>202</v>
      </c>
      <c r="D81" s="72">
        <v>2020</v>
      </c>
      <c r="E81" s="72">
        <v>2028</v>
      </c>
      <c r="F81" s="73">
        <v>2120000</v>
      </c>
      <c r="G81" s="73">
        <v>0</v>
      </c>
      <c r="H81" s="73">
        <v>0</v>
      </c>
      <c r="I81" s="73">
        <v>120000</v>
      </c>
      <c r="J81" s="73">
        <v>0</v>
      </c>
      <c r="K81" s="73">
        <v>0</v>
      </c>
      <c r="L81" s="73">
        <v>500000</v>
      </c>
      <c r="M81" s="73">
        <v>500000</v>
      </c>
      <c r="N81" s="73">
        <v>500000</v>
      </c>
      <c r="O81" s="73">
        <v>500000</v>
      </c>
      <c r="P81" s="29">
        <f t="shared" si="10"/>
        <v>2120000</v>
      </c>
    </row>
    <row r="82" spans="1:214" s="177" customFormat="1" ht="33.75" customHeight="1">
      <c r="A82" s="109" t="s">
        <v>226</v>
      </c>
      <c r="B82" s="179" t="s">
        <v>215</v>
      </c>
      <c r="C82" s="180" t="s">
        <v>202</v>
      </c>
      <c r="D82" s="178">
        <v>2020</v>
      </c>
      <c r="E82" s="178">
        <v>2025</v>
      </c>
      <c r="F82" s="181">
        <v>2100000</v>
      </c>
      <c r="G82" s="181">
        <v>0</v>
      </c>
      <c r="H82" s="181">
        <v>0</v>
      </c>
      <c r="I82" s="181">
        <v>100000</v>
      </c>
      <c r="J82" s="181">
        <v>0</v>
      </c>
      <c r="K82" s="181">
        <v>1000000</v>
      </c>
      <c r="L82" s="181">
        <v>1000000</v>
      </c>
      <c r="M82" s="181"/>
      <c r="N82" s="181"/>
      <c r="O82" s="181"/>
      <c r="P82" s="110">
        <f t="shared" si="10"/>
        <v>2100000</v>
      </c>
      <c r="Q82" s="99"/>
      <c r="R82" s="99"/>
      <c r="S82" s="99"/>
      <c r="T82" s="99"/>
      <c r="U82" s="99"/>
      <c r="V82" s="99"/>
      <c r="W82" s="99"/>
      <c r="X82" s="99"/>
      <c r="Y82" s="99"/>
      <c r="Z82" s="99"/>
      <c r="AA82" s="99"/>
      <c r="AB82" s="99"/>
      <c r="AC82" s="99"/>
      <c r="AD82" s="99"/>
      <c r="AE82" s="99"/>
      <c r="AF82" s="99"/>
      <c r="AG82" s="99"/>
      <c r="AH82" s="99"/>
      <c r="AI82" s="99"/>
      <c r="AJ82" s="99"/>
      <c r="AK82" s="99"/>
      <c r="AL82" s="99"/>
      <c r="AM82" s="99"/>
      <c r="AN82" s="99"/>
      <c r="AO82" s="99"/>
      <c r="AP82" s="99"/>
      <c r="AQ82" s="99"/>
      <c r="AR82" s="99"/>
      <c r="AS82" s="99"/>
      <c r="AT82" s="99"/>
      <c r="AU82" s="99"/>
      <c r="AV82" s="99"/>
      <c r="AW82" s="99"/>
      <c r="AX82" s="99"/>
      <c r="AY82" s="99"/>
      <c r="AZ82" s="99"/>
      <c r="BA82" s="99"/>
      <c r="BB82" s="99"/>
      <c r="BC82" s="99"/>
      <c r="BD82" s="99"/>
      <c r="BE82" s="99"/>
      <c r="BF82" s="99"/>
      <c r="BG82" s="99"/>
      <c r="BH82" s="99"/>
      <c r="BI82" s="99"/>
      <c r="BJ82" s="99"/>
      <c r="BK82" s="99"/>
      <c r="BL82" s="99"/>
      <c r="BM82" s="99"/>
      <c r="BN82" s="99"/>
      <c r="BO82" s="99"/>
      <c r="BP82" s="99"/>
      <c r="BQ82" s="99"/>
      <c r="BR82" s="99"/>
      <c r="BS82" s="99"/>
      <c r="BT82" s="99"/>
      <c r="BU82" s="99"/>
      <c r="BV82" s="99"/>
      <c r="BW82" s="99"/>
      <c r="BX82" s="99"/>
      <c r="BY82" s="99"/>
      <c r="BZ82" s="99"/>
      <c r="CA82" s="99"/>
      <c r="CB82" s="99"/>
      <c r="CC82" s="99"/>
      <c r="CD82" s="99"/>
      <c r="CE82" s="99"/>
      <c r="CF82" s="99"/>
      <c r="CG82" s="99"/>
      <c r="CH82" s="99"/>
      <c r="CI82" s="99"/>
      <c r="CJ82" s="99"/>
      <c r="CK82" s="99"/>
      <c r="CL82" s="99"/>
      <c r="CM82" s="99"/>
      <c r="CN82" s="99"/>
      <c r="CO82" s="99"/>
      <c r="CP82" s="99"/>
      <c r="CQ82" s="99"/>
      <c r="CR82" s="99"/>
      <c r="CS82" s="99"/>
      <c r="CT82" s="99"/>
      <c r="CU82" s="99"/>
      <c r="CV82" s="99"/>
      <c r="CW82" s="99"/>
      <c r="CX82" s="99"/>
      <c r="CY82" s="99"/>
      <c r="CZ82" s="99"/>
      <c r="DA82" s="99"/>
      <c r="DB82" s="99"/>
      <c r="DC82" s="99"/>
      <c r="DD82" s="99"/>
      <c r="DE82" s="99"/>
      <c r="DF82" s="99"/>
      <c r="DG82" s="99"/>
      <c r="DH82" s="99"/>
      <c r="DI82" s="99"/>
      <c r="DJ82" s="99"/>
      <c r="DK82" s="99"/>
      <c r="DL82" s="99"/>
      <c r="DM82" s="99"/>
      <c r="DN82" s="99"/>
      <c r="DO82" s="99"/>
      <c r="DP82" s="99"/>
      <c r="DQ82" s="99"/>
      <c r="DR82" s="99"/>
      <c r="DS82" s="99"/>
      <c r="DT82" s="99"/>
      <c r="DU82" s="99"/>
      <c r="DV82" s="99"/>
      <c r="DW82" s="99"/>
      <c r="DX82" s="99"/>
      <c r="DY82" s="99"/>
      <c r="DZ82" s="99"/>
      <c r="EA82" s="99"/>
      <c r="EB82" s="99"/>
      <c r="EC82" s="99"/>
      <c r="ED82" s="99"/>
      <c r="EE82" s="99"/>
      <c r="EF82" s="99"/>
      <c r="EG82" s="99"/>
      <c r="EH82" s="99"/>
      <c r="EI82" s="99"/>
      <c r="EJ82" s="99"/>
      <c r="EK82" s="99"/>
      <c r="EL82" s="99"/>
      <c r="EM82" s="99"/>
      <c r="EN82" s="99"/>
      <c r="EO82" s="99"/>
      <c r="EP82" s="99"/>
      <c r="EQ82" s="99"/>
      <c r="ER82" s="99"/>
      <c r="ES82" s="99"/>
      <c r="ET82" s="99"/>
      <c r="EU82" s="99"/>
      <c r="EV82" s="99"/>
      <c r="EW82" s="99"/>
      <c r="EX82" s="99"/>
      <c r="EY82" s="99"/>
      <c r="EZ82" s="99"/>
      <c r="FA82" s="99"/>
      <c r="FB82" s="99"/>
      <c r="FC82" s="99"/>
      <c r="FD82" s="99"/>
      <c r="FE82" s="99"/>
      <c r="FF82" s="99"/>
      <c r="FG82" s="99"/>
      <c r="FH82" s="99"/>
      <c r="FI82" s="99"/>
      <c r="FJ82" s="99"/>
      <c r="FK82" s="99"/>
      <c r="FL82" s="99"/>
      <c r="FM82" s="99"/>
      <c r="FN82" s="99"/>
      <c r="FO82" s="99"/>
      <c r="FP82" s="99"/>
      <c r="FQ82" s="99"/>
      <c r="FR82" s="99"/>
      <c r="FS82" s="99"/>
      <c r="FT82" s="99"/>
      <c r="FU82" s="99"/>
      <c r="FV82" s="99"/>
      <c r="FW82" s="99"/>
      <c r="FX82" s="99"/>
      <c r="FY82" s="99"/>
      <c r="FZ82" s="99"/>
      <c r="GA82" s="99"/>
      <c r="GB82" s="99"/>
      <c r="GC82" s="99"/>
      <c r="GD82" s="99"/>
      <c r="GE82" s="99"/>
      <c r="GF82" s="99"/>
      <c r="GG82" s="99"/>
      <c r="GH82" s="99"/>
      <c r="GI82" s="99"/>
      <c r="GJ82" s="99"/>
      <c r="GK82" s="99"/>
      <c r="GL82" s="99"/>
      <c r="GM82" s="99"/>
      <c r="GN82" s="99"/>
      <c r="GO82" s="99"/>
      <c r="GP82" s="99"/>
      <c r="GQ82" s="99"/>
      <c r="GR82" s="99"/>
      <c r="GS82" s="99"/>
      <c r="GT82" s="99"/>
      <c r="GU82" s="99"/>
      <c r="GV82" s="99"/>
      <c r="GW82" s="99"/>
      <c r="GX82" s="99"/>
      <c r="GY82" s="99"/>
      <c r="GZ82" s="99"/>
      <c r="HA82" s="99"/>
      <c r="HB82" s="99"/>
      <c r="HC82" s="99"/>
      <c r="HD82" s="99"/>
      <c r="HE82" s="99"/>
      <c r="HF82" s="99"/>
    </row>
    <row r="83" spans="1:214" ht="30.75" customHeight="1">
      <c r="A83" s="26" t="s">
        <v>227</v>
      </c>
      <c r="B83" s="70" t="s">
        <v>216</v>
      </c>
      <c r="C83" s="71" t="s">
        <v>202</v>
      </c>
      <c r="D83" s="72">
        <v>2020</v>
      </c>
      <c r="E83" s="72">
        <v>2025</v>
      </c>
      <c r="F83" s="73">
        <v>750000</v>
      </c>
      <c r="G83" s="73">
        <v>0</v>
      </c>
      <c r="H83" s="73">
        <v>0</v>
      </c>
      <c r="I83" s="73">
        <v>100000</v>
      </c>
      <c r="J83" s="73">
        <v>0</v>
      </c>
      <c r="K83" s="73">
        <v>300000</v>
      </c>
      <c r="L83" s="73">
        <v>300000</v>
      </c>
      <c r="M83" s="73"/>
      <c r="N83" s="73"/>
      <c r="O83" s="73"/>
      <c r="P83" s="29">
        <f t="shared" si="10"/>
        <v>700000</v>
      </c>
    </row>
    <row r="84" spans="1:214" s="177" customFormat="1" ht="33" customHeight="1">
      <c r="A84" s="109" t="s">
        <v>228</v>
      </c>
      <c r="B84" s="185" t="s">
        <v>351</v>
      </c>
      <c r="C84" s="175" t="s">
        <v>202</v>
      </c>
      <c r="D84" s="182">
        <v>2020</v>
      </c>
      <c r="E84" s="182">
        <v>2025</v>
      </c>
      <c r="F84" s="183">
        <v>1560000</v>
      </c>
      <c r="G84" s="183">
        <v>0</v>
      </c>
      <c r="H84" s="183">
        <v>390000</v>
      </c>
      <c r="I84" s="183">
        <v>390000</v>
      </c>
      <c r="J84" s="183">
        <v>260000</v>
      </c>
      <c r="K84" s="183">
        <v>390000</v>
      </c>
      <c r="L84" s="183">
        <v>130000</v>
      </c>
      <c r="M84" s="183"/>
      <c r="N84" s="183"/>
      <c r="O84" s="183"/>
      <c r="P84" s="184">
        <f t="shared" si="10"/>
        <v>1560000</v>
      </c>
      <c r="Q84" s="99"/>
      <c r="R84" s="99"/>
      <c r="S84" s="99"/>
      <c r="T84" s="99"/>
      <c r="U84" s="99"/>
      <c r="V84" s="99"/>
      <c r="W84" s="99"/>
      <c r="X84" s="99"/>
      <c r="Y84" s="99"/>
      <c r="Z84" s="99"/>
      <c r="AA84" s="99"/>
      <c r="AB84" s="99"/>
      <c r="AC84" s="99"/>
      <c r="AD84" s="99"/>
      <c r="AE84" s="99"/>
      <c r="AF84" s="99"/>
      <c r="AG84" s="99"/>
      <c r="AH84" s="99"/>
      <c r="AI84" s="99"/>
      <c r="AJ84" s="99"/>
      <c r="AK84" s="99"/>
      <c r="AL84" s="99"/>
      <c r="AM84" s="99"/>
      <c r="AN84" s="99"/>
      <c r="AO84" s="99"/>
      <c r="AP84" s="99"/>
      <c r="AQ84" s="99"/>
      <c r="AR84" s="99"/>
      <c r="AS84" s="99"/>
      <c r="AT84" s="99"/>
      <c r="AU84" s="99"/>
      <c r="AV84" s="99"/>
      <c r="AW84" s="99"/>
      <c r="AX84" s="99"/>
      <c r="AY84" s="99"/>
      <c r="AZ84" s="99"/>
      <c r="BA84" s="99"/>
      <c r="BB84" s="99"/>
      <c r="BC84" s="99"/>
      <c r="BD84" s="99"/>
      <c r="BE84" s="99"/>
      <c r="BF84" s="99"/>
      <c r="BG84" s="99"/>
      <c r="BH84" s="99"/>
      <c r="BI84" s="99"/>
      <c r="BJ84" s="99"/>
      <c r="BK84" s="99"/>
      <c r="BL84" s="99"/>
      <c r="BM84" s="99"/>
      <c r="BN84" s="99"/>
      <c r="BO84" s="99"/>
      <c r="BP84" s="99"/>
      <c r="BQ84" s="99"/>
      <c r="BR84" s="99"/>
      <c r="BS84" s="99"/>
      <c r="BT84" s="99"/>
      <c r="BU84" s="99"/>
      <c r="BV84" s="99"/>
      <c r="BW84" s="99"/>
      <c r="BX84" s="99"/>
      <c r="BY84" s="99"/>
      <c r="BZ84" s="99"/>
      <c r="CA84" s="99"/>
      <c r="CB84" s="99"/>
      <c r="CC84" s="99"/>
      <c r="CD84" s="99"/>
      <c r="CE84" s="99"/>
      <c r="CF84" s="99"/>
      <c r="CG84" s="99"/>
      <c r="CH84" s="99"/>
      <c r="CI84" s="99"/>
      <c r="CJ84" s="99"/>
      <c r="CK84" s="99"/>
      <c r="CL84" s="99"/>
      <c r="CM84" s="99"/>
      <c r="CN84" s="99"/>
      <c r="CO84" s="99"/>
      <c r="CP84" s="99"/>
      <c r="CQ84" s="99"/>
      <c r="CR84" s="99"/>
      <c r="CS84" s="99"/>
      <c r="CT84" s="99"/>
      <c r="CU84" s="99"/>
      <c r="CV84" s="99"/>
      <c r="CW84" s="99"/>
      <c r="CX84" s="99"/>
      <c r="CY84" s="99"/>
      <c r="CZ84" s="99"/>
      <c r="DA84" s="99"/>
      <c r="DB84" s="99"/>
      <c r="DC84" s="99"/>
      <c r="DD84" s="99"/>
      <c r="DE84" s="99"/>
      <c r="DF84" s="99"/>
      <c r="DG84" s="99"/>
      <c r="DH84" s="99"/>
      <c r="DI84" s="99"/>
      <c r="DJ84" s="99"/>
      <c r="DK84" s="99"/>
      <c r="DL84" s="99"/>
      <c r="DM84" s="99"/>
      <c r="DN84" s="99"/>
      <c r="DO84" s="99"/>
      <c r="DP84" s="99"/>
      <c r="DQ84" s="99"/>
      <c r="DR84" s="99"/>
      <c r="DS84" s="99"/>
      <c r="DT84" s="99"/>
      <c r="DU84" s="99"/>
      <c r="DV84" s="99"/>
      <c r="DW84" s="99"/>
      <c r="DX84" s="99"/>
      <c r="DY84" s="99"/>
      <c r="DZ84" s="99"/>
      <c r="EA84" s="99"/>
      <c r="EB84" s="99"/>
      <c r="EC84" s="99"/>
      <c r="ED84" s="99"/>
      <c r="EE84" s="99"/>
      <c r="EF84" s="99"/>
      <c r="EG84" s="99"/>
      <c r="EH84" s="99"/>
      <c r="EI84" s="99"/>
      <c r="EJ84" s="99"/>
      <c r="EK84" s="99"/>
      <c r="EL84" s="99"/>
      <c r="EM84" s="99"/>
      <c r="EN84" s="99"/>
      <c r="EO84" s="99"/>
      <c r="EP84" s="99"/>
      <c r="EQ84" s="99"/>
      <c r="ER84" s="99"/>
      <c r="ES84" s="99"/>
      <c r="ET84" s="99"/>
      <c r="EU84" s="99"/>
      <c r="EV84" s="99"/>
      <c r="EW84" s="99"/>
      <c r="EX84" s="99"/>
      <c r="EY84" s="99"/>
      <c r="EZ84" s="99"/>
      <c r="FA84" s="99"/>
      <c r="FB84" s="99"/>
      <c r="FC84" s="99"/>
      <c r="FD84" s="99"/>
      <c r="FE84" s="99"/>
      <c r="FF84" s="99"/>
      <c r="FG84" s="99"/>
      <c r="FH84" s="99"/>
      <c r="FI84" s="99"/>
      <c r="FJ84" s="99"/>
      <c r="FK84" s="99"/>
      <c r="FL84" s="99"/>
      <c r="FM84" s="99"/>
      <c r="FN84" s="99"/>
      <c r="FO84" s="99"/>
      <c r="FP84" s="99"/>
      <c r="FQ84" s="99"/>
      <c r="FR84" s="99"/>
      <c r="FS84" s="99"/>
      <c r="FT84" s="99"/>
      <c r="FU84" s="99"/>
      <c r="FV84" s="99"/>
      <c r="FW84" s="99"/>
      <c r="FX84" s="99"/>
      <c r="FY84" s="99"/>
      <c r="FZ84" s="99"/>
      <c r="GA84" s="99"/>
      <c r="GB84" s="99"/>
      <c r="GC84" s="99"/>
      <c r="GD84" s="99"/>
      <c r="GE84" s="99"/>
      <c r="GF84" s="99"/>
      <c r="GG84" s="99"/>
      <c r="GH84" s="99"/>
      <c r="GI84" s="99"/>
      <c r="GJ84" s="99"/>
      <c r="GK84" s="99"/>
      <c r="GL84" s="99"/>
      <c r="GM84" s="99"/>
      <c r="GN84" s="99"/>
      <c r="GO84" s="99"/>
      <c r="GP84" s="99"/>
      <c r="GQ84" s="99"/>
      <c r="GR84" s="99"/>
      <c r="GS84" s="99"/>
      <c r="GT84" s="99"/>
      <c r="GU84" s="99"/>
      <c r="GV84" s="99"/>
      <c r="GW84" s="99"/>
      <c r="GX84" s="99"/>
      <c r="GY84" s="99"/>
      <c r="GZ84" s="99"/>
      <c r="HA84" s="99"/>
      <c r="HB84" s="99"/>
      <c r="HC84" s="99"/>
      <c r="HD84" s="99"/>
      <c r="HE84" s="99"/>
      <c r="HF84" s="99"/>
    </row>
    <row r="85" spans="1:214" s="54" customFormat="1" ht="42.75" customHeight="1">
      <c r="A85" s="76" t="s">
        <v>229</v>
      </c>
      <c r="B85" s="139" t="s">
        <v>230</v>
      </c>
      <c r="C85" s="95" t="s">
        <v>231</v>
      </c>
      <c r="D85" s="76">
        <v>2020</v>
      </c>
      <c r="E85" s="76">
        <v>2022</v>
      </c>
      <c r="F85" s="137">
        <v>2000000</v>
      </c>
      <c r="G85" s="121">
        <v>0</v>
      </c>
      <c r="H85" s="140">
        <v>2000000</v>
      </c>
      <c r="I85" s="140">
        <v>0</v>
      </c>
      <c r="J85" s="137">
        <v>0</v>
      </c>
      <c r="K85" s="137">
        <v>0</v>
      </c>
      <c r="L85" s="137">
        <v>0</v>
      </c>
      <c r="M85" s="137">
        <v>0</v>
      </c>
      <c r="N85" s="137">
        <v>0</v>
      </c>
      <c r="O85" s="137">
        <v>0</v>
      </c>
      <c r="P85" s="140">
        <f t="shared" si="10"/>
        <v>2000000</v>
      </c>
    </row>
    <row r="86" spans="1:214" ht="36" customHeight="1">
      <c r="A86" s="115" t="s">
        <v>355</v>
      </c>
      <c r="B86" s="207" t="s">
        <v>354</v>
      </c>
      <c r="C86" s="180" t="s">
        <v>202</v>
      </c>
      <c r="D86" s="208">
        <v>2019</v>
      </c>
      <c r="E86" s="208">
        <v>2020</v>
      </c>
      <c r="F86" s="209">
        <f>144502+54650</f>
        <v>199152</v>
      </c>
      <c r="G86" s="209">
        <v>54650</v>
      </c>
      <c r="H86" s="209"/>
      <c r="I86" s="209"/>
      <c r="J86" s="209"/>
      <c r="K86" s="209"/>
      <c r="L86" s="209"/>
      <c r="M86" s="209"/>
      <c r="N86" s="209"/>
      <c r="O86" s="209"/>
      <c r="P86" s="209">
        <f t="shared" si="10"/>
        <v>54650</v>
      </c>
    </row>
  </sheetData>
  <sheetProtection algorithmName="SHA-512" hashValue="t9Rp8hfXYUdVwhAL/fLj9qnHFPwAd3Hok0Kg1t9ac9cZ7kQunNB2GPD+pwg8h8wp19xmPD1iCXRdAsHZ2yPudg==" saltValue="kmGme99uQMX42CZDQjOeNA==" spinCount="100000" sheet="1" objects="1" scenarios="1"/>
  <mergeCells count="20">
    <mergeCell ref="A1:P1"/>
    <mergeCell ref="A4:A5"/>
    <mergeCell ref="B4:B5"/>
    <mergeCell ref="C4:C5"/>
    <mergeCell ref="D4:E4"/>
    <mergeCell ref="F4:F5"/>
    <mergeCell ref="G4:O4"/>
    <mergeCell ref="P4:P5"/>
    <mergeCell ref="B32:E32"/>
    <mergeCell ref="B7:E7"/>
    <mergeCell ref="B8:E8"/>
    <mergeCell ref="B9:E9"/>
    <mergeCell ref="B10:E10"/>
    <mergeCell ref="B11:E11"/>
    <mergeCell ref="B21:E21"/>
    <mergeCell ref="B23:E23"/>
    <mergeCell ref="B24:E24"/>
    <mergeCell ref="B25:E25"/>
    <mergeCell ref="B26:E26"/>
    <mergeCell ref="B27:E27"/>
  </mergeCells>
  <pageMargins left="0.31496062992125984" right="0.31496062992125984" top="0.94488188976377963" bottom="0.55118110236220474" header="0.51181102362204722" footer="0.31496062992125984"/>
  <pageSetup paperSize="9" scale="57" fitToHeight="0" orientation="landscape" horizontalDpi="4294967294" verticalDpi="0" r:id="rId1"/>
  <headerFooter differentOddEven="1" differentFirst="1" alignWithMargins="0">
    <oddFooter>&amp;C&amp;P</oddFooter>
    <evenFooter>&amp;C&amp;P</evenFooter>
    <firstHeader>&amp;RZałącznik Nr 2
do uchwały Nr ................
Rady  Powiatu  Otwockiego
z dnia .............................</firstHeader>
    <firstFooter>&amp;C&amp;P</firstFooter>
  </headerFooter>
  <rowBreaks count="3" manualBreakCount="3">
    <brk id="28" max="22" man="1"/>
    <brk id="47" max="16383" man="1"/>
    <brk id="6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4</vt:i4>
      </vt:variant>
    </vt:vector>
  </HeadingPairs>
  <TitlesOfParts>
    <vt:vector size="6" baseType="lpstr">
      <vt:lpstr>Zał.1</vt:lpstr>
      <vt:lpstr>Zał.2</vt:lpstr>
      <vt:lpstr>Zał.1!Obszar_wydruku</vt:lpstr>
      <vt:lpstr>Zał.2!Obszar_wydruku</vt:lpstr>
      <vt:lpstr>Zał.1!Tytuły_wydruku</vt:lpstr>
      <vt:lpstr>Zał.2!Tytuły_wydruku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2020-07-02T14:28:44Z</dcterms:modified>
</cp:coreProperties>
</file>