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NOWA RADA KWIECIEŃ 2020\BUDZET zmiana KWIECIEŃ 2020\"/>
    </mc:Choice>
  </mc:AlternateContent>
  <bookViews>
    <workbookView xWindow="-120" yWindow="-120" windowWidth="29040" windowHeight="15840" tabRatio="821" activeTab="5"/>
  </bookViews>
  <sheets>
    <sheet name="Tab.2a" sheetId="57" r:id="rId1"/>
    <sheet name="Tab.3" sheetId="21" r:id="rId2"/>
    <sheet name="Tab.4" sheetId="54" r:id="rId3"/>
    <sheet name="Tab.5 " sheetId="53" r:id="rId4"/>
    <sheet name="Tab.7" sheetId="58" r:id="rId5"/>
    <sheet name="Zał.1" sheetId="56" r:id="rId6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3" hidden="1">'Tab.5 '!$C$1:$C$176</definedName>
    <definedName name="_xlnm._FilterDatabase" localSheetId="4" hidden="1">Tab.7!$D$2:$D$38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>#REF!</definedName>
    <definedName name="_xlnm.Print_Area" localSheetId="0">Tab.2a!$A$2:$K$95</definedName>
    <definedName name="_xlnm.Print_Area" localSheetId="1">Tab.3!$A$2:$D$24</definedName>
    <definedName name="_xlnm.Print_Area" localSheetId="2">Tab.4!$A$2:$I$52</definedName>
    <definedName name="_xlnm.Print_Area" localSheetId="3">'Tab.5 '!$A$1:$F$168</definedName>
    <definedName name="_xlnm.Print_Area" localSheetId="5">Zał.1!$A$2:$G$42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57" l="1"/>
  <c r="H92" i="57"/>
  <c r="I92" i="57"/>
  <c r="J92" i="57"/>
  <c r="F92" i="57"/>
  <c r="G91" i="57"/>
  <c r="F91" i="57"/>
  <c r="F90" i="57"/>
  <c r="J42" i="57" l="1"/>
  <c r="F165" i="53" l="1"/>
  <c r="E165" i="53"/>
  <c r="E69" i="53"/>
  <c r="F69" i="53"/>
  <c r="F70" i="53"/>
  <c r="E70" i="53"/>
  <c r="F96" i="53" l="1"/>
  <c r="F85" i="53"/>
  <c r="F81" i="53"/>
  <c r="F80" i="53"/>
  <c r="F76" i="53"/>
  <c r="F9" i="58"/>
  <c r="F36" i="58"/>
  <c r="G35" i="58"/>
  <c r="G34" i="58"/>
  <c r="G33" i="58"/>
  <c r="F33" i="58"/>
  <c r="G31" i="58"/>
  <c r="G30" i="58"/>
  <c r="G27" i="58"/>
  <c r="G21" i="58" s="1"/>
  <c r="F27" i="58"/>
  <c r="G25" i="58"/>
  <c r="G22" i="58"/>
  <c r="F22" i="58"/>
  <c r="F21" i="58" s="1"/>
  <c r="G18" i="58"/>
  <c r="F18" i="58"/>
  <c r="F17" i="58" s="1"/>
  <c r="G17" i="58"/>
  <c r="G15" i="58"/>
  <c r="F15" i="58"/>
  <c r="F14" i="58" s="1"/>
  <c r="G14" i="58"/>
  <c r="G12" i="58"/>
  <c r="G11" i="58"/>
  <c r="F8" i="58"/>
  <c r="F5" i="58" s="1"/>
  <c r="G8" i="58"/>
  <c r="G6" i="58"/>
  <c r="G5" i="58" s="1"/>
  <c r="G38" i="58" s="1"/>
  <c r="F38" i="58" l="1"/>
  <c r="F83" i="57"/>
  <c r="G84" i="57"/>
  <c r="F84" i="57" s="1"/>
  <c r="F85" i="57" s="1"/>
  <c r="G81" i="57"/>
  <c r="F81" i="57" s="1"/>
  <c r="H89" i="57"/>
  <c r="G88" i="57"/>
  <c r="G89" i="57" s="1"/>
  <c r="F88" i="57"/>
  <c r="F89" i="57" s="1"/>
  <c r="G87" i="57"/>
  <c r="F87" i="57"/>
  <c r="F86" i="57"/>
  <c r="K85" i="57"/>
  <c r="J85" i="57"/>
  <c r="I85" i="57"/>
  <c r="H85" i="57"/>
  <c r="H80" i="57"/>
  <c r="G80" i="57"/>
  <c r="F79" i="57"/>
  <c r="F78" i="57"/>
  <c r="F77" i="57"/>
  <c r="F80" i="57" s="1"/>
  <c r="F76" i="57"/>
  <c r="I75" i="57"/>
  <c r="H75" i="57"/>
  <c r="G75" i="57"/>
  <c r="F74" i="57"/>
  <c r="F75" i="57" s="1"/>
  <c r="H73" i="57"/>
  <c r="G73" i="57"/>
  <c r="F73" i="57"/>
  <c r="G72" i="57"/>
  <c r="F72" i="57"/>
  <c r="H71" i="57"/>
  <c r="G71" i="57"/>
  <c r="F70" i="57"/>
  <c r="F69" i="57"/>
  <c r="G68" i="57"/>
  <c r="F68" i="57" s="1"/>
  <c r="H67" i="57"/>
  <c r="F66" i="57"/>
  <c r="G65" i="57"/>
  <c r="G67" i="57" s="1"/>
  <c r="G64" i="57"/>
  <c r="F63" i="57"/>
  <c r="F64" i="57" s="1"/>
  <c r="H62" i="57"/>
  <c r="G62" i="57"/>
  <c r="F61" i="57"/>
  <c r="F62" i="57" s="1"/>
  <c r="I60" i="57"/>
  <c r="F59" i="57"/>
  <c r="F58" i="57"/>
  <c r="F57" i="57"/>
  <c r="G56" i="57"/>
  <c r="F56" i="57" s="1"/>
  <c r="F55" i="57"/>
  <c r="F54" i="57"/>
  <c r="F53" i="57"/>
  <c r="G52" i="57"/>
  <c r="F52" i="57" s="1"/>
  <c r="G51" i="57"/>
  <c r="G48" i="57" s="1"/>
  <c r="F48" i="57" s="1"/>
  <c r="F50" i="57"/>
  <c r="F49" i="57"/>
  <c r="J48" i="57"/>
  <c r="F45" i="57"/>
  <c r="F44" i="57"/>
  <c r="F43" i="57"/>
  <c r="G42" i="57"/>
  <c r="F41" i="57"/>
  <c r="F40" i="57"/>
  <c r="F39" i="57"/>
  <c r="F38" i="57"/>
  <c r="G37" i="57"/>
  <c r="F37" i="57" s="1"/>
  <c r="J36" i="57"/>
  <c r="F35" i="57"/>
  <c r="F34" i="57"/>
  <c r="F33" i="57"/>
  <c r="F32" i="57"/>
  <c r="G31" i="57"/>
  <c r="F31" i="57" s="1"/>
  <c r="F30" i="57"/>
  <c r="F29" i="57"/>
  <c r="F28" i="57"/>
  <c r="F27" i="57"/>
  <c r="F26" i="57"/>
  <c r="J25" i="57"/>
  <c r="H25" i="57"/>
  <c r="G25" i="57"/>
  <c r="F25" i="57" s="1"/>
  <c r="F24" i="57"/>
  <c r="F23" i="57"/>
  <c r="G22" i="57"/>
  <c r="G19" i="57" s="1"/>
  <c r="F22" i="57"/>
  <c r="F21" i="57"/>
  <c r="F20" i="57"/>
  <c r="H19" i="57"/>
  <c r="H60" i="57" s="1"/>
  <c r="F18" i="57"/>
  <c r="F17" i="57"/>
  <c r="F16" i="57"/>
  <c r="F15" i="57"/>
  <c r="F14" i="57"/>
  <c r="F13" i="57"/>
  <c r="G12" i="57"/>
  <c r="F12" i="57" s="1"/>
  <c r="F11" i="57"/>
  <c r="F10" i="57"/>
  <c r="F9" i="57"/>
  <c r="G8" i="57"/>
  <c r="F8" i="57" s="1"/>
  <c r="J7" i="57"/>
  <c r="J60" i="57" s="1"/>
  <c r="F42" i="57" l="1"/>
  <c r="F51" i="57"/>
  <c r="F19" i="57"/>
  <c r="F65" i="57"/>
  <c r="F67" i="57" s="1"/>
  <c r="F71" i="57"/>
  <c r="G85" i="57"/>
  <c r="G7" i="57"/>
  <c r="G36" i="57"/>
  <c r="F36" i="57" s="1"/>
  <c r="D17" i="21"/>
  <c r="G60" i="57" l="1"/>
  <c r="F7" i="57"/>
  <c r="F60" i="57" s="1"/>
  <c r="D16" i="21"/>
  <c r="E51" i="54" l="1"/>
  <c r="H51" i="54"/>
  <c r="I51" i="54"/>
  <c r="I50" i="54"/>
  <c r="I46" i="54"/>
  <c r="F84" i="53" l="1"/>
  <c r="F83" i="53"/>
  <c r="F82" i="53"/>
  <c r="F79" i="53"/>
  <c r="E75" i="53"/>
  <c r="G12" i="56" l="1"/>
  <c r="G20" i="56" l="1"/>
  <c r="G41" i="56" l="1"/>
  <c r="G42" i="56" s="1"/>
  <c r="F41" i="56"/>
  <c r="E41" i="56"/>
  <c r="G34" i="56"/>
  <c r="F20" i="56"/>
  <c r="E20" i="56"/>
  <c r="G18" i="56"/>
  <c r="E52" i="54" l="1"/>
  <c r="F52" i="54"/>
  <c r="G52" i="54"/>
  <c r="H52" i="54"/>
  <c r="I52" i="54"/>
  <c r="D10" i="54"/>
  <c r="D9" i="54"/>
  <c r="D51" i="54"/>
  <c r="D52" i="54" s="1"/>
  <c r="D50" i="54"/>
  <c r="D46" i="54"/>
  <c r="D45" i="54"/>
  <c r="D41" i="54"/>
  <c r="D37" i="54"/>
  <c r="D33" i="54"/>
  <c r="I29" i="54"/>
  <c r="D29" i="54" s="1"/>
  <c r="D28" i="54"/>
  <c r="I24" i="54"/>
  <c r="D24" i="54"/>
  <c r="D23" i="54"/>
  <c r="D19" i="54"/>
  <c r="I15" i="54"/>
  <c r="D15" i="54"/>
  <c r="D14" i="54"/>
  <c r="F54" i="53" l="1"/>
  <c r="F39" i="53"/>
  <c r="F22" i="53" l="1"/>
  <c r="F25" i="53"/>
  <c r="F10" i="53" s="1"/>
  <c r="F9" i="53" s="1"/>
  <c r="F160" i="53"/>
  <c r="E160" i="53"/>
  <c r="F156" i="53"/>
  <c r="E156" i="53"/>
  <c r="F150" i="53"/>
  <c r="E150" i="53"/>
  <c r="F149" i="53"/>
  <c r="E149" i="53"/>
  <c r="F137" i="53"/>
  <c r="E137" i="53"/>
  <c r="F136" i="53"/>
  <c r="E136" i="53"/>
  <c r="F115" i="53"/>
  <c r="E115" i="53"/>
  <c r="F114" i="53"/>
  <c r="E114" i="53"/>
  <c r="F111" i="53"/>
  <c r="E111" i="53"/>
  <c r="F110" i="53"/>
  <c r="E110" i="53"/>
  <c r="F103" i="53"/>
  <c r="E103" i="53"/>
  <c r="F102" i="53"/>
  <c r="E102" i="53"/>
  <c r="F74" i="53"/>
  <c r="F73" i="53" s="1"/>
  <c r="E74" i="53"/>
  <c r="E73" i="53"/>
  <c r="F62" i="53"/>
  <c r="E62" i="53"/>
  <c r="F57" i="53"/>
  <c r="F56" i="53" s="1"/>
  <c r="E57" i="53"/>
  <c r="E56" i="53" s="1"/>
  <c r="F34" i="53"/>
  <c r="F27" i="53" s="1"/>
  <c r="E34" i="53"/>
  <c r="F28" i="53"/>
  <c r="E28" i="53"/>
  <c r="E27" i="53"/>
  <c r="E10" i="53"/>
  <c r="E9" i="53"/>
  <c r="F6" i="53"/>
  <c r="E6" i="53"/>
  <c r="F5" i="53"/>
  <c r="E5" i="53"/>
  <c r="D21" i="21" l="1"/>
  <c r="D14" i="21"/>
  <c r="D10" i="21"/>
  <c r="D7" i="21"/>
  <c r="D13" i="21" l="1"/>
</calcChain>
</file>

<file path=xl/sharedStrings.xml><?xml version="1.0" encoding="utf-8"?>
<sst xmlns="http://schemas.openxmlformats.org/spreadsheetml/2006/main" count="610" uniqueCount="366">
  <si>
    <t>Dział</t>
  </si>
  <si>
    <t>Rozdział</t>
  </si>
  <si>
    <t>010</t>
  </si>
  <si>
    <t>Rodziny zastępcze</t>
  </si>
  <si>
    <t>Pozostałe zadania w zakresie polityki społecznej</t>
  </si>
  <si>
    <t>Działalność usługowa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</si>
  <si>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</si>
  <si>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</si>
  <si>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</si>
  <si>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</si>
  <si>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</si>
  <si>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</si>
  <si>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</si>
  <si>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</si>
  <si>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</si>
  <si>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</si>
  <si>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</si>
  <si>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</si>
  <si>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</si>
  <si>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</si>
  <si>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</si>
  <si>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</si>
  <si>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</si>
  <si>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</si>
  <si>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</si>
  <si>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</si>
  <si>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</si>
  <si>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</si>
  <si>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</si>
  <si>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</si>
  <si>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>Razem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</si>
  <si>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</si>
  <si>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</si>
  <si>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</si>
  <si>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</si>
  <si>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</si>
  <si>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</si>
  <si>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Rodzina</t>
  </si>
  <si>
    <t>Działalność placówek opiekuńczo-wychowawczych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</si>
  <si>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</si>
  <si>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</si>
  <si>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</si>
  <si>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</si>
  <si>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</si>
  <si>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</si>
  <si>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</si>
  <si>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</si>
  <si>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</si>
  <si>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 xml:space="preserve">C. Inne źródła </t>
  </si>
  <si>
    <t>B. Środki i dotacje otrzymane od innych jst oraz innych jednostek zaliczanych do sektora finansów publicznych</t>
  </si>
  <si>
    <t>A. Dotacje i środki z budżetu państwa (np. od wojewody, MEN, UKFiS, …)</t>
  </si>
  <si>
    <t>WPF</t>
  </si>
  <si>
    <t>Razem Rozdział 85111</t>
  </si>
  <si>
    <t>Wniesienie wkładu pieniężnego - zwiększenie udziału w Powiatowym Centrum Zdrowia Sp. z o.o.</t>
  </si>
  <si>
    <t>Razem Rozdział 80120</t>
  </si>
  <si>
    <t xml:space="preserve">Rozbudowa szatni w Zespole Szkół Nr 1 w Otwocku wraz z przebudową części istniejącej </t>
  </si>
  <si>
    <t>Razem Rozdział 80115</t>
  </si>
  <si>
    <t>Budowa hali sportowej przy Zespole Szkół Nr 2 im. Marii Skłodowskiej-Curie w Otwocku</t>
  </si>
  <si>
    <t>Razem rozdział 75818</t>
  </si>
  <si>
    <t>Razem Rozdział 75404</t>
  </si>
  <si>
    <t xml:space="preserve">  Razem Rozdział 75020</t>
  </si>
  <si>
    <t>Przebudowa i rozbudowa budynku w Otwocku przy ul. Komunardów wraz z towarzyszącą infrastrukturą na potrzeby siedziby Starostwa i jednostek organizacyjnych powiatu</t>
  </si>
  <si>
    <t>Razem Rozdział 60014</t>
  </si>
  <si>
    <t>Zakupy inwestycyjne w Zarządzie Dróg Powiatowych</t>
  </si>
  <si>
    <t>Gmina Wiązowna</t>
  </si>
  <si>
    <t>Gmina Sobienie Jeziory</t>
  </si>
  <si>
    <t>Gmina Kołbiel</t>
  </si>
  <si>
    <t>11.</t>
  </si>
  <si>
    <t>10.</t>
  </si>
  <si>
    <t>Gmina Karczew</t>
  </si>
  <si>
    <t>9.</t>
  </si>
  <si>
    <t>8.</t>
  </si>
  <si>
    <t>7.</t>
  </si>
  <si>
    <t>6.</t>
  </si>
  <si>
    <t>Gmina Otwock</t>
  </si>
  <si>
    <t>Gmina Celestynów</t>
  </si>
  <si>
    <t>środki pochodzące                  z innych źródeł                     (w tym dotacje)</t>
  </si>
  <si>
    <t>środki o których mowa w art. 5 ust. 1 pkt 2 i 3 uofp</t>
  </si>
  <si>
    <t xml:space="preserve">kredyty, pożyczki, </t>
  </si>
  <si>
    <t>środki własne</t>
  </si>
  <si>
    <t>Uwagi</t>
  </si>
  <si>
    <t>Rozdz.</t>
  </si>
  <si>
    <t>Rozbudowa skrzyżowania dróg powiatowych Nr 2754W - ul. Reymonta i Nr 2758W - ul. Samorządowej w Otwocku na skrzyżowanie typu rondo</t>
  </si>
  <si>
    <t>Przebudowa dróg powiatowych nr 2762W i 2763W - ul. Kraszewskiego i Majowej w Otwocku</t>
  </si>
  <si>
    <t>Przebudowa drogi powiatowej Nr 2724W Karczew - Janów</t>
  </si>
  <si>
    <t>A. 3.040.000</t>
  </si>
  <si>
    <t>B.100.000</t>
  </si>
  <si>
    <t>A. 1.352.000</t>
  </si>
  <si>
    <t>Dotacja  na dofinansowanie zakupu pojazdu służbowego segment "C" w wersji oznakowanej dla Komendy Powiatowej Policji w Otwocku</t>
  </si>
  <si>
    <t>Rewitalizacja parkingu przed budynkiem Liceum Ogólnokształcącego Nr 1</t>
  </si>
  <si>
    <t>Remont i prace konserwatorskie schodów w Liceum Ogólnokształcącym Nr 1</t>
  </si>
  <si>
    <t>Razem Rozdział 71012</t>
  </si>
  <si>
    <t>Serwer dla potrzeb PODGIK</t>
  </si>
  <si>
    <t>Razem Rozdział 85203</t>
  </si>
  <si>
    <t>Zakup samochodu do przewozu uczestników ŚDS - wkład własny Powiatu do środków PFRON</t>
  </si>
  <si>
    <t xml:space="preserve">Przebudowa drogi powiatowej Nr 2245W m. Dobrzyniec gmina Kołbiel </t>
  </si>
  <si>
    <t>Dotacja na dofinansowanie wykonania dokumentacji projektowej  przebudowy budynku Komendy Powiatowej Policji w Otwocku</t>
  </si>
  <si>
    <t>Dotacja na dofinansowanie zakupu sprzętu medycznego dla Hospicjum "Empatia"</t>
  </si>
  <si>
    <t>Razem Rozdział 85149</t>
  </si>
  <si>
    <t>Wykonanie ZRIDu ciągu pieszo-rowerowego między Izabelą a Zakrętem w ramach poprawy bezpieczeństwa na drodze powiatowej nr 2702W</t>
  </si>
  <si>
    <t xml:space="preserve">Rozbudowa skrzyżowania drogi powiatowej Nr 2709W - ulicy Napoleońskiej z drogą powiatową Nr 2710W - ulicą Łąkową na pograniczu miejscowości Lipowo i Glinianka w gminie Wiązowna </t>
  </si>
  <si>
    <t>Rezerwa na inwestycje i zakupy inwestycyjne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</si>
  <si>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</si>
  <si>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</si>
  <si>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</si>
  <si>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</si>
  <si>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</si>
  <si>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</si>
  <si>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</si>
  <si>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</si>
  <si>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</si>
  <si>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</si>
  <si>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</si>
  <si>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</si>
  <si>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</si>
  <si>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</si>
  <si>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</si>
  <si>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</si>
  <si>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</si>
  <si>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</si>
  <si>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Gmina Józefów</t>
  </si>
  <si>
    <t>Modernizacja  drogi powiatowej Nr 2739W w Radachówce</t>
  </si>
  <si>
    <t>Gmina Osieck</t>
  </si>
  <si>
    <t>Budowa drogi powiatowej Nr 1311W w Natolinie</t>
  </si>
  <si>
    <t>26.</t>
  </si>
  <si>
    <t>27.</t>
  </si>
  <si>
    <t>28.</t>
  </si>
  <si>
    <t>Modernizacja odwodnienia w drogach powiatowych na terenie Józefowa, w tym:                         -  Nr 2768W w ul. Granicznej na wysokości Nr 46 i w rejonie ul. Lisiej,                                 -  Nr 2766W w ul. 3 Maja przy skrzyżowaniu z ul. Wyszyńskiego</t>
  </si>
  <si>
    <t>B. 50 000</t>
  </si>
  <si>
    <t>B. 15 000</t>
  </si>
  <si>
    <t>A. 1 120 000</t>
  </si>
  <si>
    <t>Wymiana nakładki asfaltobetonowej na rondzie Księdza Jerzego Popiełuszki</t>
  </si>
  <si>
    <t>Projekt i budowa odwodnienia w ul. Granicznej na wysokości numeru 81</t>
  </si>
  <si>
    <t>Doświetlenie przejścia dla pieszych na drodze powiatowej Nr 2772W w ul. Świderskiej przy ul. Kościelnej</t>
  </si>
  <si>
    <t>Modernizacja drogi powiatowej Nr 2737W Anielinek-Sępochów-Rudno</t>
  </si>
  <si>
    <t>B. 25 000</t>
  </si>
  <si>
    <t>Wykonanie nakładki asfaltowej na drodze powiatowej Nr 2747W - Nowe Kościeliska</t>
  </si>
  <si>
    <t>Dokumentacja projektowa  ZRID na przebudowę skrzyżowania ul. Batorego z ul. Karczewską/Matejki - ETAP 1 (usunięcie kolizji z mediami, wykup działek i inne)</t>
  </si>
  <si>
    <t>Modernizacja drogi powiatowej Nr 1302W Piwonin - Wysoczyn - Szymanowice</t>
  </si>
  <si>
    <t>Przebudowa istniejących chodników w drodze Nr 2753W (w tym od działki nr 290/3 do Urzędu Gminy oraz działki 290/2 do ul. Długiej)</t>
  </si>
  <si>
    <t>B. 100 000</t>
  </si>
  <si>
    <t>B. 20 000</t>
  </si>
  <si>
    <t>Modernizacja nawierzchni asfaltowej na odcinku ok. 500 m pomiędzy Malcanowem a Lipowem w drodze Nr 2709W                                                                         Żanęcin - Glinianka - Bolesławów</t>
  </si>
  <si>
    <t>Przebudowa drogi powiatowej Nr 2705W - ul. Kąckiej w Wiązownie</t>
  </si>
  <si>
    <t>Budowa chodników w drogach powiatowych na terenie gminy Wiązowna - Majdan                  ul. Widoczna</t>
  </si>
  <si>
    <t>Wykonanie instalacji monitoringu w Starostwie Powiatowym w Otwocku - budynek przy ul. Górnej 13 i ul. Komunardów 10</t>
  </si>
  <si>
    <t xml:space="preserve">Rozbudowa drogi powiatowej Nr 2713W w miejscowościach Stara Wieś, Dąbrówka i Celestynów </t>
  </si>
  <si>
    <t>Budowa chodnika w ul. Granicznej przy ul. Jachowicza</t>
  </si>
  <si>
    <t>Poprawa bezpieczeństwa ruchu drogowego na przejściu dla pieszych  (doświetlone znaki) w ul. Granicznej przy skrzyżowaniu  z ul. Zawiszy, droga Nr 2768W</t>
  </si>
  <si>
    <t>Doświetlenie przejść  dla pieszych w drogach powiatowych (m.in. w  ul. Kołłątaja na wysokości ul. Zacisznej)</t>
  </si>
  <si>
    <t>Wykonanie chodnika w Augustówce w drodze powiatowej Nr 1315W przy Szkole Podstawowej im. Orła Białego</t>
  </si>
  <si>
    <t>Doświetlenie przejścia dla pieszych w drodze powiatowej Nr 1315W przy Szkole Podstawowej im. Orła Białego w Augustówce</t>
  </si>
  <si>
    <t>Wykonanie parkingu w drodze powiatowej w Sobiekursku przy Szkole Podstawowej im. Jerzego Kukuczki</t>
  </si>
  <si>
    <t>Projekt i budowa chodnika w drodze powiatowej w Człekówce Nr 2743W od DK50 do numeru Człekówka 60 (dz.ew. 312/4) oraz wykonanie ZRID na przebudowę drogi Nr 2743W od  numeru Człekówka 60 do skrzyżowania z droga gminną  - ul. Wspólną</t>
  </si>
  <si>
    <t>Doświetlenie przejścia dla pieszych w drodze Nr 2770W - ul. Nadwiślańskiej</t>
  </si>
  <si>
    <t>Modernizacja drogi powiatowej w Glinkach</t>
  </si>
  <si>
    <t>Wykonanie barier na przepuście wraz z nową nakładką na przepuście w Osiecku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</si>
  <si>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</si>
  <si>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</si>
  <si>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</si>
  <si>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</si>
  <si>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</si>
  <si>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</si>
  <si>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</si>
  <si>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</si>
  <si>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</si>
  <si>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</si>
  <si>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</si>
  <si>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Zakup  mobilnego punktu monitorowania z 3 kamerami w celu poprawienia bezpieczeństwa na drogach powiatowych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</si>
  <si>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</si>
  <si>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</si>
  <si>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</si>
  <si>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</si>
  <si>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</si>
  <si>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</si>
  <si>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</si>
  <si>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</si>
  <si>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</si>
  <si>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</si>
  <si>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</si>
  <si>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</si>
  <si>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</si>
  <si>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</si>
  <si>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</si>
  <si>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</si>
  <si>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</si>
  <si>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Prace konserwatorskie dwóch rzeźb aniołków w Liceum Ogólnokształcącym   Nr 1</t>
  </si>
  <si>
    <t>Modernizacja drogi powiatowej Nr 2744W w Ponurzycy</t>
  </si>
  <si>
    <t>Dokumentacja projektowa na przebudowę ul. Staszica/Kołłątaja wraz z przebudową skrzyżowania z ul. Świderską</t>
  </si>
  <si>
    <t>Dotacja  na dofinansowanie zakupu psa służbowego dla  potrzeb  Komendy Powiatowej Policji w Otwocku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</si>
  <si>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</si>
  <si>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Doświetlenie przejść dla pieszych na drodze powiatowej Nr 2717W - ul. Obrońców Pokoju w Celestynowie w rejonie centrum handlowego oraz  w Pogorzeli  w drodze                     Nr 2722W  - ul. Witosa</t>
  </si>
  <si>
    <t xml:space="preserve">Wykonanie nakładki asfaltobetonowej w ul. Brzozowej w Pogorzeli </t>
  </si>
  <si>
    <t>Plan wydatków majątkowych na 2020 rok - po zmianach</t>
  </si>
  <si>
    <t>Przychody i rozchody budżetu w 2020 roku - po zmianach</t>
  </si>
  <si>
    <t>Rozbudowa na rondo skrzyżowania dróg powiatowych Nr 2775W ul. Stare Miasto i Nr 2724W ul. Żaboklickiego z drogą gminną ul. Bielińskiego w Karczewie</t>
  </si>
  <si>
    <t>A. 1 924 000</t>
  </si>
  <si>
    <t>B. 474 500              A. 850 694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</si>
  <si>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</si>
  <si>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</si>
  <si>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</si>
  <si>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</si>
  <si>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</si>
  <si>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</si>
  <si>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</si>
  <si>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</si>
  <si>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</si>
  <si>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Solidarnościowy Fundusz Wsparcia Osob Niepełnosprawnych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</si>
  <si>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</si>
  <si>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</si>
  <si>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</si>
  <si>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</si>
  <si>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</si>
  <si>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</si>
  <si>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</si>
  <si>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</si>
  <si>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</si>
  <si>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</si>
  <si>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</si>
  <si>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</si>
  <si>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</si>
  <si>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</si>
  <si>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</si>
  <si>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</si>
  <si>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</si>
  <si>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</si>
  <si>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 xml:space="preserve">Opłaty z tytułu zakupu usług telekomunikacyjnych 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</si>
  <si>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</si>
  <si>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</si>
  <si>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</si>
  <si>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</si>
  <si>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</si>
  <si>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</si>
  <si>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</si>
  <si>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</si>
  <si>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</si>
  <si>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</si>
  <si>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</si>
  <si>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</si>
  <si>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</si>
  <si>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Równoważniki pieniężne i ekwiwalenty dla żołnierzy i funkcjonariuszy oraz pozostałe należności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</si>
  <si>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</si>
  <si>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</si>
  <si>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</si>
  <si>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</si>
  <si>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</si>
  <si>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</si>
  <si>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</si>
  <si>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Ochrona zdrowia</t>
  </si>
  <si>
    <t>Składki na ubezpieczenie zdrowotne oraz świadczenia dla osób nieobjętych obowiązkiem ubezpieczenia zdrowotnego</t>
  </si>
  <si>
    <t>Składki na ubezpieczenie zdrowotne</t>
  </si>
  <si>
    <t>852</t>
  </si>
  <si>
    <t>Pomoc społeczna</t>
  </si>
  <si>
    <t>Ośrodki wsparcia</t>
  </si>
  <si>
    <t>Zespoły do spraw orzekania o niepełnosprawności</t>
  </si>
  <si>
    <t>855</t>
  </si>
  <si>
    <t>85504</t>
  </si>
  <si>
    <t>Wspieranie rodziny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</si>
  <si>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</si>
  <si>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</si>
  <si>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Świadczenia społeczne</t>
  </si>
  <si>
    <t>85510</t>
  </si>
  <si>
    <t>Dochody i wydatki związane z realizacją zadań z zakresu administracji rządowej i innych zadań zleconych                                                                jednostce samorządu terytorialnego odrębnymi ustawami na 2020 rok - po zmianach</t>
  </si>
  <si>
    <t>Projekt i budowa chodnika przy drodze powiatowej Nr 1302W na wysokości  Szkoły  Podstawowej w Siedzowie na odcinku od granicy działki szkoły  do wysokości boiska sportowego</t>
  </si>
  <si>
    <t>57.</t>
  </si>
  <si>
    <t>58.</t>
  </si>
  <si>
    <t>Wykonanie projektu ZRID ciągu pieszo - rowerowego w drodze powiatowej              Nr 2709W ul. Mazowiecka w Malcanowie, ul. Armii Krajowej w Lipowie                      od ul. Kotliny w Malcanowie do ul. Wypoczynkowej w Lipowie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</si>
  <si>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2020 -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</si>
  <si>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</si>
  <si>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</si>
  <si>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</si>
  <si>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</si>
  <si>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</si>
  <si>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</si>
  <si>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</si>
  <si>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</si>
  <si>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Europejski Fundusz Społeczny</t>
  </si>
  <si>
    <t>Jednostka realizująca - Zespół Szkół Ekonomiczno-Gastronomicznych</t>
  </si>
  <si>
    <t>Program ERASMUS+</t>
  </si>
  <si>
    <t xml:space="preserve">Nazwa: Poznawanie europejskiego rynku pracy </t>
  </si>
  <si>
    <t>plan 2020</t>
  </si>
  <si>
    <t>Nazwa: Mobilni w Europie</t>
  </si>
  <si>
    <t>Regionalny Program Operacyjny Województwa Mazowieckiego na lata 2014-2020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</si>
  <si>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</si>
  <si>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</si>
  <si>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</si>
  <si>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Jednostka realizująca - Specjalny ośrodek Szkolno-Wychowawczy Nr 2</t>
  </si>
  <si>
    <t>Program Operacyjny Wiedza Edukacja Rozwój 2014-2020 (PO WER)</t>
  </si>
  <si>
    <t>Nazwa: Szkoła otwarta na świat</t>
  </si>
  <si>
    <t>Nazwa: Nauczyciele przyszłości</t>
  </si>
  <si>
    <t>Fundacja Rozwoju Systemu Edukacji</t>
  </si>
  <si>
    <t>Jednostka realizująca - Specjalny ośrodek Szkolno-Wychowawczy Nr 1</t>
  </si>
  <si>
    <t>Nazwa: Bardziej aktywny dzięki sztuce współczesnej</t>
  </si>
  <si>
    <t>Jednostka realizująca - Powiatowe Centrum Pomocy Rodzinie</t>
  </si>
  <si>
    <t>Nazwa: Aktywna integracja w powiecie otwockim</t>
  </si>
  <si>
    <t>85295, 85508</t>
  </si>
  <si>
    <t>Nazwa: Poprawa funkcjonowania osób niesamodzielnych z terenu powiatu otwockiego poprzez uruchomienie usług socjalnych świadczonych w formie wsparcia dziennego</t>
  </si>
  <si>
    <t>Ogółem plan 2020</t>
  </si>
  <si>
    <t>Program: Regionalny Program Operacyjny Województwa Mazowieckiego</t>
  </si>
  <si>
    <t>Jednostka realizująca - Starostwo Powiatowe</t>
  </si>
  <si>
    <t>Regionalne partnerstwo samorządów Mazowsza dla aktywizacji społeczeństwa informacyjnego w zakresie e-administracji i geoinformacji</t>
  </si>
  <si>
    <t>Razem Rozdział 71095</t>
  </si>
  <si>
    <t>59.</t>
  </si>
  <si>
    <t>Dotacje celowe przekazane gminie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</si>
  <si>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</si>
  <si>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</si>
  <si>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</si>
  <si>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Dotacje udzielone w 2020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</si>
  <si>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</si>
  <si>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</si>
  <si>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</si>
  <si>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</si>
  <si>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</si>
  <si>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</si>
  <si>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inwestycje i zakupy inwestycyjne realizowane na podstawie porozumień (umów) między jednostkami samorządu terytorialnego</t>
  </si>
  <si>
    <t>Wpłaty jednostek na państwowy fundusz celowy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</si>
  <si>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</si>
  <si>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</si>
  <si>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</si>
  <si>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</si>
  <si>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</si>
  <si>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</si>
  <si>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</si>
  <si>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</si>
  <si>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</si>
  <si>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</si>
  <si>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pozostałym jednostkom nie zaliczanym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</si>
  <si>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</si>
  <si>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</si>
  <si>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</si>
  <si>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2020 rok</t>
  </si>
  <si>
    <t>Dotacje celowe przekazane do samorządu województwa na inwestycje i zakupy inwestycyjne realizowane na podstawie porozumień (umów) między jednostkami samorządu terytorialnego</t>
  </si>
  <si>
    <t>B.60.000</t>
  </si>
  <si>
    <t>Dotacja dla Powiatowego Centrum Zdrowia Sp. z o.o.  na modernizację budynku i zakupy inwestycyjne</t>
  </si>
  <si>
    <t>Wniesienie wkładu pieniężnego  do Powiatowego Centrum Zdrowia Sp. z o.o. na zabezpieczenie wkładu własnego do realizowanego przez spółkę programu unijnego</t>
  </si>
  <si>
    <t>Dotacja dla Powiatowego Centrum Zdrowia Sp. z o.o.  na modernizację Oddziału Ginekologiczno - Położniczego</t>
  </si>
  <si>
    <t>wykonanie 2019</t>
  </si>
  <si>
    <t>Wykonanie projektu ZRID ciągu  pieszo - rowerowego w drodze powiatowej    Nr 2709W w m. Żanęcin oraz wzdłuż ul. Majowej w m. Dziechciniec od drogi krajowej S17 do posesji Sali weselnej "Raj"</t>
  </si>
  <si>
    <t>60.</t>
  </si>
  <si>
    <t>Dochody i wydatki związane z realizacją zadań realizowanych w drodze umów lub porozumień między                                              jednostkami samorządu terytorialnego na 2020 rok - po zmianach</t>
  </si>
  <si>
    <t>Transport i łączność</t>
  </si>
  <si>
    <t>Lokalny transport zbiorowy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</si>
  <si>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</si>
  <si>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</si>
  <si>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Dotacje celowe przekazane gminie na inwestycje i zakupy inwestycyjne realizowane naa podstawie porozumień (umów) między jednostkami samorządu terytorialnego</t>
  </si>
  <si>
    <t>Pozostała działalność</t>
  </si>
  <si>
    <t>Dotacja celowa otrzymana z tytułu  pomocy  finansowej udzielanej między jednostkami samorządu terytorialnego na dofinansowanie własnych zadań bieżących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</si>
  <si>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</si>
  <si>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</si>
  <si>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Działalność ośrodków adopcyjnych</t>
  </si>
  <si>
    <t>Gospodarka komunalna i ochrona środowiska</t>
  </si>
  <si>
    <t>Kultura i ochrona dziedzictwa narodowego</t>
  </si>
  <si>
    <t>Pozostałe zadania w zakresie kultury</t>
  </si>
  <si>
    <t>Biblioteki</t>
  </si>
  <si>
    <t>Dotacja celowa otrzymana z tytułu pomocy finansowej udzielanej między jednostkami samorządu terytorialnego na dofinansowanie własnych zadań bieżących</t>
  </si>
  <si>
    <t>752</t>
  </si>
  <si>
    <t xml:space="preserve">Obrona narodowa </t>
  </si>
  <si>
    <t>75295</t>
  </si>
  <si>
    <t>Modernizacja drogi powiatowej Nr 2751W Sobienie Kiełczewski-Zuzanów-Czarnowiec</t>
  </si>
  <si>
    <t>Modernizacja drogi powiatowej Nr 2752W Władysławów-Zambrzyków Stary-Sobienie Kiełczewskie</t>
  </si>
  <si>
    <t>B. 200 000</t>
  </si>
  <si>
    <t>61.</t>
  </si>
  <si>
    <t>62.</t>
  </si>
  <si>
    <t>63.</t>
  </si>
  <si>
    <t>Razem Rozdział 85403</t>
  </si>
  <si>
    <t>Wkład własny na zakup pieca konwekcyjnego - Rządowy Program "Posiłek w szkole i w domu"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</si>
</sst>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47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6"/>
      <name val="Arial"/>
      <family val="2"/>
      <charset val="238"/>
    </font>
    <font>
      <sz val="7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 applyNumberFormat="0" applyFill="0" applyBorder="0" applyAlignment="0" applyProtection="0">
      <alignment vertical="top"/>
    </xf>
    <xf numFmtId="0" fontId="4" fillId="0" borderId="0"/>
    <xf numFmtId="0" fontId="7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10" fillId="0" borderId="0"/>
    <xf numFmtId="164" fontId="13" fillId="0" borderId="0"/>
    <xf numFmtId="0" fontId="4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" fillId="0" borderId="0"/>
    <xf numFmtId="0" fontId="1" fillId="0" borderId="0"/>
    <xf numFmtId="0" fontId="31" fillId="0" borderId="0"/>
    <xf numFmtId="0" fontId="33" fillId="0" borderId="0"/>
  </cellStyleXfs>
  <cellXfs count="454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4" borderId="6" xfId="9" applyFont="1" applyFill="1" applyBorder="1" applyAlignment="1">
      <alignment horizontal="center" vertical="center"/>
    </xf>
    <xf numFmtId="0" fontId="12" fillId="4" borderId="1" xfId="9" applyFont="1" applyFill="1" applyBorder="1" applyAlignment="1">
      <alignment horizontal="center" vertical="center" wrapText="1"/>
    </xf>
    <xf numFmtId="0" fontId="12" fillId="0" borderId="6" xfId="9" applyFont="1" applyBorder="1" applyAlignment="1">
      <alignment horizontal="center" vertical="center"/>
    </xf>
    <xf numFmtId="0" fontId="12" fillId="0" borderId="6" xfId="9" applyFont="1" applyBorder="1" applyAlignment="1">
      <alignment horizontal="left" vertical="center"/>
    </xf>
    <xf numFmtId="3" fontId="12" fillId="0" borderId="6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6" xfId="9" applyFont="1" applyBorder="1" applyAlignment="1">
      <alignment horizontal="center" vertical="center"/>
    </xf>
    <xf numFmtId="0" fontId="15" fillId="0" borderId="6" xfId="9" applyFont="1" applyBorder="1" applyAlignment="1">
      <alignment horizontal="left" vertical="center"/>
    </xf>
    <xf numFmtId="3" fontId="15" fillId="0" borderId="6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6" xfId="9" applyNumberFormat="1" applyFont="1" applyBorder="1" applyAlignment="1">
      <alignment horizontal="right"/>
    </xf>
    <xf numFmtId="3" fontId="12" fillId="0" borderId="6" xfId="9" applyNumberFormat="1" applyFont="1" applyBorder="1" applyAlignment="1"/>
    <xf numFmtId="3" fontId="15" fillId="0" borderId="6" xfId="9" applyNumberFormat="1" applyFont="1" applyFill="1" applyBorder="1" applyAlignment="1"/>
    <xf numFmtId="3" fontId="15" fillId="0" borderId="6" xfId="9" applyNumberFormat="1" applyFont="1" applyBorder="1" applyAlignment="1"/>
    <xf numFmtId="0" fontId="12" fillId="0" borderId="6" xfId="9" applyFont="1" applyBorder="1" applyAlignment="1">
      <alignment vertical="center"/>
    </xf>
    <xf numFmtId="0" fontId="10" fillId="4" borderId="6" xfId="9" applyFont="1" applyFill="1" applyBorder="1" applyAlignment="1">
      <alignment vertical="center"/>
    </xf>
    <xf numFmtId="3" fontId="12" fillId="4" borderId="6" xfId="9" applyNumberFormat="1" applyFont="1" applyFill="1" applyBorder="1" applyAlignment="1"/>
    <xf numFmtId="0" fontId="10" fillId="0" borderId="6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3" fontId="10" fillId="0" borderId="4" xfId="9" applyNumberFormat="1" applyFont="1" applyBorder="1" applyAlignment="1"/>
    <xf numFmtId="0" fontId="10" fillId="4" borderId="6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5" fillId="0" borderId="0" xfId="7" applyFont="1"/>
    <xf numFmtId="0" fontId="16" fillId="0" borderId="6" xfId="9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center" vertical="center" wrapText="1"/>
    </xf>
    <xf numFmtId="0" fontId="10" fillId="0" borderId="8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0" xfId="7" applyFont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21" fillId="0" borderId="0" xfId="7" applyFont="1" applyProtection="1">
      <protection locked="0"/>
    </xf>
    <xf numFmtId="0" fontId="10" fillId="0" borderId="0" xfId="7" applyFont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0" fontId="22" fillId="0" borderId="0" xfId="7" applyFont="1" applyFill="1" applyAlignment="1" applyProtection="1">
      <alignment vertical="center"/>
      <protection locked="0"/>
    </xf>
    <xf numFmtId="0" fontId="10" fillId="0" borderId="0" xfId="7" applyFont="1" applyProtection="1"/>
    <xf numFmtId="0" fontId="21" fillId="0" borderId="0" xfId="7" applyFont="1" applyProtection="1"/>
    <xf numFmtId="3" fontId="21" fillId="0" borderId="0" xfId="7" applyNumberFormat="1" applyFont="1" applyProtection="1"/>
    <xf numFmtId="0" fontId="22" fillId="0" borderId="0" xfId="7" applyFont="1" applyAlignment="1" applyProtection="1">
      <alignment vertical="center"/>
      <protection locked="0"/>
    </xf>
    <xf numFmtId="0" fontId="12" fillId="6" borderId="0" xfId="7" applyFont="1" applyFill="1" applyBorder="1" applyAlignment="1" applyProtection="1">
      <alignment vertical="center"/>
      <protection locked="0"/>
    </xf>
    <xf numFmtId="0" fontId="10" fillId="6" borderId="0" xfId="7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6" borderId="0" xfId="7" applyFont="1" applyFill="1" applyAlignment="1" applyProtection="1">
      <alignment vertical="center"/>
      <protection locked="0"/>
    </xf>
    <xf numFmtId="0" fontId="23" fillId="0" borderId="0" xfId="7" applyFont="1" applyFill="1" applyAlignment="1" applyProtection="1">
      <alignment vertical="center"/>
      <protection locked="0"/>
    </xf>
    <xf numFmtId="0" fontId="24" fillId="0" borderId="0" xfId="7" applyFont="1" applyFill="1" applyAlignment="1" applyProtection="1">
      <alignment vertical="center"/>
      <protection locked="0"/>
    </xf>
    <xf numFmtId="0" fontId="25" fillId="0" borderId="0" xfId="7" applyFont="1" applyFill="1" applyAlignment="1" applyProtection="1">
      <alignment vertical="center"/>
      <protection locked="0"/>
    </xf>
    <xf numFmtId="0" fontId="10" fillId="0" borderId="10" xfId="7" applyFont="1" applyFill="1" applyBorder="1" applyAlignment="1" applyProtection="1">
      <alignment horizontal="center" vertical="center"/>
    </xf>
    <xf numFmtId="0" fontId="25" fillId="0" borderId="0" xfId="7" applyFont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21" fillId="0" borderId="0" xfId="7" applyFont="1" applyFill="1" applyProtection="1">
      <protection locked="0"/>
    </xf>
    <xf numFmtId="0" fontId="21" fillId="0" borderId="10" xfId="7" applyFont="1" applyFill="1" applyBorder="1" applyAlignment="1" applyProtection="1">
      <alignment horizontal="center" vertical="center"/>
    </xf>
    <xf numFmtId="0" fontId="1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center" vertical="center"/>
    </xf>
    <xf numFmtId="0" fontId="10" fillId="0" borderId="0" xfId="7" applyFont="1" applyFill="1" applyProtection="1">
      <protection locked="0"/>
    </xf>
    <xf numFmtId="0" fontId="21" fillId="0" borderId="0" xfId="7" applyFont="1" applyAlignment="1" applyProtection="1">
      <alignment horizontal="center" vertical="center"/>
    </xf>
    <xf numFmtId="0" fontId="10" fillId="0" borderId="10" xfId="7" applyFont="1" applyFill="1" applyBorder="1" applyAlignment="1" applyProtection="1">
      <alignment horizontal="center" vertical="center"/>
      <protection locked="0"/>
    </xf>
    <xf numFmtId="0" fontId="12" fillId="0" borderId="15" xfId="7" applyFont="1" applyFill="1" applyBorder="1" applyAlignment="1" applyProtection="1">
      <alignment vertical="center" wrapText="1"/>
      <protection locked="0"/>
    </xf>
    <xf numFmtId="0" fontId="10" fillId="0" borderId="16" xfId="0" applyFont="1" applyFill="1" applyBorder="1" applyAlignment="1">
      <alignment vertical="center" wrapText="1"/>
    </xf>
    <xf numFmtId="0" fontId="10" fillId="0" borderId="16" xfId="7" applyFont="1" applyFill="1" applyBorder="1" applyAlignment="1" applyProtection="1">
      <alignment horizontal="center" vertical="center"/>
    </xf>
    <xf numFmtId="0" fontId="10" fillId="0" borderId="16" xfId="7" applyFont="1" applyFill="1" applyBorder="1" applyAlignment="1" applyProtection="1">
      <alignment horizontal="center" vertical="center" wrapText="1"/>
    </xf>
    <xf numFmtId="0" fontId="10" fillId="0" borderId="16" xfId="16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 wrapText="1"/>
    </xf>
    <xf numFmtId="3" fontId="10" fillId="0" borderId="16" xfId="7" applyNumberFormat="1" applyFont="1" applyFill="1" applyBorder="1" applyAlignment="1" applyProtection="1">
      <alignment vertical="center"/>
    </xf>
    <xf numFmtId="0" fontId="10" fillId="0" borderId="16" xfId="7" applyFont="1" applyFill="1" applyBorder="1" applyAlignment="1" applyProtection="1">
      <alignment vertical="center" wrapText="1"/>
    </xf>
    <xf numFmtId="0" fontId="10" fillId="0" borderId="16" xfId="7" applyFont="1" applyFill="1" applyBorder="1" applyAlignment="1" applyProtection="1">
      <alignment horizontal="right" vertical="center" wrapText="1"/>
    </xf>
    <xf numFmtId="0" fontId="21" fillId="0" borderId="16" xfId="7" applyFont="1" applyFill="1" applyBorder="1" applyAlignment="1" applyProtection="1">
      <alignment horizontal="center" vertical="center" wrapText="1"/>
    </xf>
    <xf numFmtId="3" fontId="22" fillId="0" borderId="16" xfId="7" applyNumberFormat="1" applyFont="1" applyFill="1" applyBorder="1" applyAlignment="1" applyProtection="1">
      <alignment vertical="center"/>
    </xf>
    <xf numFmtId="0" fontId="22" fillId="0" borderId="16" xfId="7" applyFont="1" applyFill="1" applyBorder="1" applyAlignment="1" applyProtection="1">
      <alignment vertical="center" wrapText="1"/>
    </xf>
    <xf numFmtId="0" fontId="26" fillId="0" borderId="16" xfId="7" applyFont="1" applyFill="1" applyBorder="1" applyAlignment="1" applyProtection="1">
      <alignment horizontal="center" vertical="center" wrapText="1"/>
    </xf>
    <xf numFmtId="0" fontId="27" fillId="0" borderId="16" xfId="7" applyFont="1" applyFill="1" applyBorder="1" applyAlignment="1" applyProtection="1">
      <alignment horizontal="center" vertical="center" wrapText="1"/>
    </xf>
    <xf numFmtId="0" fontId="10" fillId="0" borderId="16" xfId="7" applyFont="1" applyFill="1" applyBorder="1" applyAlignment="1" applyProtection="1">
      <alignment horizontal="left" vertical="center" wrapText="1"/>
    </xf>
    <xf numFmtId="3" fontId="12" fillId="2" borderId="16" xfId="7" applyNumberFormat="1" applyFont="1" applyFill="1" applyBorder="1" applyAlignment="1" applyProtection="1">
      <alignment vertical="center" wrapText="1"/>
    </xf>
    <xf numFmtId="0" fontId="12" fillId="2" borderId="16" xfId="7" applyFont="1" applyFill="1" applyBorder="1" applyAlignment="1" applyProtection="1">
      <alignment vertical="center" wrapText="1"/>
    </xf>
    <xf numFmtId="0" fontId="28" fillId="2" borderId="16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vertical="center" wrapText="1"/>
      <protection locked="0"/>
    </xf>
    <xf numFmtId="3" fontId="12" fillId="0" borderId="16" xfId="7" applyNumberFormat="1" applyFont="1" applyFill="1" applyBorder="1" applyAlignment="1" applyProtection="1">
      <alignment vertical="center" wrapText="1"/>
      <protection locked="0"/>
    </xf>
    <xf numFmtId="0" fontId="10" fillId="0" borderId="17" xfId="7" applyFont="1" applyFill="1" applyBorder="1" applyAlignment="1" applyProtection="1">
      <alignment vertical="center" wrapText="1"/>
      <protection locked="0"/>
    </xf>
    <xf numFmtId="0" fontId="23" fillId="0" borderId="17" xfId="7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 readingOrder="1"/>
    </xf>
    <xf numFmtId="0" fontId="10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horizontal="center" vertical="center" wrapText="1"/>
      <protection locked="0"/>
    </xf>
    <xf numFmtId="0" fontId="23" fillId="0" borderId="19" xfId="7" applyFont="1" applyFill="1" applyBorder="1" applyAlignment="1" applyProtection="1">
      <alignment horizontal="center" vertical="center" wrapText="1"/>
      <protection locked="0"/>
    </xf>
    <xf numFmtId="0" fontId="10" fillId="7" borderId="16" xfId="7" applyFont="1" applyFill="1" applyBorder="1" applyAlignment="1" applyProtection="1">
      <alignment horizontal="center" vertical="center" wrapText="1"/>
      <protection locked="0"/>
    </xf>
    <xf numFmtId="0" fontId="22" fillId="0" borderId="12" xfId="7" applyFont="1" applyFill="1" applyBorder="1" applyAlignment="1" applyProtection="1">
      <alignment horizontal="center" vertical="center" wrapText="1"/>
      <protection locked="0"/>
    </xf>
    <xf numFmtId="0" fontId="10" fillId="6" borderId="12" xfId="7" applyFont="1" applyFill="1" applyBorder="1" applyAlignment="1" applyProtection="1">
      <alignment horizontal="center" vertical="center" wrapText="1"/>
    </xf>
    <xf numFmtId="0" fontId="10" fillId="6" borderId="12" xfId="16" applyFont="1" applyFill="1" applyBorder="1" applyAlignment="1" applyProtection="1">
      <alignment vertical="center" wrapText="1"/>
    </xf>
    <xf numFmtId="3" fontId="10" fillId="6" borderId="16" xfId="7" applyNumberFormat="1" applyFont="1" applyFill="1" applyBorder="1" applyAlignment="1" applyProtection="1">
      <alignment vertical="center"/>
    </xf>
    <xf numFmtId="0" fontId="10" fillId="6" borderId="16" xfId="7" applyFont="1" applyFill="1" applyBorder="1" applyAlignment="1" applyProtection="1">
      <alignment vertical="center" wrapText="1"/>
    </xf>
    <xf numFmtId="0" fontId="10" fillId="6" borderId="16" xfId="7" applyFont="1" applyFill="1" applyBorder="1" applyAlignment="1" applyProtection="1">
      <alignment horizontal="right" vertical="center" wrapText="1"/>
    </xf>
    <xf numFmtId="0" fontId="21" fillId="6" borderId="16" xfId="7" applyFont="1" applyFill="1" applyBorder="1" applyAlignment="1" applyProtection="1">
      <alignment horizontal="center" vertical="center" wrapText="1"/>
    </xf>
    <xf numFmtId="0" fontId="10" fillId="6" borderId="9" xfId="16" applyFont="1" applyFill="1" applyBorder="1" applyAlignment="1" applyProtection="1">
      <alignment vertical="center" wrapText="1"/>
    </xf>
    <xf numFmtId="3" fontId="10" fillId="6" borderId="18" xfId="7" applyNumberFormat="1" applyFont="1" applyFill="1" applyBorder="1" applyAlignment="1" applyProtection="1">
      <alignment vertical="center" wrapText="1"/>
    </xf>
    <xf numFmtId="0" fontId="10" fillId="6" borderId="23" xfId="7" applyFont="1" applyFill="1" applyBorder="1" applyAlignment="1" applyProtection="1">
      <alignment horizontal="center" vertical="center" wrapText="1"/>
    </xf>
    <xf numFmtId="0" fontId="10" fillId="6" borderId="24" xfId="7" applyFont="1" applyFill="1" applyBorder="1" applyAlignment="1" applyProtection="1">
      <alignment horizontal="center" vertical="center" wrapText="1"/>
    </xf>
    <xf numFmtId="0" fontId="10" fillId="6" borderId="25" xfId="7" applyFont="1" applyFill="1" applyBorder="1" applyAlignment="1" applyProtection="1">
      <alignment horizontal="center" vertical="center" wrapText="1"/>
    </xf>
    <xf numFmtId="0" fontId="10" fillId="6" borderId="16" xfId="7" applyFont="1" applyFill="1" applyBorder="1" applyAlignment="1" applyProtection="1">
      <alignment horizontal="center" vertical="center" wrapText="1"/>
    </xf>
    <xf numFmtId="0" fontId="10" fillId="6" borderId="16" xfId="16" applyFont="1" applyFill="1" applyBorder="1" applyAlignment="1" applyProtection="1">
      <alignment vertical="center" wrapText="1"/>
    </xf>
    <xf numFmtId="3" fontId="10" fillId="6" borderId="16" xfId="7" applyNumberFormat="1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vertical="center" wrapText="1"/>
    </xf>
    <xf numFmtId="0" fontId="22" fillId="6" borderId="16" xfId="7" applyFont="1" applyFill="1" applyBorder="1" applyAlignment="1" applyProtection="1">
      <alignment horizontal="right" vertical="center" wrapText="1"/>
    </xf>
    <xf numFmtId="0" fontId="26" fillId="6" borderId="16" xfId="7" applyFont="1" applyFill="1" applyBorder="1" applyAlignment="1" applyProtection="1">
      <alignment horizontal="center" vertical="center" wrapText="1"/>
    </xf>
    <xf numFmtId="0" fontId="10" fillId="6" borderId="16" xfId="7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>
      <alignment vertical="center" wrapText="1"/>
    </xf>
    <xf numFmtId="0" fontId="10" fillId="6" borderId="16" xfId="7" applyFont="1" applyFill="1" applyBorder="1" applyAlignment="1" applyProtection="1">
      <alignment horizontal="center" vertical="center"/>
    </xf>
    <xf numFmtId="0" fontId="10" fillId="6" borderId="16" xfId="7" applyFont="1" applyFill="1" applyBorder="1" applyAlignment="1" applyProtection="1">
      <alignment horizontal="left" vertical="center" wrapText="1"/>
    </xf>
    <xf numFmtId="0" fontId="30" fillId="6" borderId="16" xfId="16" applyFont="1" applyFill="1" applyBorder="1" applyAlignment="1" applyProtection="1">
      <alignment vertical="center" wrapText="1"/>
    </xf>
    <xf numFmtId="3" fontId="22" fillId="6" borderId="16" xfId="7" applyNumberFormat="1" applyFont="1" applyFill="1" applyBorder="1" applyAlignment="1" applyProtection="1">
      <alignment vertical="center"/>
    </xf>
    <xf numFmtId="3" fontId="22" fillId="6" borderId="16" xfId="7" applyNumberFormat="1" applyFont="1" applyFill="1" applyBorder="1" applyAlignment="1" applyProtection="1">
      <alignment vertical="center" wrapText="1"/>
    </xf>
    <xf numFmtId="0" fontId="27" fillId="6" borderId="16" xfId="7" applyFont="1" applyFill="1" applyBorder="1" applyAlignment="1" applyProtection="1">
      <alignment horizontal="center" vertical="center" wrapText="1"/>
    </xf>
    <xf numFmtId="0" fontId="12" fillId="6" borderId="17" xfId="7" applyFont="1" applyFill="1" applyBorder="1" applyAlignment="1" applyProtection="1">
      <alignment horizontal="center" vertical="center" wrapText="1"/>
      <protection locked="0"/>
    </xf>
    <xf numFmtId="3" fontId="12" fillId="6" borderId="16" xfId="7" applyNumberFormat="1" applyFont="1" applyFill="1" applyBorder="1" applyAlignment="1" applyProtection="1">
      <alignment vertical="center" wrapText="1"/>
    </xf>
    <xf numFmtId="0" fontId="12" fillId="6" borderId="16" xfId="7" applyFont="1" applyFill="1" applyBorder="1" applyAlignment="1" applyProtection="1">
      <alignment vertical="center" wrapText="1"/>
    </xf>
    <xf numFmtId="0" fontId="28" fillId="6" borderId="16" xfId="7" applyFont="1" applyFill="1" applyBorder="1" applyAlignment="1" applyProtection="1">
      <alignment horizontal="center" vertical="center" wrapText="1"/>
    </xf>
    <xf numFmtId="0" fontId="10" fillId="6" borderId="12" xfId="7" applyFont="1" applyFill="1" applyBorder="1" applyAlignment="1" applyProtection="1">
      <alignment horizontal="center" vertical="center"/>
    </xf>
    <xf numFmtId="0" fontId="10" fillId="6" borderId="9" xfId="7" applyFont="1" applyFill="1" applyBorder="1" applyAlignment="1" applyProtection="1">
      <alignment horizontal="center" vertical="center"/>
    </xf>
    <xf numFmtId="0" fontId="21" fillId="0" borderId="0" xfId="9" applyFont="1" applyProtection="1"/>
    <xf numFmtId="49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 wrapText="1"/>
    </xf>
    <xf numFmtId="3" fontId="8" fillId="0" borderId="0" xfId="10" applyNumberFormat="1" applyFont="1" applyAlignment="1">
      <alignment vertical="center"/>
    </xf>
    <xf numFmtId="0" fontId="8" fillId="0" borderId="0" xfId="10" applyFont="1"/>
    <xf numFmtId="49" fontId="9" fillId="12" borderId="6" xfId="10" applyNumberFormat="1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/>
    </xf>
    <xf numFmtId="0" fontId="9" fillId="12" borderId="6" xfId="10" applyFont="1" applyFill="1" applyBorder="1" applyAlignment="1">
      <alignment horizontal="center" vertical="center" wrapText="1"/>
    </xf>
    <xf numFmtId="3" fontId="9" fillId="12" borderId="6" xfId="10" applyNumberFormat="1" applyFont="1" applyFill="1" applyBorder="1" applyAlignment="1">
      <alignment horizontal="center" vertical="center"/>
    </xf>
    <xf numFmtId="49" fontId="9" fillId="5" borderId="6" xfId="10" applyNumberFormat="1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vertical="center" wrapText="1"/>
    </xf>
    <xf numFmtId="3" fontId="9" fillId="5" borderId="6" xfId="10" applyNumberFormat="1" applyFont="1" applyFill="1" applyBorder="1" applyAlignment="1">
      <alignment vertical="center"/>
    </xf>
    <xf numFmtId="0" fontId="8" fillId="0" borderId="0" xfId="10" applyFont="1" applyAlignment="1">
      <alignment vertical="center"/>
    </xf>
    <xf numFmtId="49" fontId="8" fillId="3" borderId="6" xfId="10" applyNumberFormat="1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vertical="center" wrapText="1"/>
    </xf>
    <xf numFmtId="3" fontId="8" fillId="3" borderId="6" xfId="10" applyNumberFormat="1" applyFont="1" applyFill="1" applyBorder="1" applyAlignment="1">
      <alignment vertical="center"/>
    </xf>
    <xf numFmtId="49" fontId="8" fillId="0" borderId="6" xfId="10" applyNumberFormat="1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6" xfId="10" applyFont="1" applyBorder="1" applyAlignment="1">
      <alignment vertical="center" wrapText="1"/>
    </xf>
    <xf numFmtId="3" fontId="8" fillId="0" borderId="6" xfId="10" applyNumberFormat="1" applyFont="1" applyBorder="1" applyAlignment="1">
      <alignment vertical="center"/>
    </xf>
    <xf numFmtId="49" fontId="5" fillId="0" borderId="6" xfId="10" applyNumberFormat="1" applyFont="1" applyBorder="1" applyAlignment="1">
      <alignment horizontal="center" vertical="center"/>
    </xf>
    <xf numFmtId="0" fontId="5" fillId="0" borderId="6" xfId="10" applyFont="1" applyBorder="1" applyAlignment="1">
      <alignment horizontal="center" vertical="center"/>
    </xf>
    <xf numFmtId="0" fontId="5" fillId="0" borderId="6" xfId="10" applyFont="1" applyBorder="1" applyAlignment="1">
      <alignment vertical="center" wrapText="1"/>
    </xf>
    <xf numFmtId="3" fontId="5" fillId="0" borderId="6" xfId="10" applyNumberFormat="1" applyFont="1" applyBorder="1" applyAlignment="1">
      <alignment vertical="center"/>
    </xf>
    <xf numFmtId="3" fontId="5" fillId="0" borderId="6" xfId="10" applyNumberFormat="1" applyFont="1" applyFill="1" applyBorder="1" applyAlignment="1">
      <alignment vertical="center"/>
    </xf>
    <xf numFmtId="0" fontId="5" fillId="0" borderId="0" xfId="10" applyFont="1" applyAlignment="1">
      <alignment vertical="center"/>
    </xf>
    <xf numFmtId="0" fontId="6" fillId="3" borderId="6" xfId="1" applyFont="1" applyFill="1" applyBorder="1" applyAlignment="1">
      <alignment vertical="center" wrapText="1"/>
    </xf>
    <xf numFmtId="0" fontId="8" fillId="0" borderId="1" xfId="10" applyFont="1" applyBorder="1" applyAlignment="1">
      <alignment vertical="center" wrapText="1"/>
    </xf>
    <xf numFmtId="0" fontId="5" fillId="0" borderId="7" xfId="10" applyFont="1" applyBorder="1" applyAlignment="1">
      <alignment horizontal="center" vertical="center"/>
    </xf>
    <xf numFmtId="3" fontId="5" fillId="0" borderId="3" xfId="10" applyNumberFormat="1" applyFont="1" applyBorder="1" applyAlignment="1">
      <alignment vertical="center"/>
    </xf>
    <xf numFmtId="0" fontId="5" fillId="0" borderId="5" xfId="10" applyFont="1" applyBorder="1" applyAlignment="1">
      <alignment vertical="center" wrapText="1"/>
    </xf>
    <xf numFmtId="3" fontId="5" fillId="0" borderId="0" xfId="10" applyNumberFormat="1" applyFont="1" applyAlignment="1">
      <alignment vertical="center"/>
    </xf>
    <xf numFmtId="49" fontId="5" fillId="3" borderId="6" xfId="10" applyNumberFormat="1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vertical="center" wrapText="1"/>
    </xf>
    <xf numFmtId="3" fontId="5" fillId="3" borderId="6" xfId="10" applyNumberFormat="1" applyFont="1" applyFill="1" applyBorder="1" applyAlignment="1">
      <alignment vertical="center"/>
    </xf>
    <xf numFmtId="0" fontId="5" fillId="0" borderId="0" xfId="10" applyFont="1" applyFill="1" applyAlignment="1">
      <alignment vertical="center"/>
    </xf>
    <xf numFmtId="0" fontId="8" fillId="0" borderId="6" xfId="10" applyFont="1" applyFill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49" fontId="8" fillId="0" borderId="6" xfId="10" applyNumberFormat="1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3" fontId="8" fillId="0" borderId="6" xfId="10" applyNumberFormat="1" applyFont="1" applyFill="1" applyBorder="1" applyAlignment="1">
      <alignment vertical="center"/>
    </xf>
    <xf numFmtId="0" fontId="8" fillId="0" borderId="0" xfId="10" applyFont="1" applyFill="1" applyAlignment="1">
      <alignment vertical="center"/>
    </xf>
    <xf numFmtId="3" fontId="9" fillId="12" borderId="6" xfId="10" applyNumberFormat="1" applyFont="1" applyFill="1" applyBorder="1" applyAlignment="1">
      <alignment vertical="center"/>
    </xf>
    <xf numFmtId="3" fontId="6" fillId="0" borderId="0" xfId="7" applyNumberFormat="1" applyFont="1" applyFill="1"/>
    <xf numFmtId="0" fontId="6" fillId="0" borderId="0" xfId="7" applyFont="1" applyFill="1"/>
    <xf numFmtId="0" fontId="5" fillId="0" borderId="0" xfId="7" applyFont="1" applyFill="1"/>
    <xf numFmtId="0" fontId="22" fillId="0" borderId="26" xfId="7" applyFont="1" applyFill="1" applyBorder="1" applyAlignment="1" applyProtection="1">
      <alignment horizontal="center" vertical="center" wrapText="1"/>
      <protection locked="0"/>
    </xf>
    <xf numFmtId="0" fontId="12" fillId="7" borderId="27" xfId="7" applyFont="1" applyFill="1" applyBorder="1" applyAlignment="1" applyProtection="1">
      <alignment horizontal="center" vertical="center" wrapText="1"/>
      <protection locked="0"/>
    </xf>
    <xf numFmtId="0" fontId="30" fillId="0" borderId="16" xfId="7" applyFont="1" applyFill="1" applyBorder="1" applyAlignment="1" applyProtection="1">
      <alignment horizontal="center" vertical="center" wrapText="1"/>
    </xf>
    <xf numFmtId="0" fontId="5" fillId="0" borderId="0" xfId="9" applyFont="1"/>
    <xf numFmtId="0" fontId="5" fillId="0" borderId="0" xfId="9" applyFont="1" applyAlignment="1">
      <alignment horizontal="center"/>
    </xf>
    <xf numFmtId="0" fontId="35" fillId="0" borderId="0" xfId="9" applyFont="1"/>
    <xf numFmtId="0" fontId="6" fillId="0" borderId="0" xfId="9" applyFont="1" applyAlignment="1">
      <alignment horizontal="center"/>
    </xf>
    <xf numFmtId="0" fontId="5" fillId="0" borderId="0" xfId="9" applyFont="1" applyAlignment="1">
      <alignment vertical="center"/>
    </xf>
    <xf numFmtId="0" fontId="6" fillId="13" borderId="1" xfId="9" applyFont="1" applyFill="1" applyBorder="1" applyAlignment="1">
      <alignment horizontal="center" vertical="center" wrapText="1"/>
    </xf>
    <xf numFmtId="0" fontId="16" fillId="0" borderId="6" xfId="9" applyFont="1" applyBorder="1" applyAlignment="1">
      <alignment horizontal="center" vertical="center"/>
    </xf>
    <xf numFmtId="0" fontId="36" fillId="0" borderId="0" xfId="9" applyFont="1" applyAlignment="1"/>
    <xf numFmtId="0" fontId="5" fillId="0" borderId="6" xfId="9" applyFont="1" applyBorder="1" applyAlignment="1">
      <alignment vertical="center" wrapText="1"/>
    </xf>
    <xf numFmtId="0" fontId="5" fillId="0" borderId="0" xfId="9" applyFont="1" applyAlignment="1"/>
    <xf numFmtId="0" fontId="5" fillId="0" borderId="6" xfId="9" applyFont="1" applyFill="1" applyBorder="1" applyAlignment="1">
      <alignment horizontal="left" vertical="center"/>
    </xf>
    <xf numFmtId="0" fontId="6" fillId="2" borderId="6" xfId="9" applyFont="1" applyFill="1" applyBorder="1" applyAlignment="1">
      <alignment horizontal="right"/>
    </xf>
    <xf numFmtId="0" fontId="6" fillId="0" borderId="6" xfId="9" applyFont="1" applyBorder="1" applyAlignment="1">
      <alignment horizontal="center" wrapText="1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0" borderId="0" xfId="9" applyFont="1" applyAlignment="1"/>
    <xf numFmtId="0" fontId="5" fillId="0" borderId="1" xfId="9" applyFont="1" applyFill="1" applyBorder="1" applyAlignment="1">
      <alignment horizontal="left" vertical="center" wrapText="1"/>
    </xf>
    <xf numFmtId="0" fontId="6" fillId="2" borderId="1" xfId="9" applyFont="1" applyFill="1" applyBorder="1" applyAlignment="1">
      <alignment horizontal="right"/>
    </xf>
    <xf numFmtId="0" fontId="6" fillId="0" borderId="5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6" fillId="0" borderId="0" xfId="9" applyFont="1" applyFill="1" applyAlignment="1"/>
    <xf numFmtId="0" fontId="5" fillId="0" borderId="1" xfId="9" applyFont="1" applyFill="1" applyBorder="1" applyAlignment="1">
      <alignment horizontal="left" vertical="center"/>
    </xf>
    <xf numFmtId="0" fontId="5" fillId="0" borderId="6" xfId="9" applyFont="1" applyFill="1" applyBorder="1" applyAlignment="1">
      <alignment vertical="center" wrapText="1"/>
    </xf>
    <xf numFmtId="0" fontId="5" fillId="2" borderId="1" xfId="9" applyFont="1" applyFill="1" applyBorder="1" applyAlignment="1">
      <alignment horizontal="right"/>
    </xf>
    <xf numFmtId="4" fontId="5" fillId="2" borderId="1" xfId="9" applyNumberFormat="1" applyFont="1" applyFill="1" applyBorder="1" applyAlignment="1">
      <alignment wrapText="1"/>
    </xf>
    <xf numFmtId="4" fontId="5" fillId="2" borderId="1" xfId="9" applyNumberFormat="1" applyFont="1" applyFill="1" applyBorder="1" applyAlignment="1"/>
    <xf numFmtId="0" fontId="5" fillId="2" borderId="6" xfId="9" applyFont="1" applyFill="1" applyBorder="1" applyAlignment="1">
      <alignment horizontal="right"/>
    </xf>
    <xf numFmtId="4" fontId="5" fillId="2" borderId="6" xfId="9" applyNumberFormat="1" applyFont="1" applyFill="1" applyBorder="1" applyAlignment="1">
      <alignment wrapText="1"/>
    </xf>
    <xf numFmtId="4" fontId="5" fillId="2" borderId="6" xfId="9" applyNumberFormat="1" applyFont="1" applyFill="1" applyBorder="1" applyAlignment="1"/>
    <xf numFmtId="4" fontId="6" fillId="13" borderId="6" xfId="9" applyNumberFormat="1" applyFont="1" applyFill="1" applyBorder="1" applyAlignment="1">
      <alignment vertical="center"/>
    </xf>
    <xf numFmtId="0" fontId="6" fillId="0" borderId="0" xfId="9" applyFont="1" applyAlignment="1">
      <alignment vertical="center"/>
    </xf>
    <xf numFmtId="4" fontId="6" fillId="0" borderId="0" xfId="9" applyNumberFormat="1" applyFont="1" applyAlignment="1">
      <alignment vertical="center"/>
    </xf>
    <xf numFmtId="4" fontId="5" fillId="0" borderId="0" xfId="9" applyNumberFormat="1" applyFont="1"/>
    <xf numFmtId="0" fontId="5" fillId="0" borderId="6" xfId="9" applyFont="1" applyBorder="1" applyAlignment="1">
      <alignment horizontal="left" vertical="center" wrapText="1"/>
    </xf>
    <xf numFmtId="0" fontId="6" fillId="0" borderId="0" xfId="9" applyFont="1"/>
    <xf numFmtId="0" fontId="37" fillId="0" borderId="6" xfId="9" applyFont="1" applyBorder="1" applyAlignment="1">
      <alignment horizontal="center" vertical="center"/>
    </xf>
    <xf numFmtId="0" fontId="12" fillId="0" borderId="14" xfId="7" applyFont="1" applyFill="1" applyBorder="1" applyAlignment="1" applyProtection="1">
      <alignment vertical="center" wrapText="1"/>
      <protection locked="0"/>
    </xf>
    <xf numFmtId="0" fontId="5" fillId="0" borderId="6" xfId="11" applyFont="1" applyBorder="1" applyAlignment="1">
      <alignment vertical="center" wrapText="1"/>
    </xf>
    <xf numFmtId="0" fontId="5" fillId="0" borderId="0" xfId="7" applyFont="1" applyAlignment="1">
      <alignment horizontal="center" vertical="center"/>
    </xf>
    <xf numFmtId="0" fontId="5" fillId="0" borderId="0" xfId="7" applyFont="1" applyAlignment="1"/>
    <xf numFmtId="0" fontId="11" fillId="0" borderId="0" xfId="7" applyFont="1" applyAlignment="1">
      <alignment vertical="center" wrapText="1"/>
    </xf>
    <xf numFmtId="0" fontId="14" fillId="0" borderId="0" xfId="7" applyFont="1"/>
    <xf numFmtId="0" fontId="6" fillId="2" borderId="6" xfId="7" applyFont="1" applyFill="1" applyBorder="1" applyAlignment="1">
      <alignment horizontal="center" vertical="center"/>
    </xf>
    <xf numFmtId="0" fontId="38" fillId="14" borderId="6" xfId="7" applyFont="1" applyFill="1" applyBorder="1" applyAlignment="1">
      <alignment horizontal="center" vertical="center"/>
    </xf>
    <xf numFmtId="0" fontId="38" fillId="0" borderId="0" xfId="7" applyFont="1"/>
    <xf numFmtId="0" fontId="6" fillId="3" borderId="6" xfId="7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35" fillId="0" borderId="6" xfId="7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6" xfId="7" applyFont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35" fillId="0" borderId="6" xfId="7" applyFont="1" applyFill="1" applyBorder="1" applyAlignment="1">
      <alignment vertical="center"/>
    </xf>
    <xf numFmtId="3" fontId="5" fillId="0" borderId="6" xfId="7" applyNumberFormat="1" applyFont="1" applyFill="1" applyBorder="1" applyAlignment="1">
      <alignment vertical="center"/>
    </xf>
    <xf numFmtId="0" fontId="5" fillId="0" borderId="6" xfId="7" applyFont="1" applyBorder="1" applyAlignment="1">
      <alignment horizontal="left" vertical="center" wrapText="1"/>
    </xf>
    <xf numFmtId="0" fontId="5" fillId="0" borderId="6" xfId="7" applyFont="1" applyBorder="1" applyAlignment="1">
      <alignment vertical="center" wrapText="1"/>
    </xf>
    <xf numFmtId="0" fontId="35" fillId="0" borderId="6" xfId="7" applyFont="1" applyFill="1" applyBorder="1" applyAlignment="1">
      <alignment vertical="center" wrapText="1"/>
    </xf>
    <xf numFmtId="3" fontId="5" fillId="0" borderId="6" xfId="7" applyNumberFormat="1" applyFont="1" applyFill="1" applyBorder="1" applyAlignment="1">
      <alignment horizontal="right" vertical="center" wrapText="1"/>
    </xf>
    <xf numFmtId="0" fontId="5" fillId="0" borderId="0" xfId="7" applyFont="1" applyAlignment="1">
      <alignment vertical="center" wrapText="1"/>
    </xf>
    <xf numFmtId="0" fontId="36" fillId="0" borderId="6" xfId="7" applyFont="1" applyBorder="1" applyAlignment="1">
      <alignment horizontal="center" vertical="center"/>
    </xf>
    <xf numFmtId="0" fontId="36" fillId="0" borderId="6" xfId="7" applyFont="1" applyFill="1" applyBorder="1" applyAlignment="1">
      <alignment horizontal="center" vertical="center"/>
    </xf>
    <xf numFmtId="0" fontId="36" fillId="0" borderId="0" xfId="7" applyFont="1" applyAlignment="1">
      <alignment vertical="center"/>
    </xf>
    <xf numFmtId="3" fontId="5" fillId="0" borderId="6" xfId="7" applyNumberFormat="1" applyFont="1" applyFill="1" applyBorder="1" applyAlignment="1">
      <alignment vertical="center" wrapText="1"/>
    </xf>
    <xf numFmtId="3" fontId="35" fillId="0" borderId="6" xfId="7" applyNumberFormat="1" applyFont="1" applyFill="1" applyBorder="1" applyAlignment="1">
      <alignment horizontal="right" vertical="center" wrapText="1"/>
    </xf>
    <xf numFmtId="3" fontId="6" fillId="2" borderId="6" xfId="7" applyNumberFormat="1" applyFont="1" applyFill="1" applyBorder="1" applyAlignment="1">
      <alignment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0" fontId="6" fillId="0" borderId="0" xfId="7" applyFont="1" applyAlignment="1">
      <alignment horizontal="center" vertical="center"/>
    </xf>
    <xf numFmtId="49" fontId="5" fillId="0" borderId="6" xfId="7" applyNumberFormat="1" applyFont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3" fontId="5" fillId="0" borderId="0" xfId="7" applyNumberFormat="1" applyFont="1" applyAlignment="1">
      <alignment vertical="center"/>
    </xf>
    <xf numFmtId="3" fontId="35" fillId="0" borderId="6" xfId="7" applyNumberFormat="1" applyFont="1" applyFill="1" applyBorder="1" applyAlignment="1">
      <alignment vertical="center"/>
    </xf>
    <xf numFmtId="3" fontId="35" fillId="0" borderId="6" xfId="7" applyNumberFormat="1" applyFont="1" applyFill="1" applyBorder="1" applyAlignment="1">
      <alignment vertical="center" wrapText="1"/>
    </xf>
    <xf numFmtId="1" fontId="35" fillId="0" borderId="6" xfId="7" applyNumberFormat="1" applyFont="1" applyFill="1" applyBorder="1" applyAlignment="1">
      <alignment vertical="center" wrapText="1"/>
    </xf>
    <xf numFmtId="3" fontId="11" fillId="15" borderId="6" xfId="7" applyNumberFormat="1" applyFont="1" applyFill="1" applyBorder="1" applyAlignment="1">
      <alignment horizontal="right"/>
    </xf>
    <xf numFmtId="0" fontId="40" fillId="0" borderId="0" xfId="7" applyFont="1"/>
    <xf numFmtId="0" fontId="12" fillId="0" borderId="6" xfId="9" applyFont="1" applyFill="1" applyBorder="1" applyAlignment="1">
      <alignment horizontal="center" vertical="center"/>
    </xf>
    <xf numFmtId="0" fontId="12" fillId="0" borderId="7" xfId="9" applyFont="1" applyFill="1" applyBorder="1" applyAlignment="1">
      <alignment horizontal="center" vertical="center"/>
    </xf>
    <xf numFmtId="0" fontId="24" fillId="6" borderId="17" xfId="7" applyFont="1" applyFill="1" applyBorder="1" applyAlignment="1" applyProtection="1">
      <alignment vertical="center" wrapText="1"/>
      <protection locked="0"/>
    </xf>
    <xf numFmtId="0" fontId="23" fillId="16" borderId="11" xfId="7" applyFont="1" applyFill="1" applyBorder="1" applyAlignment="1" applyProtection="1">
      <alignment horizontal="center" vertical="center" wrapText="1"/>
    </xf>
    <xf numFmtId="0" fontId="24" fillId="16" borderId="16" xfId="7" applyFont="1" applyFill="1" applyBorder="1" applyAlignment="1" applyProtection="1">
      <alignment vertical="center" wrapText="1"/>
    </xf>
    <xf numFmtId="0" fontId="34" fillId="16" borderId="16" xfId="7" applyFont="1" applyFill="1" applyBorder="1" applyAlignment="1" applyProtection="1">
      <alignment horizontal="center" vertical="center" wrapText="1"/>
    </xf>
    <xf numFmtId="0" fontId="36" fillId="0" borderId="6" xfId="7" applyFont="1" applyFill="1" applyBorder="1" applyAlignment="1">
      <alignment vertical="center" wrapText="1"/>
    </xf>
    <xf numFmtId="3" fontId="36" fillId="0" borderId="6" xfId="7" applyNumberFormat="1" applyFont="1" applyFill="1" applyBorder="1" applyAlignment="1">
      <alignment vertical="center" wrapText="1"/>
    </xf>
    <xf numFmtId="0" fontId="39" fillId="0" borderId="6" xfId="7" applyFont="1" applyFill="1" applyBorder="1" applyAlignment="1">
      <alignment vertical="center" wrapText="1"/>
    </xf>
    <xf numFmtId="0" fontId="41" fillId="16" borderId="16" xfId="7" applyFont="1" applyFill="1" applyBorder="1" applyAlignment="1" applyProtection="1">
      <alignment horizontal="center" vertical="center"/>
    </xf>
    <xf numFmtId="3" fontId="23" fillId="16" borderId="16" xfId="7" applyNumberFormat="1" applyFont="1" applyFill="1" applyBorder="1" applyAlignment="1" applyProtection="1">
      <alignment vertical="center" wrapText="1"/>
    </xf>
    <xf numFmtId="0" fontId="22" fillId="0" borderId="17" xfId="7" applyFont="1" applyFill="1" applyBorder="1" applyAlignment="1" applyProtection="1">
      <alignment vertical="center" wrapText="1"/>
      <protection locked="0"/>
    </xf>
    <xf numFmtId="0" fontId="23" fillId="16" borderId="12" xfId="7" applyFont="1" applyFill="1" applyBorder="1" applyAlignment="1" applyProtection="1">
      <alignment horizontal="center" vertical="center" wrapText="1"/>
    </xf>
    <xf numFmtId="3" fontId="23" fillId="16" borderId="12" xfId="7" applyNumberFormat="1" applyFont="1" applyFill="1" applyBorder="1" applyAlignment="1" applyProtection="1">
      <alignment vertical="center" wrapText="1"/>
    </xf>
    <xf numFmtId="3" fontId="12" fillId="0" borderId="6" xfId="9" applyNumberFormat="1" applyFont="1" applyFill="1" applyBorder="1" applyAlignment="1"/>
    <xf numFmtId="0" fontId="5" fillId="2" borderId="6" xfId="9" applyFont="1" applyFill="1" applyBorder="1" applyAlignment="1">
      <alignment horizontal="right" wrapText="1"/>
    </xf>
    <xf numFmtId="0" fontId="35" fillId="0" borderId="6" xfId="7" applyFont="1" applyBorder="1" applyAlignment="1">
      <alignment vertical="center"/>
    </xf>
    <xf numFmtId="0" fontId="22" fillId="0" borderId="0" xfId="7" applyFont="1" applyFill="1" applyBorder="1" applyAlignment="1" applyProtection="1">
      <alignment vertical="center"/>
      <protection locked="0"/>
    </xf>
    <xf numFmtId="0" fontId="10" fillId="0" borderId="14" xfId="7" applyFont="1" applyFill="1" applyBorder="1" applyAlignment="1" applyProtection="1">
      <alignment vertical="center" wrapText="1"/>
      <protection locked="0"/>
    </xf>
    <xf numFmtId="0" fontId="43" fillId="0" borderId="16" xfId="0" applyFont="1" applyFill="1" applyBorder="1" applyAlignment="1">
      <alignment horizontal="justify" vertical="center"/>
    </xf>
    <xf numFmtId="0" fontId="36" fillId="2" borderId="1" xfId="9" applyFont="1" applyFill="1" applyBorder="1" applyAlignment="1">
      <alignment horizontal="right"/>
    </xf>
    <xf numFmtId="4" fontId="36" fillId="2" borderId="1" xfId="9" applyNumberFormat="1" applyFont="1" applyFill="1" applyBorder="1" applyAlignment="1">
      <alignment wrapText="1"/>
    </xf>
    <xf numFmtId="4" fontId="36" fillId="2" borderId="6" xfId="9" applyNumberFormat="1" applyFont="1" applyFill="1" applyBorder="1" applyAlignment="1"/>
    <xf numFmtId="0" fontId="36" fillId="0" borderId="6" xfId="9" applyFont="1" applyBorder="1" applyAlignment="1">
      <alignment vertical="center" wrapText="1"/>
    </xf>
    <xf numFmtId="0" fontId="36" fillId="0" borderId="1" xfId="9" applyFont="1" applyFill="1" applyBorder="1" applyAlignment="1">
      <alignment horizontal="left" vertical="center" wrapText="1"/>
    </xf>
    <xf numFmtId="0" fontId="36" fillId="2" borderId="6" xfId="9" applyFont="1" applyFill="1" applyBorder="1" applyAlignment="1">
      <alignment horizontal="right"/>
    </xf>
    <xf numFmtId="4" fontId="36" fillId="2" borderId="6" xfId="9" applyNumberFormat="1" applyFont="1" applyFill="1" applyBorder="1" applyAlignment="1">
      <alignment wrapText="1"/>
    </xf>
    <xf numFmtId="0" fontId="36" fillId="0" borderId="0" xfId="9" applyFont="1" applyAlignment="1">
      <alignment vertical="center"/>
    </xf>
    <xf numFmtId="4" fontId="36" fillId="2" borderId="1" xfId="9" applyNumberFormat="1" applyFont="1" applyFill="1" applyBorder="1" applyAlignment="1"/>
    <xf numFmtId="0" fontId="12" fillId="9" borderId="10" xfId="7" applyFont="1" applyFill="1" applyBorder="1" applyAlignment="1" applyProtection="1">
      <alignment horizontal="center" vertical="center" wrapText="1"/>
    </xf>
    <xf numFmtId="3" fontId="12" fillId="8" borderId="16" xfId="7" applyNumberFormat="1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vertical="center"/>
    </xf>
    <xf numFmtId="0" fontId="12" fillId="8" borderId="16" xfId="7" applyFont="1" applyFill="1" applyBorder="1" applyAlignment="1" applyProtection="1">
      <alignment vertical="center" wrapText="1"/>
    </xf>
    <xf numFmtId="3" fontId="12" fillId="8" borderId="16" xfId="7" applyNumberFormat="1" applyFont="1" applyFill="1" applyBorder="1" applyAlignment="1" applyProtection="1">
      <alignment horizontal="right" vertical="center" wrapText="1"/>
    </xf>
    <xf numFmtId="0" fontId="28" fillId="8" borderId="16" xfId="7" applyFont="1" applyFill="1" applyBorder="1" applyAlignment="1" applyProtection="1">
      <alignment horizontal="center" vertical="center" wrapText="1"/>
    </xf>
    <xf numFmtId="0" fontId="29" fillId="8" borderId="16" xfId="7" applyFont="1" applyFill="1" applyBorder="1" applyAlignment="1" applyProtection="1">
      <alignment horizontal="center" vertical="center" wrapText="1"/>
      <protection locked="0"/>
    </xf>
    <xf numFmtId="0" fontId="12" fillId="7" borderId="16" xfId="7" applyFont="1" applyFill="1" applyBorder="1" applyAlignment="1" applyProtection="1">
      <alignment horizontal="center" vertical="center" wrapText="1"/>
      <protection locked="0"/>
    </xf>
    <xf numFmtId="0" fontId="25" fillId="8" borderId="16" xfId="7" applyFont="1" applyFill="1" applyBorder="1" applyAlignment="1" applyProtection="1">
      <alignment vertical="center" wrapText="1"/>
    </xf>
    <xf numFmtId="41" fontId="12" fillId="8" borderId="16" xfId="7" applyNumberFormat="1" applyFont="1" applyFill="1" applyBorder="1" applyAlignment="1" applyProtection="1">
      <alignment horizontal="right" vertical="center" wrapText="1"/>
    </xf>
    <xf numFmtId="0" fontId="27" fillId="8" borderId="16" xfId="7" applyFont="1" applyFill="1" applyBorder="1" applyAlignment="1" applyProtection="1">
      <alignment horizontal="center" vertical="center" wrapText="1"/>
    </xf>
    <xf numFmtId="0" fontId="25" fillId="8" borderId="16" xfId="7" applyFont="1" applyFill="1" applyBorder="1" applyAlignment="1" applyProtection="1">
      <alignment horizontal="center" vertical="center" wrapText="1"/>
      <protection locked="0"/>
    </xf>
    <xf numFmtId="0" fontId="22" fillId="0" borderId="16" xfId="7" applyFont="1" applyFill="1" applyBorder="1" applyAlignment="1" applyProtection="1">
      <alignment horizontal="right" vertical="center" wrapText="1"/>
    </xf>
    <xf numFmtId="0" fontId="10" fillId="0" borderId="16" xfId="16" applyFont="1" applyFill="1" applyBorder="1" applyAlignment="1" applyProtection="1">
      <alignment horizontal="left" vertical="center" wrapText="1"/>
    </xf>
    <xf numFmtId="3" fontId="10" fillId="0" borderId="16" xfId="7" applyNumberFormat="1" applyFont="1" applyFill="1" applyBorder="1" applyAlignment="1" applyProtection="1">
      <alignment horizontal="center" vertical="center"/>
    </xf>
    <xf numFmtId="0" fontId="10" fillId="0" borderId="16" xfId="7" applyNumberFormat="1" applyFont="1" applyFill="1" applyBorder="1" applyAlignment="1" applyProtection="1">
      <alignment horizontal="center" vertical="center"/>
    </xf>
    <xf numFmtId="3" fontId="10" fillId="6" borderId="16" xfId="7" applyNumberFormat="1" applyFont="1" applyFill="1" applyBorder="1" applyAlignment="1" applyProtection="1">
      <alignment horizontal="center" vertical="center"/>
    </xf>
    <xf numFmtId="0" fontId="10" fillId="6" borderId="16" xfId="7" applyNumberFormat="1" applyFont="1" applyFill="1" applyBorder="1" applyAlignment="1" applyProtection="1">
      <alignment horizontal="center" vertical="center"/>
    </xf>
    <xf numFmtId="3" fontId="25" fillId="8" borderId="16" xfId="7" applyNumberFormat="1" applyFont="1" applyFill="1" applyBorder="1" applyAlignment="1" applyProtection="1">
      <alignment vertical="center"/>
    </xf>
    <xf numFmtId="41" fontId="28" fillId="8" borderId="16" xfId="7" applyNumberFormat="1" applyFont="1" applyFill="1" applyBorder="1" applyAlignment="1" applyProtection="1">
      <alignment horizontal="right" vertical="center" wrapText="1"/>
    </xf>
    <xf numFmtId="3" fontId="25" fillId="8" borderId="16" xfId="7" applyNumberFormat="1" applyFont="1" applyFill="1" applyBorder="1" applyAlignment="1" applyProtection="1">
      <alignment vertical="center" wrapText="1"/>
    </xf>
    <xf numFmtId="0" fontId="26" fillId="8" borderId="16" xfId="7" applyFont="1" applyFill="1" applyBorder="1" applyAlignment="1" applyProtection="1">
      <alignment horizontal="center" vertical="center" wrapText="1"/>
    </xf>
    <xf numFmtId="0" fontId="15" fillId="8" borderId="16" xfId="7" applyFont="1" applyFill="1" applyBorder="1" applyAlignment="1" applyProtection="1">
      <alignment horizontal="center" vertical="center" wrapText="1"/>
      <protection locked="0"/>
    </xf>
    <xf numFmtId="0" fontId="12" fillId="8" borderId="16" xfId="7" applyFont="1" applyFill="1" applyBorder="1" applyAlignment="1" applyProtection="1">
      <alignment horizontal="center" vertical="center" wrapText="1"/>
      <protection locked="0"/>
    </xf>
    <xf numFmtId="3" fontId="10" fillId="0" borderId="16" xfId="7" applyNumberFormat="1" applyFont="1" applyBorder="1" applyAlignment="1" applyProtection="1">
      <alignment vertical="center" wrapText="1"/>
    </xf>
    <xf numFmtId="0" fontId="30" fillId="0" borderId="16" xfId="16" applyFont="1" applyFill="1" applyBorder="1" applyAlignment="1" applyProtection="1">
      <alignment vertical="center" wrapText="1"/>
    </xf>
    <xf numFmtId="0" fontId="23" fillId="17" borderId="16" xfId="7" applyFont="1" applyFill="1" applyBorder="1" applyAlignment="1" applyProtection="1">
      <alignment horizontal="center" vertical="center" wrapText="1"/>
    </xf>
    <xf numFmtId="3" fontId="23" fillId="17" borderId="16" xfId="7" applyNumberFormat="1" applyFont="1" applyFill="1" applyBorder="1" applyAlignment="1" applyProtection="1">
      <alignment vertical="center" wrapText="1"/>
    </xf>
    <xf numFmtId="0" fontId="24" fillId="17" borderId="16" xfId="7" applyFont="1" applyFill="1" applyBorder="1" applyAlignment="1" applyProtection="1">
      <alignment vertical="center" wrapText="1"/>
    </xf>
    <xf numFmtId="0" fontId="34" fillId="17" borderId="16" xfId="7" applyFont="1" applyFill="1" applyBorder="1" applyAlignment="1" applyProtection="1">
      <alignment horizontal="center" vertical="center" wrapText="1"/>
    </xf>
    <xf numFmtId="0" fontId="23" fillId="0" borderId="16" xfId="7" applyFont="1" applyFill="1" applyBorder="1" applyAlignment="1" applyProtection="1">
      <alignment horizontal="center" vertical="center" wrapText="1"/>
      <protection locked="0"/>
    </xf>
    <xf numFmtId="0" fontId="10" fillId="0" borderId="16" xfId="7" applyFont="1" applyBorder="1" applyAlignment="1" applyProtection="1">
      <alignment horizontal="center" vertical="center" wrapText="1"/>
    </xf>
    <xf numFmtId="0" fontId="10" fillId="0" borderId="16" xfId="7" applyFont="1" applyBorder="1" applyAlignment="1" applyProtection="1">
      <alignment horizontal="left" vertical="center" wrapText="1"/>
    </xf>
    <xf numFmtId="3" fontId="22" fillId="0" borderId="16" xfId="7" applyNumberFormat="1" applyFont="1" applyBorder="1" applyAlignment="1" applyProtection="1">
      <alignment vertical="center" wrapText="1"/>
    </xf>
    <xf numFmtId="0" fontId="22" fillId="0" borderId="16" xfId="7" applyFont="1" applyBorder="1" applyAlignment="1" applyProtection="1">
      <alignment vertical="center" wrapText="1"/>
    </xf>
    <xf numFmtId="0" fontId="26" fillId="0" borderId="16" xfId="7" applyFont="1" applyBorder="1" applyAlignment="1" applyProtection="1">
      <alignment horizontal="center" vertical="center" wrapText="1"/>
    </xf>
    <xf numFmtId="0" fontId="25" fillId="0" borderId="16" xfId="7" applyFont="1" applyFill="1" applyBorder="1" applyAlignment="1" applyProtection="1">
      <alignment horizontal="center" vertical="center" wrapText="1"/>
      <protection locked="0"/>
    </xf>
    <xf numFmtId="0" fontId="12" fillId="0" borderId="16" xfId="7" applyFont="1" applyFill="1" applyBorder="1" applyAlignment="1" applyProtection="1">
      <alignment vertical="center" wrapText="1"/>
      <protection locked="0"/>
    </xf>
    <xf numFmtId="0" fontId="12" fillId="7" borderId="17" xfId="7" applyFont="1" applyFill="1" applyBorder="1" applyAlignment="1" applyProtection="1">
      <alignment horizontal="center" vertical="center" wrapText="1"/>
      <protection locked="0"/>
    </xf>
    <xf numFmtId="0" fontId="12" fillId="2" borderId="17" xfId="7" applyFont="1" applyFill="1" applyBorder="1" applyAlignment="1" applyProtection="1">
      <alignment vertical="center" wrapText="1"/>
      <protection locked="0"/>
    </xf>
    <xf numFmtId="0" fontId="23" fillId="17" borderId="16" xfId="7" applyFont="1" applyFill="1" applyBorder="1" applyAlignment="1" applyProtection="1">
      <alignment vertical="center" wrapText="1"/>
    </xf>
    <xf numFmtId="0" fontId="30" fillId="0" borderId="16" xfId="7" applyFont="1" applyFill="1" applyBorder="1" applyAlignment="1" applyProtection="1">
      <alignment horizontal="center" vertical="center"/>
    </xf>
    <xf numFmtId="3" fontId="10" fillId="10" borderId="16" xfId="7" applyNumberFormat="1" applyFont="1" applyFill="1" applyBorder="1" applyAlignment="1" applyProtection="1">
      <alignment vertical="center" wrapText="1"/>
    </xf>
    <xf numFmtId="3" fontId="12" fillId="11" borderId="16" xfId="7" applyNumberFormat="1" applyFont="1" applyFill="1" applyBorder="1" applyAlignment="1" applyProtection="1">
      <alignment vertical="center" wrapText="1"/>
    </xf>
    <xf numFmtId="3" fontId="28" fillId="11" borderId="16" xfId="7" applyNumberFormat="1" applyFont="1" applyFill="1" applyBorder="1" applyAlignment="1" applyProtection="1">
      <alignment horizontal="center" vertical="center" wrapText="1"/>
    </xf>
    <xf numFmtId="0" fontId="24" fillId="0" borderId="17" xfId="7" applyFont="1" applyFill="1" applyBorder="1" applyAlignment="1" applyProtection="1">
      <alignment vertical="center" wrapText="1"/>
      <protection locked="0"/>
    </xf>
    <xf numFmtId="0" fontId="23" fillId="16" borderId="16" xfId="7" applyFont="1" applyFill="1" applyBorder="1" applyAlignment="1" applyProtection="1">
      <alignment vertical="center" wrapText="1"/>
    </xf>
    <xf numFmtId="0" fontId="41" fillId="17" borderId="16" xfId="7" applyFont="1" applyFill="1" applyBorder="1" applyAlignment="1" applyProtection="1">
      <alignment horizontal="center" vertical="center"/>
    </xf>
    <xf numFmtId="3" fontId="24" fillId="17" borderId="16" xfId="7" applyNumberFormat="1" applyFont="1" applyFill="1" applyBorder="1" applyAlignment="1" applyProtection="1">
      <alignment vertical="center" wrapText="1"/>
    </xf>
    <xf numFmtId="0" fontId="42" fillId="17" borderId="0" xfId="0" applyFont="1" applyFill="1" applyAlignment="1">
      <alignment horizontal="left" vertical="center" wrapText="1"/>
    </xf>
    <xf numFmtId="0" fontId="10" fillId="6" borderId="1" xfId="7" applyFont="1" applyFill="1" applyBorder="1" applyAlignment="1">
      <alignment vertical="center" wrapText="1"/>
    </xf>
    <xf numFmtId="0" fontId="10" fillId="6" borderId="16" xfId="7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vertical="center" wrapText="1"/>
    </xf>
    <xf numFmtId="3" fontId="8" fillId="0" borderId="0" xfId="11" applyNumberFormat="1" applyFont="1" applyAlignment="1">
      <alignment vertical="center"/>
    </xf>
    <xf numFmtId="0" fontId="8" fillId="0" borderId="0" xfId="11" applyFont="1"/>
    <xf numFmtId="0" fontId="17" fillId="0" borderId="0" xfId="11" applyFont="1" applyAlignment="1">
      <alignment horizontal="center" vertical="center" wrapText="1"/>
    </xf>
    <xf numFmtId="0" fontId="9" fillId="18" borderId="6" xfId="11" applyFont="1" applyFill="1" applyBorder="1" applyAlignment="1">
      <alignment horizontal="center" vertical="center"/>
    </xf>
    <xf numFmtId="0" fontId="9" fillId="18" borderId="6" xfId="11" applyFont="1" applyFill="1" applyBorder="1" applyAlignment="1">
      <alignment horizontal="center" vertical="center" wrapText="1"/>
    </xf>
    <xf numFmtId="3" fontId="9" fillId="18" borderId="6" xfId="11" applyNumberFormat="1" applyFont="1" applyFill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9" fillId="19" borderId="6" xfId="11" applyFont="1" applyFill="1" applyBorder="1" applyAlignment="1">
      <alignment horizontal="center" vertical="center"/>
    </xf>
    <xf numFmtId="0" fontId="9" fillId="19" borderId="6" xfId="11" applyFont="1" applyFill="1" applyBorder="1" applyAlignment="1">
      <alignment vertical="center" wrapText="1"/>
    </xf>
    <xf numFmtId="3" fontId="9" fillId="19" borderId="6" xfId="11" applyNumberFormat="1" applyFont="1" applyFill="1" applyBorder="1" applyAlignment="1">
      <alignment vertical="center"/>
    </xf>
    <xf numFmtId="0" fontId="8" fillId="5" borderId="6" xfId="11" applyFont="1" applyFill="1" applyBorder="1" applyAlignment="1">
      <alignment horizontal="center" vertical="center"/>
    </xf>
    <xf numFmtId="0" fontId="8" fillId="5" borderId="6" xfId="11" applyFont="1" applyFill="1" applyBorder="1" applyAlignment="1">
      <alignment vertical="center" wrapText="1"/>
    </xf>
    <xf numFmtId="3" fontId="8" fillId="5" borderId="6" xfId="11" applyNumberFormat="1" applyFont="1" applyFill="1" applyBorder="1" applyAlignment="1">
      <alignment vertical="center"/>
    </xf>
    <xf numFmtId="0" fontId="8" fillId="0" borderId="0" xfId="11" applyFont="1" applyAlignment="1">
      <alignment vertical="center"/>
    </xf>
    <xf numFmtId="0" fontId="5" fillId="0" borderId="6" xfId="11" applyFont="1" applyBorder="1" applyAlignment="1">
      <alignment horizontal="center" vertical="center"/>
    </xf>
    <xf numFmtId="3" fontId="5" fillId="0" borderId="6" xfId="11" applyNumberFormat="1" applyFont="1" applyBorder="1" applyAlignment="1">
      <alignment vertical="center"/>
    </xf>
    <xf numFmtId="0" fontId="5" fillId="0" borderId="0" xfId="11" applyFont="1" applyAlignment="1">
      <alignment vertical="center"/>
    </xf>
    <xf numFmtId="0" fontId="44" fillId="0" borderId="6" xfId="11" applyFont="1" applyFill="1" applyBorder="1" applyAlignment="1">
      <alignment horizontal="center" vertical="center"/>
    </xf>
    <xf numFmtId="0" fontId="36" fillId="0" borderId="6" xfId="11" applyFont="1" applyFill="1" applyBorder="1" applyAlignment="1">
      <alignment vertical="center" wrapText="1"/>
    </xf>
    <xf numFmtId="3" fontId="44" fillId="0" borderId="6" xfId="11" applyNumberFormat="1" applyFont="1" applyFill="1" applyBorder="1" applyAlignment="1">
      <alignment vertical="center"/>
    </xf>
    <xf numFmtId="0" fontId="44" fillId="0" borderId="0" xfId="11" applyFont="1" applyFill="1" applyAlignment="1">
      <alignment vertical="center"/>
    </xf>
    <xf numFmtId="0" fontId="44" fillId="0" borderId="0" xfId="11" applyFont="1" applyAlignment="1">
      <alignment vertical="center"/>
    </xf>
    <xf numFmtId="0" fontId="8" fillId="0" borderId="6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vertical="center" wrapText="1"/>
    </xf>
    <xf numFmtId="3" fontId="8" fillId="0" borderId="6" xfId="11" applyNumberFormat="1" applyFont="1" applyFill="1" applyBorder="1" applyAlignment="1">
      <alignment vertical="center"/>
    </xf>
    <xf numFmtId="0" fontId="8" fillId="0" borderId="0" xfId="11" applyFont="1" applyFill="1" applyAlignment="1">
      <alignment vertical="center"/>
    </xf>
    <xf numFmtId="0" fontId="8" fillId="0" borderId="6" xfId="11" applyFont="1" applyBorder="1" applyAlignment="1">
      <alignment horizontal="center" vertical="center"/>
    </xf>
    <xf numFmtId="0" fontId="8" fillId="0" borderId="6" xfId="11" applyFont="1" applyBorder="1" applyAlignment="1">
      <alignment vertical="center" wrapText="1"/>
    </xf>
    <xf numFmtId="3" fontId="8" fillId="0" borderId="6" xfId="11" applyNumberFormat="1" applyFont="1" applyBorder="1" applyAlignment="1">
      <alignment vertical="center"/>
    </xf>
    <xf numFmtId="0" fontId="8" fillId="0" borderId="6" xfId="11" applyFont="1" applyFill="1" applyBorder="1" applyAlignment="1">
      <alignment vertical="center"/>
    </xf>
    <xf numFmtId="3" fontId="9" fillId="18" borderId="6" xfId="11" applyNumberFormat="1" applyFont="1" applyFill="1" applyBorder="1" applyAlignment="1">
      <alignment vertical="center"/>
    </xf>
    <xf numFmtId="49" fontId="9" fillId="5" borderId="6" xfId="10" applyNumberFormat="1" applyFont="1" applyFill="1" applyBorder="1" applyAlignment="1">
      <alignment horizontal="left" vertical="center"/>
    </xf>
    <xf numFmtId="0" fontId="8" fillId="3" borderId="6" xfId="10" applyFont="1" applyFill="1" applyBorder="1" applyAlignment="1">
      <alignment horizontal="left" vertical="center"/>
    </xf>
    <xf numFmtId="3" fontId="8" fillId="3" borderId="6" xfId="10" applyNumberFormat="1" applyFont="1" applyFill="1" applyBorder="1" applyAlignment="1">
      <alignment horizontal="right" vertical="center"/>
    </xf>
    <xf numFmtId="164" fontId="9" fillId="5" borderId="6" xfId="10" applyNumberFormat="1" applyFont="1" applyFill="1" applyBorder="1" applyAlignment="1">
      <alignment vertical="center"/>
    </xf>
    <xf numFmtId="0" fontId="23" fillId="16" borderId="16" xfId="7" applyFont="1" applyFill="1" applyBorder="1" applyAlignment="1" applyProtection="1">
      <alignment horizontal="center" vertical="center"/>
    </xf>
    <xf numFmtId="0" fontId="23" fillId="16" borderId="16" xfId="7" applyFont="1" applyFill="1" applyBorder="1" applyAlignment="1" applyProtection="1">
      <alignment horizontal="left" vertical="center" wrapText="1"/>
    </xf>
    <xf numFmtId="3" fontId="23" fillId="16" borderId="16" xfId="7" applyNumberFormat="1" applyFont="1" applyFill="1" applyBorder="1" applyAlignment="1" applyProtection="1">
      <alignment vertical="center"/>
    </xf>
    <xf numFmtId="0" fontId="23" fillId="16" borderId="16" xfId="7" applyFont="1" applyFill="1" applyBorder="1" applyAlignment="1" applyProtection="1">
      <alignment horizontal="right" vertical="center" wrapText="1"/>
    </xf>
    <xf numFmtId="0" fontId="45" fillId="16" borderId="0" xfId="0" applyFont="1" applyFill="1" applyAlignment="1">
      <alignment horizontal="left" vertical="center" wrapText="1"/>
    </xf>
    <xf numFmtId="0" fontId="23" fillId="16" borderId="16" xfId="7" applyFont="1" applyFill="1" applyBorder="1" applyAlignment="1" applyProtection="1">
      <alignment horizontal="center" vertical="center" wrapText="1"/>
    </xf>
    <xf numFmtId="0" fontId="46" fillId="16" borderId="16" xfId="7" applyFont="1" applyFill="1" applyBorder="1" applyAlignment="1" applyProtection="1">
      <alignment horizontal="center" vertical="center" wrapText="1"/>
    </xf>
    <xf numFmtId="0" fontId="23" fillId="0" borderId="16" xfId="7" applyFont="1" applyFill="1" applyBorder="1" applyAlignment="1" applyProtection="1">
      <alignment vertical="center" wrapText="1"/>
      <protection locked="0"/>
    </xf>
    <xf numFmtId="3" fontId="5" fillId="0" borderId="0" xfId="7" applyNumberFormat="1" applyFont="1" applyAlignment="1">
      <alignment vertical="center" wrapText="1"/>
    </xf>
    <xf numFmtId="0" fontId="12" fillId="2" borderId="16" xfId="7" applyFont="1" applyFill="1" applyBorder="1" applyAlignment="1" applyProtection="1">
      <alignment horizontal="center" vertical="center" wrapText="1"/>
    </xf>
    <xf numFmtId="0" fontId="12" fillId="2" borderId="14" xfId="7" applyFont="1" applyFill="1" applyBorder="1" applyAlignment="1" applyProtection="1">
      <alignment horizontal="center" vertical="center" wrapText="1"/>
    </xf>
    <xf numFmtId="0" fontId="12" fillId="2" borderId="13" xfId="7" applyFont="1" applyFill="1" applyBorder="1" applyAlignment="1" applyProtection="1">
      <alignment horizontal="center" vertical="center" wrapText="1"/>
    </xf>
    <xf numFmtId="0" fontId="12" fillId="2" borderId="18" xfId="7" applyFont="1" applyFill="1" applyBorder="1" applyAlignment="1" applyProtection="1">
      <alignment horizontal="center" vertical="center" wrapText="1"/>
    </xf>
    <xf numFmtId="165" fontId="11" fillId="11" borderId="14" xfId="8" applyNumberFormat="1" applyFont="1" applyFill="1" applyBorder="1" applyAlignment="1" applyProtection="1">
      <alignment horizontal="center" vertical="center" wrapText="1"/>
    </xf>
    <xf numFmtId="165" fontId="11" fillId="11" borderId="13" xfId="8" applyNumberFormat="1" applyFont="1" applyFill="1" applyBorder="1" applyAlignment="1" applyProtection="1">
      <alignment horizontal="center" vertical="center" wrapText="1"/>
    </xf>
    <xf numFmtId="165" fontId="11" fillId="11" borderId="18" xfId="8" applyNumberFormat="1" applyFont="1" applyFill="1" applyBorder="1" applyAlignment="1" applyProtection="1">
      <alignment horizontal="center" vertical="center" wrapText="1"/>
    </xf>
    <xf numFmtId="0" fontId="12" fillId="2" borderId="12" xfId="7" applyFont="1" applyFill="1" applyBorder="1" applyAlignment="1" applyProtection="1">
      <alignment horizontal="center" vertical="center" wrapText="1"/>
      <protection locked="0"/>
    </xf>
    <xf numFmtId="0" fontId="12" fillId="2" borderId="10" xfId="7" applyFont="1" applyFill="1" applyBorder="1" applyAlignment="1" applyProtection="1">
      <alignment horizontal="center" vertical="center" wrapText="1"/>
      <protection locked="0"/>
    </xf>
    <xf numFmtId="0" fontId="19" fillId="8" borderId="16" xfId="7" applyFont="1" applyFill="1" applyBorder="1" applyAlignment="1" applyProtection="1">
      <alignment horizontal="center" vertical="center"/>
    </xf>
    <xf numFmtId="0" fontId="19" fillId="8" borderId="20" xfId="7" applyFont="1" applyFill="1" applyBorder="1" applyAlignment="1" applyProtection="1">
      <alignment horizontal="center" vertical="center" wrapText="1"/>
    </xf>
    <xf numFmtId="0" fontId="19" fillId="8" borderId="21" xfId="7" applyFont="1" applyFill="1" applyBorder="1" applyAlignment="1" applyProtection="1">
      <alignment horizontal="center" vertical="center" wrapText="1"/>
    </xf>
    <xf numFmtId="0" fontId="19" fillId="8" borderId="22" xfId="7" applyFont="1" applyFill="1" applyBorder="1" applyAlignment="1" applyProtection="1">
      <alignment horizontal="center" vertical="center" wrapText="1"/>
    </xf>
    <xf numFmtId="0" fontId="19" fillId="8" borderId="14" xfId="7" applyFont="1" applyFill="1" applyBorder="1" applyAlignment="1" applyProtection="1">
      <alignment horizontal="center" vertical="center"/>
    </xf>
    <xf numFmtId="0" fontId="19" fillId="8" borderId="13" xfId="7" applyFont="1" applyFill="1" applyBorder="1" applyAlignment="1" applyProtection="1">
      <alignment horizontal="center" vertical="center"/>
    </xf>
    <xf numFmtId="0" fontId="19" fillId="8" borderId="18" xfId="7" applyFont="1" applyFill="1" applyBorder="1" applyAlignment="1" applyProtection="1">
      <alignment horizontal="center" vertical="center"/>
    </xf>
    <xf numFmtId="0" fontId="11" fillId="0" borderId="0" xfId="7" applyFont="1" applyBorder="1" applyAlignment="1" applyProtection="1">
      <alignment horizontal="center"/>
    </xf>
    <xf numFmtId="0" fontId="10" fillId="9" borderId="16" xfId="7" applyFont="1" applyFill="1" applyBorder="1" applyAlignment="1" applyProtection="1">
      <alignment horizontal="center" vertical="center"/>
    </xf>
    <xf numFmtId="0" fontId="12" fillId="9" borderId="16" xfId="7" applyFont="1" applyFill="1" applyBorder="1" applyAlignment="1" applyProtection="1">
      <alignment horizontal="center" vertical="center" wrapText="1"/>
    </xf>
    <xf numFmtId="0" fontId="12" fillId="9" borderId="12" xfId="7" applyFont="1" applyFill="1" applyBorder="1" applyAlignment="1" applyProtection="1">
      <alignment horizontal="center" vertical="center" wrapText="1"/>
    </xf>
    <xf numFmtId="0" fontId="12" fillId="9" borderId="10" xfId="7" applyFont="1" applyFill="1" applyBorder="1" applyAlignment="1" applyProtection="1">
      <alignment horizontal="center" vertical="center" wrapText="1"/>
    </xf>
    <xf numFmtId="0" fontId="12" fillId="9" borderId="14" xfId="7" applyFont="1" applyFill="1" applyBorder="1" applyAlignment="1" applyProtection="1">
      <alignment horizontal="center" vertical="center" wrapText="1"/>
    </xf>
    <xf numFmtId="0" fontId="12" fillId="9" borderId="13" xfId="7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4" borderId="7" xfId="9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/>
    </xf>
    <xf numFmtId="0" fontId="6" fillId="13" borderId="6" xfId="9" applyFont="1" applyFill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 wrapText="1"/>
    </xf>
    <xf numFmtId="0" fontId="5" fillId="0" borderId="5" xfId="9" applyFont="1" applyBorder="1" applyAlignment="1">
      <alignment horizontal="center" vertical="center" wrapText="1"/>
    </xf>
    <xf numFmtId="0" fontId="6" fillId="0" borderId="6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5" fillId="0" borderId="28" xfId="9" applyFont="1" applyFill="1" applyBorder="1" applyAlignment="1">
      <alignment horizontal="center" vertical="center" wrapText="1"/>
    </xf>
    <xf numFmtId="0" fontId="5" fillId="0" borderId="29" xfId="9" applyFont="1" applyFill="1" applyBorder="1" applyAlignment="1">
      <alignment horizontal="center" vertical="center" wrapText="1"/>
    </xf>
    <xf numFmtId="0" fontId="5" fillId="0" borderId="30" xfId="9" applyFont="1" applyFill="1" applyBorder="1" applyAlignment="1">
      <alignment horizontal="center" vertical="center"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36" fillId="0" borderId="1" xfId="9" applyFont="1" applyFill="1" applyBorder="1" applyAlignment="1">
      <alignment horizontal="center" vertical="center"/>
    </xf>
    <xf numFmtId="0" fontId="36" fillId="0" borderId="4" xfId="9" applyFont="1" applyFill="1" applyBorder="1" applyAlignment="1">
      <alignment horizontal="center" vertical="center"/>
    </xf>
    <xf numFmtId="0" fontId="36" fillId="0" borderId="5" xfId="9" applyFont="1" applyFill="1" applyBorder="1" applyAlignment="1">
      <alignment horizontal="center" vertical="center"/>
    </xf>
    <xf numFmtId="0" fontId="36" fillId="0" borderId="6" xfId="9" applyFont="1" applyBorder="1" applyAlignment="1">
      <alignment horizontal="center" vertical="center"/>
    </xf>
    <xf numFmtId="0" fontId="36" fillId="0" borderId="28" xfId="9" applyFont="1" applyFill="1" applyBorder="1" applyAlignment="1">
      <alignment horizontal="center" vertical="center" wrapText="1"/>
    </xf>
    <xf numFmtId="0" fontId="36" fillId="0" borderId="33" xfId="9" applyFont="1" applyFill="1" applyBorder="1" applyAlignment="1">
      <alignment horizontal="center" vertical="center" wrapText="1"/>
    </xf>
    <xf numFmtId="0" fontId="36" fillId="0" borderId="1" xfId="9" applyFont="1" applyFill="1" applyBorder="1" applyAlignment="1">
      <alignment horizontal="center" vertical="center" wrapText="1"/>
    </xf>
    <xf numFmtId="0" fontId="36" fillId="0" borderId="5" xfId="9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19" fillId="0" borderId="0" xfId="9" applyFont="1" applyAlignment="1">
      <alignment horizontal="center" vertical="center" wrapText="1"/>
    </xf>
    <xf numFmtId="0" fontId="6" fillId="13" borderId="1" xfId="9" applyFont="1" applyFill="1" applyBorder="1" applyAlignment="1">
      <alignment horizontal="center" vertical="center" wrapText="1"/>
    </xf>
    <xf numFmtId="0" fontId="6" fillId="13" borderId="4" xfId="9" applyFont="1" applyFill="1" applyBorder="1" applyAlignment="1">
      <alignment horizontal="center" vertical="center" wrapText="1"/>
    </xf>
    <xf numFmtId="0" fontId="6" fillId="13" borderId="6" xfId="9" applyFont="1" applyFill="1" applyBorder="1" applyAlignment="1">
      <alignment horizontal="center" vertical="center" wrapText="1"/>
    </xf>
    <xf numFmtId="49" fontId="17" fillId="0" borderId="0" xfId="10" applyNumberFormat="1" applyFont="1" applyAlignment="1">
      <alignment horizontal="center" vertical="center" wrapText="1"/>
    </xf>
    <xf numFmtId="0" fontId="9" fillId="12" borderId="7" xfId="10" applyFont="1" applyFill="1" applyBorder="1" applyAlignment="1">
      <alignment horizontal="center" vertical="center" wrapText="1"/>
    </xf>
    <xf numFmtId="0" fontId="9" fillId="12" borderId="2" xfId="10" applyFont="1" applyFill="1" applyBorder="1" applyAlignment="1">
      <alignment horizontal="center" vertical="center" wrapText="1"/>
    </xf>
    <xf numFmtId="0" fontId="9" fillId="12" borderId="3" xfId="10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9" fillId="18" borderId="7" xfId="11" applyFont="1" applyFill="1" applyBorder="1" applyAlignment="1">
      <alignment horizontal="center" vertical="center" wrapText="1"/>
    </xf>
    <xf numFmtId="0" fontId="9" fillId="18" borderId="2" xfId="11" applyFont="1" applyFill="1" applyBorder="1" applyAlignment="1">
      <alignment horizontal="center" vertical="center" wrapText="1"/>
    </xf>
    <xf numFmtId="0" fontId="9" fillId="18" borderId="3" xfId="11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/>
    </xf>
    <xf numFmtId="0" fontId="6" fillId="3" borderId="6" xfId="7" applyFont="1" applyFill="1" applyBorder="1" applyAlignment="1">
      <alignment horizontal="center" vertical="center" wrapText="1"/>
    </xf>
    <xf numFmtId="44" fontId="6" fillId="2" borderId="6" xfId="12" applyFont="1" applyFill="1" applyBorder="1" applyAlignment="1">
      <alignment horizontal="center" vertical="center"/>
    </xf>
    <xf numFmtId="44" fontId="11" fillId="15" borderId="6" xfId="12" applyFont="1" applyFill="1" applyBorder="1" applyAlignment="1">
      <alignment horizont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</cellXfs>
  <cellStyles count="21"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3"/>
  <sheetViews>
    <sheetView view="pageBreakPreview" topLeftCell="A67" zoomScale="60" zoomScaleNormal="100" workbookViewId="0">
      <selection activeCell="P84" sqref="P84"/>
    </sheetView>
  </sheetViews>
  <sheetFormatPr defaultColWidth="11.6640625" defaultRowHeight="12.75"/>
  <cols>
    <col min="1" max="1" width="5.6640625" style="36" customWidth="1"/>
    <col min="2" max="2" width="6.6640625" style="36" customWidth="1"/>
    <col min="3" max="3" width="9.33203125" style="36" customWidth="1"/>
    <col min="4" max="4" width="7.33203125" style="36" customWidth="1"/>
    <col min="5" max="5" width="83.1640625" style="36" customWidth="1"/>
    <col min="6" max="9" width="14.33203125" style="36" customWidth="1"/>
    <col min="10" max="10" width="15.33203125" style="36" customWidth="1"/>
    <col min="11" max="11" width="32.83203125" style="58" customWidth="1"/>
    <col min="12" max="12" width="18.1640625" style="37" customWidth="1"/>
    <col min="13" max="16384" width="11.6640625" style="36"/>
  </cols>
  <sheetData>
    <row r="1" spans="1:12" ht="12" customHeight="1"/>
    <row r="2" spans="1:12" ht="15.75" customHeight="1">
      <c r="A2" s="398" t="s">
        <v>193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2" ht="15" customHeight="1" thickBot="1">
      <c r="A3" s="42"/>
      <c r="B3" s="42"/>
      <c r="C3" s="42"/>
      <c r="D3" s="42"/>
      <c r="E3" s="42"/>
      <c r="F3" s="42"/>
      <c r="G3" s="42"/>
      <c r="H3" s="42"/>
      <c r="I3" s="42"/>
      <c r="J3" s="42"/>
      <c r="K3" s="59"/>
    </row>
    <row r="4" spans="1:12" ht="19.5" customHeight="1" thickBot="1">
      <c r="A4" s="399" t="s">
        <v>6</v>
      </c>
      <c r="B4" s="400" t="s">
        <v>0</v>
      </c>
      <c r="C4" s="400" t="s">
        <v>81</v>
      </c>
      <c r="D4" s="401" t="s">
        <v>43</v>
      </c>
      <c r="E4" s="400" t="s">
        <v>44</v>
      </c>
      <c r="F4" s="400" t="s">
        <v>45</v>
      </c>
      <c r="G4" s="403" t="s">
        <v>46</v>
      </c>
      <c r="H4" s="404"/>
      <c r="I4" s="404"/>
      <c r="J4" s="404"/>
      <c r="K4" s="401" t="s">
        <v>80</v>
      </c>
      <c r="L4" s="389"/>
    </row>
    <row r="5" spans="1:12" ht="95.25" customHeight="1" thickBot="1">
      <c r="A5" s="399"/>
      <c r="B5" s="400"/>
      <c r="C5" s="400"/>
      <c r="D5" s="402"/>
      <c r="E5" s="400"/>
      <c r="F5" s="400"/>
      <c r="G5" s="284" t="s">
        <v>79</v>
      </c>
      <c r="H5" s="284" t="s">
        <v>78</v>
      </c>
      <c r="I5" s="284" t="s">
        <v>77</v>
      </c>
      <c r="J5" s="284" t="s">
        <v>76</v>
      </c>
      <c r="K5" s="402"/>
      <c r="L5" s="390"/>
    </row>
    <row r="6" spans="1:12" s="56" customFormat="1" ht="15" customHeight="1" thickBot="1">
      <c r="A6" s="57" t="s">
        <v>7</v>
      </c>
      <c r="B6" s="57" t="s">
        <v>8</v>
      </c>
      <c r="C6" s="57" t="s">
        <v>9</v>
      </c>
      <c r="D6" s="57" t="s">
        <v>10</v>
      </c>
      <c r="E6" s="53" t="s">
        <v>11</v>
      </c>
      <c r="F6" s="57" t="s">
        <v>73</v>
      </c>
      <c r="G6" s="57" t="s">
        <v>72</v>
      </c>
      <c r="H6" s="57" t="s">
        <v>71</v>
      </c>
      <c r="I6" s="57" t="s">
        <v>70</v>
      </c>
      <c r="J6" s="57" t="s">
        <v>68</v>
      </c>
      <c r="K6" s="57" t="s">
        <v>67</v>
      </c>
      <c r="L6" s="62"/>
    </row>
    <row r="7" spans="1:12" s="39" customFormat="1" ht="27.95" customHeight="1" thickBot="1">
      <c r="A7" s="391" t="s">
        <v>75</v>
      </c>
      <c r="B7" s="391"/>
      <c r="C7" s="391"/>
      <c r="D7" s="391"/>
      <c r="E7" s="391"/>
      <c r="F7" s="285">
        <f>SUM(G7:J7)</f>
        <v>1760083</v>
      </c>
      <c r="G7" s="285">
        <f>SUM(G8:G11)</f>
        <v>575083</v>
      </c>
      <c r="H7" s="286"/>
      <c r="I7" s="287"/>
      <c r="J7" s="288">
        <f>15000+50000+1120000</f>
        <v>1185000</v>
      </c>
      <c r="K7" s="289"/>
      <c r="L7" s="290"/>
    </row>
    <row r="8" spans="1:12" s="48" customFormat="1" ht="45.75" customHeight="1" thickBot="1">
      <c r="A8" s="121" t="s">
        <v>7</v>
      </c>
      <c r="B8" s="92">
        <v>600</v>
      </c>
      <c r="C8" s="92">
        <v>60014</v>
      </c>
      <c r="D8" s="92">
        <v>6050</v>
      </c>
      <c r="E8" s="93" t="s">
        <v>146</v>
      </c>
      <c r="F8" s="105">
        <f>G8+1120000</f>
        <v>1475083</v>
      </c>
      <c r="G8" s="94">
        <f>75083+280000</f>
        <v>355083</v>
      </c>
      <c r="H8" s="94"/>
      <c r="I8" s="95"/>
      <c r="J8" s="96" t="s">
        <v>130</v>
      </c>
      <c r="K8" s="97"/>
      <c r="L8" s="291" t="s">
        <v>51</v>
      </c>
    </row>
    <row r="9" spans="1:12" s="48" customFormat="1" ht="32.25" customHeight="1" thickBot="1">
      <c r="A9" s="122" t="s">
        <v>8</v>
      </c>
      <c r="B9" s="92">
        <v>600</v>
      </c>
      <c r="C9" s="92">
        <v>60014</v>
      </c>
      <c r="D9" s="92">
        <v>6050</v>
      </c>
      <c r="E9" s="98" t="s">
        <v>187</v>
      </c>
      <c r="F9" s="99">
        <f>G9+50000</f>
        <v>100000</v>
      </c>
      <c r="G9" s="94">
        <v>50000</v>
      </c>
      <c r="H9" s="94"/>
      <c r="I9" s="95"/>
      <c r="J9" s="96" t="s">
        <v>128</v>
      </c>
      <c r="K9" s="97"/>
      <c r="L9" s="291" t="s">
        <v>51</v>
      </c>
    </row>
    <row r="10" spans="1:12" s="48" customFormat="1" ht="45" customHeight="1" thickBot="1">
      <c r="A10" s="121" t="s">
        <v>9</v>
      </c>
      <c r="B10" s="92">
        <v>600</v>
      </c>
      <c r="C10" s="92">
        <v>60014</v>
      </c>
      <c r="D10" s="92">
        <v>6050</v>
      </c>
      <c r="E10" s="98" t="s">
        <v>191</v>
      </c>
      <c r="F10" s="99">
        <f>G10+15000</f>
        <v>55000</v>
      </c>
      <c r="G10" s="94">
        <v>40000</v>
      </c>
      <c r="H10" s="94"/>
      <c r="I10" s="95"/>
      <c r="J10" s="96" t="s">
        <v>129</v>
      </c>
      <c r="K10" s="97"/>
      <c r="L10" s="88"/>
    </row>
    <row r="11" spans="1:12" s="48" customFormat="1" ht="42" customHeight="1" thickBot="1">
      <c r="A11" s="122" t="s">
        <v>10</v>
      </c>
      <c r="B11" s="100">
        <v>600</v>
      </c>
      <c r="C11" s="101">
        <v>60014</v>
      </c>
      <c r="D11" s="102">
        <v>6050</v>
      </c>
      <c r="E11" s="98" t="s">
        <v>192</v>
      </c>
      <c r="F11" s="99">
        <f>G11</f>
        <v>130000</v>
      </c>
      <c r="G11" s="94">
        <v>130000</v>
      </c>
      <c r="H11" s="94"/>
      <c r="I11" s="95"/>
      <c r="J11" s="96"/>
      <c r="K11" s="97"/>
      <c r="L11" s="88"/>
    </row>
    <row r="12" spans="1:12" s="48" customFormat="1" ht="27.95" customHeight="1" thickBot="1">
      <c r="A12" s="392" t="s">
        <v>120</v>
      </c>
      <c r="B12" s="393"/>
      <c r="C12" s="393"/>
      <c r="D12" s="393"/>
      <c r="E12" s="394"/>
      <c r="F12" s="288">
        <f>SUM(G12:J12)</f>
        <v>385000</v>
      </c>
      <c r="G12" s="288">
        <f>SUM(G13:G18)</f>
        <v>385000</v>
      </c>
      <c r="H12" s="289"/>
      <c r="I12" s="289"/>
      <c r="J12" s="289"/>
      <c r="K12" s="289"/>
      <c r="L12" s="88"/>
    </row>
    <row r="13" spans="1:12" s="48" customFormat="1" ht="51.75" customHeight="1" thickBot="1">
      <c r="A13" s="65" t="s">
        <v>11</v>
      </c>
      <c r="B13" s="66">
        <v>600</v>
      </c>
      <c r="C13" s="66">
        <v>60014</v>
      </c>
      <c r="D13" s="66">
        <v>6050</v>
      </c>
      <c r="E13" s="67" t="s">
        <v>127</v>
      </c>
      <c r="F13" s="68">
        <f t="shared" ref="F13:F18" si="0">G13</f>
        <v>150000</v>
      </c>
      <c r="G13" s="69">
        <v>150000</v>
      </c>
      <c r="H13" s="69"/>
      <c r="I13" s="70"/>
      <c r="J13" s="71"/>
      <c r="K13" s="72"/>
      <c r="L13" s="88"/>
    </row>
    <row r="14" spans="1:12" s="48" customFormat="1" ht="42.75" customHeight="1" thickBot="1">
      <c r="A14" s="111" t="s">
        <v>73</v>
      </c>
      <c r="B14" s="103">
        <v>600</v>
      </c>
      <c r="C14" s="103">
        <v>60014</v>
      </c>
      <c r="D14" s="103">
        <v>6050</v>
      </c>
      <c r="E14" s="104" t="s">
        <v>154</v>
      </c>
      <c r="F14" s="105">
        <f t="shared" si="0"/>
        <v>50000</v>
      </c>
      <c r="G14" s="94">
        <v>50000</v>
      </c>
      <c r="H14" s="94"/>
      <c r="I14" s="95"/>
      <c r="J14" s="96"/>
      <c r="K14" s="97"/>
      <c r="L14" s="88"/>
    </row>
    <row r="15" spans="1:12" s="48" customFormat="1" ht="51.75" customHeight="1" thickBot="1">
      <c r="A15" s="111" t="s">
        <v>72</v>
      </c>
      <c r="B15" s="103">
        <v>600</v>
      </c>
      <c r="C15" s="103">
        <v>60014</v>
      </c>
      <c r="D15" s="103">
        <v>6050</v>
      </c>
      <c r="E15" s="104" t="s">
        <v>148</v>
      </c>
      <c r="F15" s="105">
        <f t="shared" si="0"/>
        <v>30000</v>
      </c>
      <c r="G15" s="94">
        <v>30000</v>
      </c>
      <c r="H15" s="94"/>
      <c r="I15" s="95"/>
      <c r="J15" s="96"/>
      <c r="K15" s="97"/>
      <c r="L15" s="88"/>
    </row>
    <row r="16" spans="1:12" s="48" customFormat="1" ht="25.5" customHeight="1" thickBot="1">
      <c r="A16" s="111" t="s">
        <v>71</v>
      </c>
      <c r="B16" s="103">
        <v>600</v>
      </c>
      <c r="C16" s="103">
        <v>60014</v>
      </c>
      <c r="D16" s="103">
        <v>6050</v>
      </c>
      <c r="E16" s="104" t="s">
        <v>147</v>
      </c>
      <c r="F16" s="105">
        <f t="shared" si="0"/>
        <v>25000</v>
      </c>
      <c r="G16" s="94">
        <v>25000</v>
      </c>
      <c r="H16" s="94"/>
      <c r="I16" s="95"/>
      <c r="J16" s="96"/>
      <c r="K16" s="97"/>
      <c r="L16" s="88"/>
    </row>
    <row r="17" spans="1:12" s="48" customFormat="1" ht="30" customHeight="1" thickBot="1">
      <c r="A17" s="111" t="s">
        <v>70</v>
      </c>
      <c r="B17" s="103">
        <v>600</v>
      </c>
      <c r="C17" s="103">
        <v>60014</v>
      </c>
      <c r="D17" s="103">
        <v>6050</v>
      </c>
      <c r="E17" s="104" t="s">
        <v>131</v>
      </c>
      <c r="F17" s="105">
        <f t="shared" si="0"/>
        <v>60000</v>
      </c>
      <c r="G17" s="94">
        <v>60000</v>
      </c>
      <c r="H17" s="94"/>
      <c r="I17" s="95"/>
      <c r="J17" s="96"/>
      <c r="K17" s="97"/>
      <c r="L17" s="88"/>
    </row>
    <row r="18" spans="1:12" s="48" customFormat="1" ht="27" customHeight="1" thickBot="1">
      <c r="A18" s="111" t="s">
        <v>68</v>
      </c>
      <c r="B18" s="103">
        <v>600</v>
      </c>
      <c r="C18" s="103">
        <v>60014</v>
      </c>
      <c r="D18" s="103">
        <v>6050</v>
      </c>
      <c r="E18" s="104" t="s">
        <v>132</v>
      </c>
      <c r="F18" s="105">
        <f t="shared" si="0"/>
        <v>70000</v>
      </c>
      <c r="G18" s="94">
        <v>70000</v>
      </c>
      <c r="H18" s="94"/>
      <c r="I18" s="95"/>
      <c r="J18" s="96"/>
      <c r="K18" s="97"/>
      <c r="L18" s="88"/>
    </row>
    <row r="19" spans="1:12" s="52" customFormat="1" ht="27.95" customHeight="1" thickBot="1">
      <c r="A19" s="391" t="s">
        <v>74</v>
      </c>
      <c r="B19" s="391"/>
      <c r="C19" s="391"/>
      <c r="D19" s="391"/>
      <c r="E19" s="391"/>
      <c r="F19" s="285">
        <f>SUM(G19:J19)</f>
        <v>5540602</v>
      </c>
      <c r="G19" s="285">
        <f>SUM(G20:G24)</f>
        <v>2401602</v>
      </c>
      <c r="H19" s="285">
        <f>SUM(H20:H21)</f>
        <v>1215000</v>
      </c>
      <c r="I19" s="292"/>
      <c r="J19" s="293">
        <v>1924000</v>
      </c>
      <c r="K19" s="294"/>
      <c r="L19" s="295"/>
    </row>
    <row r="20" spans="1:12" s="52" customFormat="1" ht="34.5" customHeight="1" thickBot="1">
      <c r="A20" s="65" t="s">
        <v>67</v>
      </c>
      <c r="B20" s="66">
        <v>600</v>
      </c>
      <c r="C20" s="66">
        <v>60014</v>
      </c>
      <c r="D20" s="66">
        <v>6050</v>
      </c>
      <c r="E20" s="67" t="s">
        <v>82</v>
      </c>
      <c r="F20" s="68">
        <f>G20</f>
        <v>1573252</v>
      </c>
      <c r="G20" s="69">
        <v>1573252</v>
      </c>
      <c r="H20" s="73"/>
      <c r="I20" s="74"/>
      <c r="J20" s="71"/>
      <c r="K20" s="76"/>
      <c r="L20" s="291" t="s">
        <v>51</v>
      </c>
    </row>
    <row r="21" spans="1:12" s="41" customFormat="1" ht="34.5" customHeight="1" thickBot="1">
      <c r="A21" s="65" t="s">
        <v>106</v>
      </c>
      <c r="B21" s="66">
        <v>600</v>
      </c>
      <c r="C21" s="66">
        <v>60014</v>
      </c>
      <c r="D21" s="66">
        <v>6050</v>
      </c>
      <c r="E21" s="67" t="s">
        <v>83</v>
      </c>
      <c r="F21" s="68">
        <f>H21+G21+1924000</f>
        <v>3139000</v>
      </c>
      <c r="G21" s="69"/>
      <c r="H21" s="69">
        <v>1215000</v>
      </c>
      <c r="I21" s="74"/>
      <c r="J21" s="175" t="s">
        <v>196</v>
      </c>
      <c r="K21" s="75"/>
      <c r="L21" s="87" t="s">
        <v>51</v>
      </c>
    </row>
    <row r="22" spans="1:12" s="41" customFormat="1" ht="34.5" customHeight="1" thickBot="1">
      <c r="A22" s="65" t="s">
        <v>107</v>
      </c>
      <c r="B22" s="66">
        <v>600</v>
      </c>
      <c r="C22" s="66">
        <v>60014</v>
      </c>
      <c r="D22" s="66">
        <v>6050</v>
      </c>
      <c r="E22" s="67" t="s">
        <v>188</v>
      </c>
      <c r="F22" s="68">
        <f>G22</f>
        <v>178350</v>
      </c>
      <c r="G22" s="69">
        <f>150000+28350</f>
        <v>178350</v>
      </c>
      <c r="H22" s="69"/>
      <c r="I22" s="74"/>
      <c r="J22" s="296"/>
      <c r="K22" s="75"/>
      <c r="L22" s="87"/>
    </row>
    <row r="23" spans="1:12" s="41" customFormat="1" ht="39" customHeight="1" thickBot="1">
      <c r="A23" s="65" t="s">
        <v>108</v>
      </c>
      <c r="B23" s="66">
        <v>600</v>
      </c>
      <c r="C23" s="66">
        <v>60014</v>
      </c>
      <c r="D23" s="66">
        <v>6050</v>
      </c>
      <c r="E23" s="104" t="s">
        <v>149</v>
      </c>
      <c r="F23" s="105">
        <f>G23</f>
        <v>120000</v>
      </c>
      <c r="G23" s="94">
        <v>120000</v>
      </c>
      <c r="H23" s="94"/>
      <c r="I23" s="106"/>
      <c r="J23" s="107"/>
      <c r="K23" s="108"/>
      <c r="L23" s="109"/>
    </row>
    <row r="24" spans="1:12" s="41" customFormat="1" ht="39.75" customHeight="1" thickBot="1">
      <c r="A24" s="65" t="s">
        <v>109</v>
      </c>
      <c r="B24" s="66">
        <v>600</v>
      </c>
      <c r="C24" s="66">
        <v>60014</v>
      </c>
      <c r="D24" s="66">
        <v>6050</v>
      </c>
      <c r="E24" s="104" t="s">
        <v>137</v>
      </c>
      <c r="F24" s="105">
        <f>G24</f>
        <v>530000</v>
      </c>
      <c r="G24" s="94">
        <v>530000</v>
      </c>
      <c r="H24" s="94"/>
      <c r="I24" s="106"/>
      <c r="J24" s="107"/>
      <c r="K24" s="108"/>
      <c r="L24" s="109"/>
    </row>
    <row r="25" spans="1:12" s="52" customFormat="1" ht="27.95" customHeight="1" thickBot="1">
      <c r="A25" s="391" t="s">
        <v>69</v>
      </c>
      <c r="B25" s="391"/>
      <c r="C25" s="391"/>
      <c r="D25" s="391"/>
      <c r="E25" s="391"/>
      <c r="F25" s="285">
        <f>SUM(G25:J25)</f>
        <v>5928640</v>
      </c>
      <c r="G25" s="285">
        <f>SUM(G26:G30)</f>
        <v>935000</v>
      </c>
      <c r="H25" s="285">
        <f>SUM(H26:H30)</f>
        <v>628446</v>
      </c>
      <c r="I25" s="292"/>
      <c r="J25" s="293">
        <f>3514500+850694</f>
        <v>4365194</v>
      </c>
      <c r="K25" s="294"/>
      <c r="L25" s="295"/>
    </row>
    <row r="26" spans="1:12" s="48" customFormat="1" ht="50.25" customHeight="1" thickBot="1">
      <c r="A26" s="65" t="s">
        <v>110</v>
      </c>
      <c r="B26" s="66">
        <v>600</v>
      </c>
      <c r="C26" s="66">
        <v>60014</v>
      </c>
      <c r="D26" s="66">
        <v>6050</v>
      </c>
      <c r="E26" s="297" t="s">
        <v>195</v>
      </c>
      <c r="F26" s="68">
        <f>628446+474500+G26+850694</f>
        <v>1953640</v>
      </c>
      <c r="G26" s="69"/>
      <c r="H26" s="69">
        <v>628446</v>
      </c>
      <c r="I26" s="70"/>
      <c r="J26" s="71" t="s">
        <v>197</v>
      </c>
      <c r="K26" s="75"/>
      <c r="L26" s="87" t="s">
        <v>51</v>
      </c>
    </row>
    <row r="27" spans="1:12" s="55" customFormat="1" ht="33" customHeight="1" thickBot="1">
      <c r="A27" s="65" t="s">
        <v>111</v>
      </c>
      <c r="B27" s="298">
        <v>600</v>
      </c>
      <c r="C27" s="299">
        <v>60014</v>
      </c>
      <c r="D27" s="299">
        <v>6050</v>
      </c>
      <c r="E27" s="64" t="s">
        <v>84</v>
      </c>
      <c r="F27" s="68">
        <f>G27+3040000</f>
        <v>3800000</v>
      </c>
      <c r="G27" s="69">
        <v>760000</v>
      </c>
      <c r="H27" s="69"/>
      <c r="I27" s="70"/>
      <c r="J27" s="71" t="s">
        <v>85</v>
      </c>
      <c r="K27" s="75"/>
      <c r="L27" s="291" t="s">
        <v>51</v>
      </c>
    </row>
    <row r="28" spans="1:12" s="55" customFormat="1" ht="40.5" customHeight="1" thickBot="1">
      <c r="A28" s="65" t="s">
        <v>112</v>
      </c>
      <c r="B28" s="300">
        <v>600</v>
      </c>
      <c r="C28" s="301">
        <v>60014</v>
      </c>
      <c r="D28" s="301">
        <v>6050</v>
      </c>
      <c r="E28" s="110" t="s">
        <v>152</v>
      </c>
      <c r="F28" s="105">
        <f>G28</f>
        <v>50000</v>
      </c>
      <c r="G28" s="94">
        <v>50000</v>
      </c>
      <c r="H28" s="94"/>
      <c r="I28" s="95"/>
      <c r="J28" s="96"/>
      <c r="K28" s="108"/>
      <c r="L28" s="87"/>
    </row>
    <row r="29" spans="1:12" s="55" customFormat="1" ht="30.75" customHeight="1" thickBot="1">
      <c r="A29" s="65" t="s">
        <v>113</v>
      </c>
      <c r="B29" s="300">
        <v>600</v>
      </c>
      <c r="C29" s="301">
        <v>60014</v>
      </c>
      <c r="D29" s="301">
        <v>6050</v>
      </c>
      <c r="E29" s="110" t="s">
        <v>155</v>
      </c>
      <c r="F29" s="105">
        <f>G29</f>
        <v>100000</v>
      </c>
      <c r="G29" s="94">
        <v>100000</v>
      </c>
      <c r="H29" s="94"/>
      <c r="I29" s="95"/>
      <c r="J29" s="96"/>
      <c r="K29" s="108"/>
      <c r="L29" s="87"/>
    </row>
    <row r="30" spans="1:12" s="55" customFormat="1" ht="40.5" customHeight="1" thickBot="1">
      <c r="A30" s="65" t="s">
        <v>114</v>
      </c>
      <c r="B30" s="300">
        <v>600</v>
      </c>
      <c r="C30" s="301">
        <v>60014</v>
      </c>
      <c r="D30" s="301">
        <v>6050</v>
      </c>
      <c r="E30" s="110" t="s">
        <v>133</v>
      </c>
      <c r="F30" s="105">
        <f>G30</f>
        <v>25000</v>
      </c>
      <c r="G30" s="94">
        <v>25000</v>
      </c>
      <c r="H30" s="94"/>
      <c r="I30" s="95"/>
      <c r="J30" s="96"/>
      <c r="K30" s="108"/>
      <c r="L30" s="87"/>
    </row>
    <row r="31" spans="1:12" s="54" customFormat="1" ht="27.95" customHeight="1" thickBot="1">
      <c r="A31" s="391" t="s">
        <v>66</v>
      </c>
      <c r="B31" s="391"/>
      <c r="C31" s="391"/>
      <c r="D31" s="391"/>
      <c r="E31" s="391"/>
      <c r="F31" s="285">
        <f>SUM(G31:J31)</f>
        <v>500000</v>
      </c>
      <c r="G31" s="285">
        <f>SUM(G32:G35)</f>
        <v>400000</v>
      </c>
      <c r="H31" s="302"/>
      <c r="I31" s="292"/>
      <c r="J31" s="293">
        <v>100000</v>
      </c>
      <c r="K31" s="303"/>
      <c r="L31" s="88"/>
    </row>
    <row r="32" spans="1:12" s="45" customFormat="1" ht="30" customHeight="1" thickBot="1">
      <c r="A32" s="65" t="s">
        <v>115</v>
      </c>
      <c r="B32" s="65">
        <v>600</v>
      </c>
      <c r="C32" s="65">
        <v>60014</v>
      </c>
      <c r="D32" s="65">
        <v>6050</v>
      </c>
      <c r="E32" s="77" t="s">
        <v>95</v>
      </c>
      <c r="F32" s="68">
        <f>G32+100000</f>
        <v>200000</v>
      </c>
      <c r="G32" s="69">
        <v>100000</v>
      </c>
      <c r="H32" s="69"/>
      <c r="I32" s="70"/>
      <c r="J32" s="71" t="s">
        <v>86</v>
      </c>
      <c r="K32" s="75"/>
      <c r="L32" s="90" t="s">
        <v>51</v>
      </c>
    </row>
    <row r="33" spans="1:12" s="45" customFormat="1" ht="30" customHeight="1" thickBot="1">
      <c r="A33" s="65" t="s">
        <v>116</v>
      </c>
      <c r="B33" s="65">
        <v>600</v>
      </c>
      <c r="C33" s="65">
        <v>60014</v>
      </c>
      <c r="D33" s="65">
        <v>6050</v>
      </c>
      <c r="E33" s="77" t="s">
        <v>121</v>
      </c>
      <c r="F33" s="68">
        <f>G33</f>
        <v>100000</v>
      </c>
      <c r="G33" s="69">
        <v>100000</v>
      </c>
      <c r="H33" s="69"/>
      <c r="I33" s="70"/>
      <c r="J33" s="71"/>
      <c r="K33" s="75"/>
      <c r="L33" s="90" t="s">
        <v>51</v>
      </c>
    </row>
    <row r="34" spans="1:12" s="45" customFormat="1" ht="66.75" customHeight="1" thickBot="1">
      <c r="A34" s="65" t="s">
        <v>117</v>
      </c>
      <c r="B34" s="111">
        <v>600</v>
      </c>
      <c r="C34" s="111">
        <v>60014</v>
      </c>
      <c r="D34" s="111">
        <v>6050</v>
      </c>
      <c r="E34" s="112" t="s">
        <v>153</v>
      </c>
      <c r="F34" s="105">
        <f>G34</f>
        <v>100000</v>
      </c>
      <c r="G34" s="94">
        <v>100000</v>
      </c>
      <c r="H34" s="94"/>
      <c r="I34" s="95"/>
      <c r="J34" s="96"/>
      <c r="K34" s="108"/>
      <c r="L34" s="87"/>
    </row>
    <row r="35" spans="1:12" s="45" customFormat="1" ht="30" customHeight="1" thickBot="1">
      <c r="A35" s="65" t="s">
        <v>118</v>
      </c>
      <c r="B35" s="111">
        <v>600</v>
      </c>
      <c r="C35" s="111">
        <v>60014</v>
      </c>
      <c r="D35" s="111">
        <v>6050</v>
      </c>
      <c r="E35" s="112" t="s">
        <v>134</v>
      </c>
      <c r="F35" s="105">
        <f>G35</f>
        <v>100000</v>
      </c>
      <c r="G35" s="94">
        <v>100000</v>
      </c>
      <c r="H35" s="94"/>
      <c r="I35" s="95"/>
      <c r="J35" s="96"/>
      <c r="K35" s="108"/>
      <c r="L35" s="90" t="s">
        <v>51</v>
      </c>
    </row>
    <row r="36" spans="1:12" s="45" customFormat="1" ht="27.95" customHeight="1" thickBot="1">
      <c r="A36" s="391" t="s">
        <v>122</v>
      </c>
      <c r="B36" s="391"/>
      <c r="C36" s="391"/>
      <c r="D36" s="391"/>
      <c r="E36" s="391"/>
      <c r="F36" s="293">
        <f>SUM(G36:J36)</f>
        <v>395000</v>
      </c>
      <c r="G36" s="293">
        <f>SUM(G37:G41)</f>
        <v>320000</v>
      </c>
      <c r="H36" s="303"/>
      <c r="I36" s="303"/>
      <c r="J36" s="293">
        <f>50000+25000</f>
        <v>75000</v>
      </c>
      <c r="K36" s="303"/>
      <c r="L36" s="87"/>
    </row>
    <row r="37" spans="1:12" s="45" customFormat="1" ht="30" customHeight="1" thickBot="1">
      <c r="A37" s="65" t="s">
        <v>119</v>
      </c>
      <c r="B37" s="111">
        <v>600</v>
      </c>
      <c r="C37" s="111">
        <v>60014</v>
      </c>
      <c r="D37" s="111">
        <v>6050</v>
      </c>
      <c r="E37" s="112" t="s">
        <v>123</v>
      </c>
      <c r="F37" s="105">
        <f>G37+50000</f>
        <v>200000</v>
      </c>
      <c r="G37" s="94">
        <f>100000+50000</f>
        <v>150000</v>
      </c>
      <c r="H37" s="94"/>
      <c r="I37" s="95"/>
      <c r="J37" s="96" t="s">
        <v>128</v>
      </c>
      <c r="K37" s="108"/>
      <c r="L37" s="90" t="s">
        <v>51</v>
      </c>
    </row>
    <row r="38" spans="1:12" s="45" customFormat="1" ht="36" customHeight="1" thickBot="1">
      <c r="A38" s="65" t="s">
        <v>124</v>
      </c>
      <c r="B38" s="111">
        <v>600</v>
      </c>
      <c r="C38" s="111">
        <v>60014</v>
      </c>
      <c r="D38" s="111">
        <v>6050</v>
      </c>
      <c r="E38" s="112" t="s">
        <v>150</v>
      </c>
      <c r="F38" s="105">
        <f>G38+25000</f>
        <v>50000</v>
      </c>
      <c r="G38" s="94">
        <v>25000</v>
      </c>
      <c r="H38" s="94"/>
      <c r="I38" s="95"/>
      <c r="J38" s="96" t="s">
        <v>135</v>
      </c>
      <c r="K38" s="108"/>
      <c r="L38" s="87"/>
    </row>
    <row r="39" spans="1:12" s="45" customFormat="1" ht="30" customHeight="1" thickBot="1">
      <c r="A39" s="65" t="s">
        <v>125</v>
      </c>
      <c r="B39" s="111">
        <v>600</v>
      </c>
      <c r="C39" s="111">
        <v>60014</v>
      </c>
      <c r="D39" s="111">
        <v>6050</v>
      </c>
      <c r="E39" s="112" t="s">
        <v>156</v>
      </c>
      <c r="F39" s="105">
        <f>G39</f>
        <v>20000</v>
      </c>
      <c r="G39" s="94">
        <v>20000</v>
      </c>
      <c r="H39" s="94"/>
      <c r="I39" s="95"/>
      <c r="J39" s="96"/>
      <c r="K39" s="108"/>
      <c r="L39" s="87"/>
    </row>
    <row r="40" spans="1:12" s="45" customFormat="1" ht="32.25" customHeight="1" thickBot="1">
      <c r="A40" s="65" t="s">
        <v>126</v>
      </c>
      <c r="B40" s="111">
        <v>600</v>
      </c>
      <c r="C40" s="111">
        <v>60014</v>
      </c>
      <c r="D40" s="111">
        <v>6050</v>
      </c>
      <c r="E40" s="112" t="s">
        <v>151</v>
      </c>
      <c r="F40" s="105">
        <f>G40</f>
        <v>25000</v>
      </c>
      <c r="G40" s="94">
        <v>25000</v>
      </c>
      <c r="H40" s="94"/>
      <c r="I40" s="95"/>
      <c r="J40" s="96"/>
      <c r="K40" s="108"/>
      <c r="L40" s="87"/>
    </row>
    <row r="41" spans="1:12" s="45" customFormat="1" ht="30" customHeight="1" thickBot="1">
      <c r="A41" s="65" t="s">
        <v>157</v>
      </c>
      <c r="B41" s="111">
        <v>600</v>
      </c>
      <c r="C41" s="111">
        <v>60014</v>
      </c>
      <c r="D41" s="111">
        <v>6050</v>
      </c>
      <c r="E41" s="112" t="s">
        <v>136</v>
      </c>
      <c r="F41" s="105">
        <f>G41</f>
        <v>100000</v>
      </c>
      <c r="G41" s="94">
        <v>100000</v>
      </c>
      <c r="H41" s="94"/>
      <c r="I41" s="95"/>
      <c r="J41" s="96"/>
      <c r="K41" s="108"/>
      <c r="L41" s="87"/>
    </row>
    <row r="42" spans="1:12" s="45" customFormat="1" ht="27.95" customHeight="1" thickBot="1">
      <c r="A42" s="391" t="s">
        <v>65</v>
      </c>
      <c r="B42" s="391"/>
      <c r="C42" s="391"/>
      <c r="D42" s="391"/>
      <c r="E42" s="391"/>
      <c r="F42" s="285">
        <f>SUM(G42:J42)</f>
        <v>750000</v>
      </c>
      <c r="G42" s="285">
        <f>SUM(G43:G45)</f>
        <v>250000</v>
      </c>
      <c r="H42" s="304"/>
      <c r="I42" s="292"/>
      <c r="J42" s="293">
        <f>100000+400000</f>
        <v>500000</v>
      </c>
      <c r="K42" s="305"/>
      <c r="L42" s="306"/>
    </row>
    <row r="43" spans="1:12" s="41" customFormat="1" ht="39" customHeight="1" thickBot="1">
      <c r="A43" s="65" t="s">
        <v>158</v>
      </c>
      <c r="B43" s="111">
        <v>600</v>
      </c>
      <c r="C43" s="111">
        <v>60014</v>
      </c>
      <c r="D43" s="111">
        <v>6050</v>
      </c>
      <c r="E43" s="334" t="s">
        <v>138</v>
      </c>
      <c r="F43" s="105">
        <f>G43</f>
        <v>100000</v>
      </c>
      <c r="G43" s="94">
        <v>100000</v>
      </c>
      <c r="H43" s="94"/>
      <c r="I43" s="95"/>
      <c r="J43" s="96"/>
      <c r="K43" s="108"/>
      <c r="L43" s="90" t="s">
        <v>51</v>
      </c>
    </row>
    <row r="44" spans="1:12" s="41" customFormat="1" ht="39" customHeight="1" thickBot="1">
      <c r="A44" s="65" t="s">
        <v>159</v>
      </c>
      <c r="B44" s="111">
        <v>600</v>
      </c>
      <c r="C44" s="111">
        <v>60014</v>
      </c>
      <c r="D44" s="111">
        <v>6050</v>
      </c>
      <c r="E44" s="335" t="s">
        <v>139</v>
      </c>
      <c r="F44" s="105">
        <f>G44+100000</f>
        <v>200000</v>
      </c>
      <c r="G44" s="94">
        <v>100000</v>
      </c>
      <c r="H44" s="94"/>
      <c r="I44" s="95"/>
      <c r="J44" s="96" t="s">
        <v>140</v>
      </c>
      <c r="K44" s="108"/>
      <c r="L44" s="87"/>
    </row>
    <row r="45" spans="1:12" s="41" customFormat="1" ht="51.75" customHeight="1" thickBot="1">
      <c r="A45" s="65" t="s">
        <v>160</v>
      </c>
      <c r="B45" s="111">
        <v>600</v>
      </c>
      <c r="C45" s="111">
        <v>60014</v>
      </c>
      <c r="D45" s="111">
        <v>6050</v>
      </c>
      <c r="E45" s="112" t="s">
        <v>263</v>
      </c>
      <c r="F45" s="105">
        <f>G45</f>
        <v>50000</v>
      </c>
      <c r="G45" s="94">
        <v>50000</v>
      </c>
      <c r="H45" s="94"/>
      <c r="I45" s="95"/>
      <c r="J45" s="96"/>
      <c r="K45" s="108"/>
      <c r="L45" s="87"/>
    </row>
    <row r="46" spans="1:12" s="41" customFormat="1" ht="36.75" customHeight="1" thickBot="1">
      <c r="A46" s="373" t="s">
        <v>161</v>
      </c>
      <c r="B46" s="373">
        <v>600</v>
      </c>
      <c r="C46" s="373">
        <v>60014</v>
      </c>
      <c r="D46" s="373">
        <v>6050</v>
      </c>
      <c r="E46" s="374" t="s">
        <v>358</v>
      </c>
      <c r="F46" s="265">
        <v>200000</v>
      </c>
      <c r="G46" s="375"/>
      <c r="H46" s="375"/>
      <c r="I46" s="330"/>
      <c r="J46" s="376" t="s">
        <v>360</v>
      </c>
      <c r="K46" s="260"/>
      <c r="L46" s="90" t="s">
        <v>51</v>
      </c>
    </row>
    <row r="47" spans="1:12" s="41" customFormat="1" ht="39" customHeight="1" thickBot="1">
      <c r="A47" s="373" t="s">
        <v>162</v>
      </c>
      <c r="B47" s="373">
        <v>600</v>
      </c>
      <c r="C47" s="373">
        <v>60014</v>
      </c>
      <c r="D47" s="373">
        <v>6050</v>
      </c>
      <c r="E47" s="377" t="s">
        <v>359</v>
      </c>
      <c r="F47" s="265">
        <v>200000</v>
      </c>
      <c r="G47" s="375"/>
      <c r="H47" s="375"/>
      <c r="I47" s="330"/>
      <c r="J47" s="376" t="s">
        <v>360</v>
      </c>
      <c r="K47" s="260"/>
      <c r="L47" s="90" t="s">
        <v>51</v>
      </c>
    </row>
    <row r="48" spans="1:12" s="41" customFormat="1" ht="27.95" customHeight="1" thickBot="1">
      <c r="A48" s="391" t="s">
        <v>64</v>
      </c>
      <c r="B48" s="391"/>
      <c r="C48" s="391"/>
      <c r="D48" s="391"/>
      <c r="E48" s="391"/>
      <c r="F48" s="285">
        <f>SUM(G48:J48)</f>
        <v>2317710</v>
      </c>
      <c r="G48" s="285">
        <f>SUM(G49:G55)</f>
        <v>865710</v>
      </c>
      <c r="H48" s="286"/>
      <c r="I48" s="287"/>
      <c r="J48" s="293">
        <f>1352000+60000+20000+20000</f>
        <v>1452000</v>
      </c>
      <c r="K48" s="294"/>
      <c r="L48" s="307"/>
    </row>
    <row r="49" spans="1:12" s="45" customFormat="1" ht="51" customHeight="1" thickBot="1">
      <c r="A49" s="65" t="s">
        <v>163</v>
      </c>
      <c r="B49" s="66">
        <v>600</v>
      </c>
      <c r="C49" s="66">
        <v>60014</v>
      </c>
      <c r="D49" s="66">
        <v>6050</v>
      </c>
      <c r="E49" s="77" t="s">
        <v>100</v>
      </c>
      <c r="F49" s="308">
        <f>G49+1352000</f>
        <v>1690000</v>
      </c>
      <c r="G49" s="69">
        <v>338000</v>
      </c>
      <c r="H49" s="73"/>
      <c r="I49" s="74"/>
      <c r="J49" s="71" t="s">
        <v>87</v>
      </c>
      <c r="K49" s="75"/>
      <c r="L49" s="90" t="s">
        <v>51</v>
      </c>
    </row>
    <row r="50" spans="1:12" s="41" customFormat="1" ht="40.5" customHeight="1" thickBot="1">
      <c r="A50" s="65" t="s">
        <v>164</v>
      </c>
      <c r="B50" s="66">
        <v>600</v>
      </c>
      <c r="C50" s="66">
        <v>60014</v>
      </c>
      <c r="D50" s="66">
        <v>6050</v>
      </c>
      <c r="E50" s="309" t="s">
        <v>99</v>
      </c>
      <c r="F50" s="68">
        <f>70000-10000</f>
        <v>60000</v>
      </c>
      <c r="G50" s="69"/>
      <c r="H50" s="73"/>
      <c r="I50" s="74"/>
      <c r="J50" s="71" t="s">
        <v>332</v>
      </c>
      <c r="K50" s="75"/>
      <c r="L50" s="87" t="s">
        <v>51</v>
      </c>
    </row>
    <row r="51" spans="1:12" s="41" customFormat="1" ht="50.25" customHeight="1" thickBot="1">
      <c r="A51" s="65" t="s">
        <v>165</v>
      </c>
      <c r="B51" s="66">
        <v>600</v>
      </c>
      <c r="C51" s="66">
        <v>60014</v>
      </c>
      <c r="D51" s="66">
        <v>6050</v>
      </c>
      <c r="E51" s="274" t="s">
        <v>337</v>
      </c>
      <c r="F51" s="68">
        <f>G51+20000</f>
        <v>104550</v>
      </c>
      <c r="G51" s="69">
        <f>80000+4550</f>
        <v>84550</v>
      </c>
      <c r="H51" s="73"/>
      <c r="I51" s="74"/>
      <c r="J51" s="71" t="s">
        <v>141</v>
      </c>
      <c r="K51" s="75"/>
      <c r="L51" s="87"/>
    </row>
    <row r="52" spans="1:12" s="41" customFormat="1" ht="57" customHeight="1" thickBot="1">
      <c r="A52" s="65" t="s">
        <v>166</v>
      </c>
      <c r="B52" s="66">
        <v>600</v>
      </c>
      <c r="C52" s="66">
        <v>60014</v>
      </c>
      <c r="D52" s="66">
        <v>6050</v>
      </c>
      <c r="E52" s="274" t="s">
        <v>266</v>
      </c>
      <c r="F52" s="68">
        <f>G52+20000</f>
        <v>113160</v>
      </c>
      <c r="G52" s="69">
        <f>80000+13160</f>
        <v>93160</v>
      </c>
      <c r="H52" s="73"/>
      <c r="I52" s="74"/>
      <c r="J52" s="71" t="s">
        <v>141</v>
      </c>
      <c r="K52" s="75"/>
      <c r="L52" s="87"/>
    </row>
    <row r="53" spans="1:12" s="45" customFormat="1" ht="50.25" customHeight="1" thickBot="1">
      <c r="A53" s="65" t="s">
        <v>167</v>
      </c>
      <c r="B53" s="103">
        <v>600</v>
      </c>
      <c r="C53" s="103">
        <v>60014</v>
      </c>
      <c r="D53" s="103">
        <v>6050</v>
      </c>
      <c r="E53" s="113" t="s">
        <v>142</v>
      </c>
      <c r="F53" s="105">
        <f>G53</f>
        <v>150000</v>
      </c>
      <c r="G53" s="94">
        <v>150000</v>
      </c>
      <c r="H53" s="114"/>
      <c r="I53" s="106"/>
      <c r="J53" s="96"/>
      <c r="K53" s="108"/>
      <c r="L53" s="87"/>
    </row>
    <row r="54" spans="1:12" s="45" customFormat="1" ht="29.25" customHeight="1" thickBot="1">
      <c r="A54" s="65" t="s">
        <v>169</v>
      </c>
      <c r="B54" s="103">
        <v>600</v>
      </c>
      <c r="C54" s="103">
        <v>60014</v>
      </c>
      <c r="D54" s="103">
        <v>6050</v>
      </c>
      <c r="E54" s="113" t="s">
        <v>143</v>
      </c>
      <c r="F54" s="105">
        <f>G54</f>
        <v>100000</v>
      </c>
      <c r="G54" s="94">
        <v>100000</v>
      </c>
      <c r="H54" s="114"/>
      <c r="I54" s="106"/>
      <c r="J54" s="96"/>
      <c r="K54" s="108"/>
      <c r="L54" s="90" t="s">
        <v>51</v>
      </c>
    </row>
    <row r="55" spans="1:12" s="45" customFormat="1" ht="36.75" customHeight="1" thickBot="1">
      <c r="A55" s="65" t="s">
        <v>170</v>
      </c>
      <c r="B55" s="103">
        <v>600</v>
      </c>
      <c r="C55" s="103">
        <v>60014</v>
      </c>
      <c r="D55" s="103">
        <v>6050</v>
      </c>
      <c r="E55" s="113" t="s">
        <v>144</v>
      </c>
      <c r="F55" s="105">
        <f>G55</f>
        <v>100000</v>
      </c>
      <c r="G55" s="94">
        <v>100000</v>
      </c>
      <c r="H55" s="114"/>
      <c r="I55" s="106"/>
      <c r="J55" s="96"/>
      <c r="K55" s="108"/>
      <c r="L55" s="87"/>
    </row>
    <row r="56" spans="1:12" s="55" customFormat="1" ht="27.95" customHeight="1" thickBot="1">
      <c r="A56" s="395"/>
      <c r="B56" s="396"/>
      <c r="C56" s="396"/>
      <c r="D56" s="396"/>
      <c r="E56" s="397"/>
      <c r="F56" s="285">
        <f>SUM(G56:J56)</f>
        <v>675000</v>
      </c>
      <c r="G56" s="285">
        <f>SUM(G57:G59)</f>
        <v>675000</v>
      </c>
      <c r="H56" s="286"/>
      <c r="I56" s="287"/>
      <c r="J56" s="286"/>
      <c r="K56" s="294"/>
      <c r="L56" s="314"/>
    </row>
    <row r="57" spans="1:12" s="45" customFormat="1" ht="27" customHeight="1" thickBot="1">
      <c r="A57" s="65" t="s">
        <v>171</v>
      </c>
      <c r="B57" s="315">
        <v>600</v>
      </c>
      <c r="C57" s="315">
        <v>60014</v>
      </c>
      <c r="D57" s="315">
        <v>6060</v>
      </c>
      <c r="E57" s="316" t="s">
        <v>63</v>
      </c>
      <c r="F57" s="308">
        <f>SUM(G57:H57)</f>
        <v>150000</v>
      </c>
      <c r="G57" s="308">
        <v>150000</v>
      </c>
      <c r="H57" s="317"/>
      <c r="I57" s="318"/>
      <c r="J57" s="318"/>
      <c r="K57" s="319"/>
      <c r="L57" s="91"/>
    </row>
    <row r="58" spans="1:12" s="45" customFormat="1" ht="39" customHeight="1" thickBot="1">
      <c r="A58" s="65" t="s">
        <v>172</v>
      </c>
      <c r="B58" s="103">
        <v>600</v>
      </c>
      <c r="C58" s="103">
        <v>60014</v>
      </c>
      <c r="D58" s="103">
        <v>6060</v>
      </c>
      <c r="E58" s="104" t="s">
        <v>168</v>
      </c>
      <c r="F58" s="105">
        <f>G58</f>
        <v>25000</v>
      </c>
      <c r="G58" s="105">
        <v>25000</v>
      </c>
      <c r="H58" s="115"/>
      <c r="I58" s="106"/>
      <c r="J58" s="106"/>
      <c r="K58" s="108"/>
      <c r="L58" s="173"/>
    </row>
    <row r="59" spans="1:12" s="45" customFormat="1" ht="91.5" customHeight="1" thickBot="1">
      <c r="A59" s="65" t="s">
        <v>173</v>
      </c>
      <c r="B59" s="103">
        <v>600</v>
      </c>
      <c r="C59" s="103">
        <v>60014</v>
      </c>
      <c r="D59" s="103">
        <v>6610</v>
      </c>
      <c r="E59" s="112" t="s">
        <v>190</v>
      </c>
      <c r="F59" s="105">
        <f>G59</f>
        <v>500000</v>
      </c>
      <c r="G59" s="105">
        <v>500000</v>
      </c>
      <c r="H59" s="115"/>
      <c r="I59" s="106"/>
      <c r="J59" s="106"/>
      <c r="K59" s="108"/>
      <c r="L59" s="174" t="s">
        <v>51</v>
      </c>
    </row>
    <row r="60" spans="1:12" s="52" customFormat="1" ht="35.1" customHeight="1" thickBot="1">
      <c r="A60" s="382" t="s">
        <v>62</v>
      </c>
      <c r="B60" s="382"/>
      <c r="C60" s="382"/>
      <c r="D60" s="382"/>
      <c r="E60" s="382"/>
      <c r="F60" s="78">
        <f>SUM(F7,F12,F19,F25,F31,F36,F42,F48,F56)</f>
        <v>18252035</v>
      </c>
      <c r="G60" s="78">
        <f>SUM(G7,G12,G19,G25,G31,G36,G42,G48,G56)</f>
        <v>6807395</v>
      </c>
      <c r="H60" s="78">
        <f>SUM(H7,H12,H19,H25,H31,H36,H42,H48,H56)</f>
        <v>1843446</v>
      </c>
      <c r="I60" s="78">
        <f>SUM(I7,I12,I19,I25,I31,I36,I42,I48,I56)</f>
        <v>0</v>
      </c>
      <c r="J60" s="78">
        <f>SUM(J7,J12,J19,J25,J31,J36,J42,J48,J56)</f>
        <v>9601194</v>
      </c>
      <c r="K60" s="80"/>
      <c r="L60" s="320"/>
    </row>
    <row r="61" spans="1:12" s="51" customFormat="1" ht="28.5" customHeight="1" thickBot="1">
      <c r="A61" s="66" t="s">
        <v>174</v>
      </c>
      <c r="B61" s="66">
        <v>710</v>
      </c>
      <c r="C61" s="66">
        <v>71012</v>
      </c>
      <c r="D61" s="66">
        <v>6060</v>
      </c>
      <c r="E61" s="70" t="s">
        <v>92</v>
      </c>
      <c r="F61" s="68">
        <f>G61</f>
        <v>40000</v>
      </c>
      <c r="G61" s="68">
        <v>40000</v>
      </c>
      <c r="H61" s="68"/>
      <c r="I61" s="70"/>
      <c r="J61" s="70"/>
      <c r="K61" s="72"/>
      <c r="L61" s="89"/>
    </row>
    <row r="62" spans="1:12" s="41" customFormat="1" ht="35.1" customHeight="1" thickBot="1">
      <c r="A62" s="382" t="s">
        <v>91</v>
      </c>
      <c r="B62" s="382"/>
      <c r="C62" s="382"/>
      <c r="D62" s="382"/>
      <c r="E62" s="382"/>
      <c r="F62" s="78">
        <f>SUM(F61:F61)</f>
        <v>40000</v>
      </c>
      <c r="G62" s="78">
        <f>SUM(G61:G61)</f>
        <v>40000</v>
      </c>
      <c r="H62" s="78">
        <f>H61</f>
        <v>0</v>
      </c>
      <c r="I62" s="78"/>
      <c r="J62" s="78"/>
      <c r="K62" s="80"/>
      <c r="L62" s="321"/>
    </row>
    <row r="63" spans="1:12" s="41" customFormat="1" ht="40.5" customHeight="1" thickBot="1">
      <c r="A63" s="66" t="s">
        <v>175</v>
      </c>
      <c r="B63" s="66">
        <v>710</v>
      </c>
      <c r="C63" s="66">
        <v>71095</v>
      </c>
      <c r="D63" s="66">
        <v>6639</v>
      </c>
      <c r="E63" s="77" t="s">
        <v>300</v>
      </c>
      <c r="F63" s="68">
        <f>G63</f>
        <v>22770</v>
      </c>
      <c r="G63" s="68">
        <v>22770</v>
      </c>
      <c r="H63" s="68"/>
      <c r="I63" s="68"/>
      <c r="J63" s="68"/>
      <c r="K63" s="72"/>
      <c r="L63" s="273"/>
    </row>
    <row r="64" spans="1:12" s="41" customFormat="1" ht="35.1" customHeight="1" thickBot="1">
      <c r="A64" s="383" t="s">
        <v>301</v>
      </c>
      <c r="B64" s="384"/>
      <c r="C64" s="384"/>
      <c r="D64" s="384"/>
      <c r="E64" s="385"/>
      <c r="F64" s="78">
        <f>SUM(F63)</f>
        <v>22770</v>
      </c>
      <c r="G64" s="78">
        <f>SUM(G63)</f>
        <v>22770</v>
      </c>
      <c r="H64" s="78"/>
      <c r="I64" s="78"/>
      <c r="J64" s="78"/>
      <c r="K64" s="80"/>
      <c r="L64" s="213"/>
    </row>
    <row r="65" spans="1:12" s="40" customFormat="1" ht="51" customHeight="1" thickBot="1">
      <c r="A65" s="66" t="s">
        <v>176</v>
      </c>
      <c r="B65" s="66">
        <v>750</v>
      </c>
      <c r="C65" s="66">
        <v>75020</v>
      </c>
      <c r="D65" s="66">
        <v>6050</v>
      </c>
      <c r="E65" s="77" t="s">
        <v>61</v>
      </c>
      <c r="F65" s="68">
        <f>G65</f>
        <v>500000</v>
      </c>
      <c r="G65" s="68">
        <f>772000-272000</f>
        <v>500000</v>
      </c>
      <c r="H65" s="68"/>
      <c r="I65" s="70"/>
      <c r="J65" s="70"/>
      <c r="K65" s="76"/>
      <c r="L65" s="322" t="s">
        <v>51</v>
      </c>
    </row>
    <row r="66" spans="1:12" s="40" customFormat="1" ht="46.9" customHeight="1" thickBot="1">
      <c r="A66" s="66" t="s">
        <v>177</v>
      </c>
      <c r="B66" s="103">
        <v>750</v>
      </c>
      <c r="C66" s="103">
        <v>75020</v>
      </c>
      <c r="D66" s="103">
        <v>6050</v>
      </c>
      <c r="E66" s="112" t="s">
        <v>145</v>
      </c>
      <c r="F66" s="105">
        <f>G66</f>
        <v>50000</v>
      </c>
      <c r="G66" s="105">
        <v>50000</v>
      </c>
      <c r="H66" s="105"/>
      <c r="I66" s="95"/>
      <c r="J66" s="95"/>
      <c r="K66" s="116"/>
      <c r="L66" s="117"/>
    </row>
    <row r="67" spans="1:12" s="51" customFormat="1" ht="35.25" customHeight="1" thickBot="1">
      <c r="A67" s="382" t="s">
        <v>60</v>
      </c>
      <c r="B67" s="382"/>
      <c r="C67" s="382"/>
      <c r="D67" s="382"/>
      <c r="E67" s="382"/>
      <c r="F67" s="78">
        <f>SUM(F65:F66)</f>
        <v>550000</v>
      </c>
      <c r="G67" s="78">
        <f>SUM(G65:G66)</f>
        <v>550000</v>
      </c>
      <c r="H67" s="78">
        <f>SUM(H65:H65)</f>
        <v>0</v>
      </c>
      <c r="I67" s="79"/>
      <c r="J67" s="79"/>
      <c r="K67" s="80"/>
      <c r="L67" s="323"/>
    </row>
    <row r="68" spans="1:12" s="41" customFormat="1" ht="51.75" customHeight="1" thickBot="1">
      <c r="A68" s="65" t="s">
        <v>178</v>
      </c>
      <c r="B68" s="66">
        <v>754</v>
      </c>
      <c r="C68" s="66">
        <v>75404</v>
      </c>
      <c r="D68" s="66">
        <v>6170</v>
      </c>
      <c r="E68" s="70" t="s">
        <v>88</v>
      </c>
      <c r="F68" s="68">
        <f>SUM(G68:H68)</f>
        <v>50000</v>
      </c>
      <c r="G68" s="68">
        <f>45000+5000</f>
        <v>50000</v>
      </c>
      <c r="H68" s="68"/>
      <c r="I68" s="70"/>
      <c r="J68" s="70"/>
      <c r="K68" s="72"/>
      <c r="L68" s="83"/>
    </row>
    <row r="69" spans="1:12" s="51" customFormat="1" ht="42" customHeight="1" thickBot="1">
      <c r="A69" s="65" t="s">
        <v>179</v>
      </c>
      <c r="B69" s="66">
        <v>754</v>
      </c>
      <c r="C69" s="66">
        <v>75404</v>
      </c>
      <c r="D69" s="66">
        <v>6170</v>
      </c>
      <c r="E69" s="70" t="s">
        <v>96</v>
      </c>
      <c r="F69" s="68">
        <f>SUM(G69:H69)</f>
        <v>350000</v>
      </c>
      <c r="G69" s="68">
        <v>350000</v>
      </c>
      <c r="H69" s="68"/>
      <c r="I69" s="70"/>
      <c r="J69" s="70"/>
      <c r="K69" s="72"/>
      <c r="L69" s="83"/>
    </row>
    <row r="70" spans="1:12" s="51" customFormat="1" ht="42" customHeight="1" thickBot="1">
      <c r="A70" s="111" t="s">
        <v>180</v>
      </c>
      <c r="B70" s="103">
        <v>754</v>
      </c>
      <c r="C70" s="103">
        <v>75404</v>
      </c>
      <c r="D70" s="103">
        <v>6170</v>
      </c>
      <c r="E70" s="95" t="s">
        <v>189</v>
      </c>
      <c r="F70" s="105">
        <f>SUM(G70:H70)</f>
        <v>8000</v>
      </c>
      <c r="G70" s="105">
        <v>8000</v>
      </c>
      <c r="H70" s="105"/>
      <c r="I70" s="95"/>
      <c r="J70" s="95"/>
      <c r="K70" s="97"/>
      <c r="L70" s="83"/>
    </row>
    <row r="71" spans="1:12" s="51" customFormat="1" ht="35.1" customHeight="1" thickBot="1">
      <c r="A71" s="382" t="s">
        <v>59</v>
      </c>
      <c r="B71" s="382"/>
      <c r="C71" s="382"/>
      <c r="D71" s="382"/>
      <c r="E71" s="382"/>
      <c r="F71" s="78">
        <f>SUM(F68:F70)</f>
        <v>408000</v>
      </c>
      <c r="G71" s="78">
        <f>SUM(G68:G70)</f>
        <v>408000</v>
      </c>
      <c r="H71" s="78">
        <f>SUM(H68:H69)</f>
        <v>0</v>
      </c>
      <c r="I71" s="79"/>
      <c r="J71" s="79"/>
      <c r="K71" s="80"/>
      <c r="L71" s="323"/>
    </row>
    <row r="72" spans="1:12" s="272" customFormat="1" ht="34.5" customHeight="1" thickBot="1">
      <c r="A72" s="66" t="s">
        <v>181</v>
      </c>
      <c r="B72" s="66">
        <v>758</v>
      </c>
      <c r="C72" s="66">
        <v>75818</v>
      </c>
      <c r="D72" s="66">
        <v>6800</v>
      </c>
      <c r="E72" s="77" t="s">
        <v>101</v>
      </c>
      <c r="F72" s="68">
        <f>G72</f>
        <v>343460</v>
      </c>
      <c r="G72" s="68">
        <f>250000+167290-22770-5000-28350-17710</f>
        <v>343460</v>
      </c>
      <c r="H72" s="68"/>
      <c r="I72" s="70"/>
      <c r="J72" s="70"/>
      <c r="K72" s="72"/>
      <c r="L72" s="83"/>
    </row>
    <row r="73" spans="1:12" s="41" customFormat="1" ht="35.1" customHeight="1" thickBot="1">
      <c r="A73" s="382" t="s">
        <v>58</v>
      </c>
      <c r="B73" s="382"/>
      <c r="C73" s="382"/>
      <c r="D73" s="382"/>
      <c r="E73" s="382"/>
      <c r="F73" s="78">
        <f>SUM(F72)</f>
        <v>343460</v>
      </c>
      <c r="G73" s="78">
        <f>SUM(G72)</f>
        <v>343460</v>
      </c>
      <c r="H73" s="78">
        <f>SUM(H72)</f>
        <v>0</v>
      </c>
      <c r="I73" s="79"/>
      <c r="J73" s="79"/>
      <c r="K73" s="80"/>
      <c r="L73" s="63"/>
    </row>
    <row r="74" spans="1:12" s="50" customFormat="1" ht="37.5" customHeight="1" thickBot="1">
      <c r="A74" s="65" t="s">
        <v>182</v>
      </c>
      <c r="B74" s="66">
        <v>801</v>
      </c>
      <c r="C74" s="66">
        <v>80115</v>
      </c>
      <c r="D74" s="66">
        <v>6050</v>
      </c>
      <c r="E74" s="70" t="s">
        <v>57</v>
      </c>
      <c r="F74" s="68">
        <f>SUM(G74:H74)</f>
        <v>2500000</v>
      </c>
      <c r="G74" s="68">
        <v>0</v>
      </c>
      <c r="H74" s="68">
        <v>2500000</v>
      </c>
      <c r="I74" s="70"/>
      <c r="J74" s="71"/>
      <c r="K74" s="72"/>
      <c r="L74" s="322" t="s">
        <v>51</v>
      </c>
    </row>
    <row r="75" spans="1:12" s="51" customFormat="1" ht="35.1" customHeight="1" thickBot="1">
      <c r="A75" s="382" t="s">
        <v>56</v>
      </c>
      <c r="B75" s="382"/>
      <c r="C75" s="382"/>
      <c r="D75" s="382"/>
      <c r="E75" s="382"/>
      <c r="F75" s="78">
        <f>SUM(F74:F74)</f>
        <v>2500000</v>
      </c>
      <c r="G75" s="78">
        <f>SUM(G74:G74)</f>
        <v>0</v>
      </c>
      <c r="H75" s="78">
        <f>SUM(H74:H74)</f>
        <v>2500000</v>
      </c>
      <c r="I75" s="78">
        <f>SUM(I74:I74)</f>
        <v>0</v>
      </c>
      <c r="J75" s="78"/>
      <c r="K75" s="80"/>
      <c r="L75" s="323"/>
    </row>
    <row r="76" spans="1:12" s="50" customFormat="1" ht="33" customHeight="1" thickBot="1">
      <c r="A76" s="65" t="s">
        <v>183</v>
      </c>
      <c r="B76" s="66">
        <v>801</v>
      </c>
      <c r="C76" s="66">
        <v>80120</v>
      </c>
      <c r="D76" s="66">
        <v>6050</v>
      </c>
      <c r="E76" s="70" t="s">
        <v>55</v>
      </c>
      <c r="F76" s="68">
        <f>SUM(G76:H76)</f>
        <v>1644000</v>
      </c>
      <c r="G76" s="68">
        <v>0</v>
      </c>
      <c r="H76" s="68">
        <v>1644000</v>
      </c>
      <c r="I76" s="70"/>
      <c r="J76" s="70"/>
      <c r="K76" s="72"/>
      <c r="L76" s="322" t="s">
        <v>51</v>
      </c>
    </row>
    <row r="77" spans="1:12" s="50" customFormat="1" ht="33" customHeight="1" thickBot="1">
      <c r="A77" s="65" t="s">
        <v>184</v>
      </c>
      <c r="B77" s="66">
        <v>801</v>
      </c>
      <c r="C77" s="66">
        <v>80120</v>
      </c>
      <c r="D77" s="66">
        <v>6580</v>
      </c>
      <c r="E77" s="70" t="s">
        <v>89</v>
      </c>
      <c r="F77" s="68">
        <f>SUM(G77:H77)</f>
        <v>500000</v>
      </c>
      <c r="G77" s="68">
        <v>500000</v>
      </c>
      <c r="H77" s="68"/>
      <c r="I77" s="70"/>
      <c r="J77" s="70"/>
      <c r="K77" s="72"/>
      <c r="L77" s="84"/>
    </row>
    <row r="78" spans="1:12" s="50" customFormat="1" ht="33" customHeight="1" thickBot="1">
      <c r="A78" s="65" t="s">
        <v>185</v>
      </c>
      <c r="B78" s="66">
        <v>801</v>
      </c>
      <c r="C78" s="66">
        <v>80120</v>
      </c>
      <c r="D78" s="66">
        <v>6580</v>
      </c>
      <c r="E78" s="70" t="s">
        <v>186</v>
      </c>
      <c r="F78" s="68">
        <f>SUM(G78:H78)</f>
        <v>100000</v>
      </c>
      <c r="G78" s="68">
        <v>100000</v>
      </c>
      <c r="H78" s="68"/>
      <c r="I78" s="70"/>
      <c r="J78" s="70"/>
      <c r="K78" s="72"/>
      <c r="L78" s="84"/>
    </row>
    <row r="79" spans="1:12" s="50" customFormat="1" ht="33" customHeight="1" thickBot="1">
      <c r="A79" s="65" t="s">
        <v>264</v>
      </c>
      <c r="B79" s="66">
        <v>801</v>
      </c>
      <c r="C79" s="66">
        <v>80120</v>
      </c>
      <c r="D79" s="66">
        <v>6580</v>
      </c>
      <c r="E79" s="70" t="s">
        <v>90</v>
      </c>
      <c r="F79" s="68">
        <f>SUM(G79:H79)</f>
        <v>200000</v>
      </c>
      <c r="G79" s="68">
        <v>200000</v>
      </c>
      <c r="H79" s="68"/>
      <c r="I79" s="70"/>
      <c r="J79" s="70"/>
      <c r="K79" s="72"/>
      <c r="L79" s="84"/>
    </row>
    <row r="80" spans="1:12" s="49" customFormat="1" ht="35.1" customHeight="1" thickBot="1">
      <c r="A80" s="382" t="s">
        <v>54</v>
      </c>
      <c r="B80" s="382"/>
      <c r="C80" s="382"/>
      <c r="D80" s="382"/>
      <c r="E80" s="382"/>
      <c r="F80" s="78">
        <f>SUM(F76:F79)</f>
        <v>2444000</v>
      </c>
      <c r="G80" s="78">
        <f>SUM(G76:G79)</f>
        <v>800000</v>
      </c>
      <c r="H80" s="78">
        <f>SUM(H76:H76)</f>
        <v>1644000</v>
      </c>
      <c r="I80" s="79"/>
      <c r="J80" s="79"/>
      <c r="K80" s="80"/>
      <c r="L80" s="81"/>
    </row>
    <row r="81" spans="1:13" s="50" customFormat="1" ht="41.25" customHeight="1" thickBot="1">
      <c r="A81" s="331" t="s">
        <v>265</v>
      </c>
      <c r="B81" s="310">
        <v>851</v>
      </c>
      <c r="C81" s="310">
        <v>85111</v>
      </c>
      <c r="D81" s="310">
        <v>6010</v>
      </c>
      <c r="E81" s="324" t="s">
        <v>53</v>
      </c>
      <c r="F81" s="311">
        <f>SUM(G81:H81)</f>
        <v>2326500</v>
      </c>
      <c r="G81" s="311">
        <f>1499300+827200</f>
        <v>2326500</v>
      </c>
      <c r="H81" s="332"/>
      <c r="I81" s="312"/>
      <c r="J81" s="312"/>
      <c r="K81" s="313"/>
      <c r="L81" s="257"/>
    </row>
    <row r="82" spans="1:13" s="48" customFormat="1" ht="37.5" customHeight="1" thickBot="1">
      <c r="A82" s="325" t="s">
        <v>302</v>
      </c>
      <c r="B82" s="66">
        <v>851</v>
      </c>
      <c r="C82" s="66">
        <v>85111</v>
      </c>
      <c r="D82" s="66">
        <v>6230</v>
      </c>
      <c r="E82" s="70" t="s">
        <v>333</v>
      </c>
      <c r="F82" s="68">
        <v>0</v>
      </c>
      <c r="G82" s="68">
        <v>0</v>
      </c>
      <c r="H82" s="68">
        <v>0</v>
      </c>
      <c r="I82" s="74"/>
      <c r="J82" s="74"/>
      <c r="K82" s="75"/>
      <c r="L82" s="266"/>
    </row>
    <row r="83" spans="1:13" s="50" customFormat="1" ht="42.6" customHeight="1" thickBot="1">
      <c r="A83" s="264" t="s">
        <v>338</v>
      </c>
      <c r="B83" s="258">
        <v>851</v>
      </c>
      <c r="C83" s="267">
        <v>85111</v>
      </c>
      <c r="D83" s="267">
        <v>6230</v>
      </c>
      <c r="E83" s="330" t="s">
        <v>335</v>
      </c>
      <c r="F83" s="268">
        <f>G83</f>
        <v>527000</v>
      </c>
      <c r="G83" s="265">
        <v>527000</v>
      </c>
      <c r="H83" s="265"/>
      <c r="I83" s="259"/>
      <c r="J83" s="259"/>
      <c r="K83" s="260"/>
      <c r="L83" s="257"/>
    </row>
    <row r="84" spans="1:13" s="50" customFormat="1" ht="51.75" customHeight="1" thickBot="1">
      <c r="A84" s="331" t="s">
        <v>361</v>
      </c>
      <c r="B84" s="310">
        <v>851</v>
      </c>
      <c r="C84" s="310">
        <v>85111</v>
      </c>
      <c r="D84" s="310">
        <v>6030</v>
      </c>
      <c r="E84" s="333" t="s">
        <v>334</v>
      </c>
      <c r="F84" s="311">
        <f>SUM(G84:H84)</f>
        <v>1370050</v>
      </c>
      <c r="G84" s="311">
        <f>1500000-1012554-129950</f>
        <v>357496</v>
      </c>
      <c r="H84" s="311">
        <v>1012554</v>
      </c>
      <c r="I84" s="312"/>
      <c r="J84" s="312"/>
      <c r="K84" s="313"/>
      <c r="L84" s="329"/>
    </row>
    <row r="85" spans="1:13" s="49" customFormat="1" ht="35.1" customHeight="1" thickBot="1">
      <c r="A85" s="382" t="s">
        <v>52</v>
      </c>
      <c r="B85" s="382"/>
      <c r="C85" s="382"/>
      <c r="D85" s="382"/>
      <c r="E85" s="382"/>
      <c r="F85" s="78">
        <f>SUM(F81:F84)</f>
        <v>4223550</v>
      </c>
      <c r="G85" s="78">
        <f t="shared" ref="G85:K85" si="1">SUM(G81:G84)</f>
        <v>3210996</v>
      </c>
      <c r="H85" s="78">
        <f t="shared" si="1"/>
        <v>1012554</v>
      </c>
      <c r="I85" s="78">
        <f t="shared" si="1"/>
        <v>0</v>
      </c>
      <c r="J85" s="78">
        <f t="shared" si="1"/>
        <v>0</v>
      </c>
      <c r="K85" s="78">
        <f t="shared" si="1"/>
        <v>0</v>
      </c>
      <c r="L85" s="81"/>
    </row>
    <row r="86" spans="1:13" s="47" customFormat="1" ht="42" hidden="1" customHeight="1">
      <c r="A86" s="66"/>
      <c r="B86" s="66">
        <v>851</v>
      </c>
      <c r="C86" s="66">
        <v>85149</v>
      </c>
      <c r="D86" s="66">
        <v>6230</v>
      </c>
      <c r="E86" s="77" t="s">
        <v>97</v>
      </c>
      <c r="F86" s="326">
        <f>G86</f>
        <v>0</v>
      </c>
      <c r="G86" s="326">
        <v>0</v>
      </c>
      <c r="H86" s="68"/>
      <c r="I86" s="70"/>
      <c r="J86" s="70"/>
      <c r="K86" s="72"/>
      <c r="L86" s="83"/>
    </row>
    <row r="87" spans="1:13" s="49" customFormat="1" ht="42" hidden="1" customHeight="1">
      <c r="A87" s="382" t="s">
        <v>98</v>
      </c>
      <c r="B87" s="382"/>
      <c r="C87" s="382"/>
      <c r="D87" s="382"/>
      <c r="E87" s="382"/>
      <c r="F87" s="78">
        <f>F86</f>
        <v>0</v>
      </c>
      <c r="G87" s="78">
        <f>G86</f>
        <v>0</v>
      </c>
      <c r="H87" s="78"/>
      <c r="I87" s="79"/>
      <c r="J87" s="79"/>
      <c r="K87" s="80"/>
      <c r="L87" s="81"/>
    </row>
    <row r="88" spans="1:13" s="40" customFormat="1" ht="38.25" customHeight="1" thickBot="1">
      <c r="A88" s="103" t="s">
        <v>362</v>
      </c>
      <c r="B88" s="103">
        <v>852</v>
      </c>
      <c r="C88" s="103">
        <v>85203</v>
      </c>
      <c r="D88" s="103">
        <v>6060</v>
      </c>
      <c r="E88" s="112" t="s">
        <v>94</v>
      </c>
      <c r="F88" s="105">
        <f>G88</f>
        <v>50000</v>
      </c>
      <c r="G88" s="105">
        <f>70000-20000</f>
        <v>50000</v>
      </c>
      <c r="H88" s="118"/>
      <c r="I88" s="119"/>
      <c r="J88" s="119"/>
      <c r="K88" s="120"/>
      <c r="L88" s="81"/>
    </row>
    <row r="89" spans="1:13" s="40" customFormat="1" ht="35.1" customHeight="1" thickBot="1">
      <c r="A89" s="383" t="s">
        <v>93</v>
      </c>
      <c r="B89" s="384"/>
      <c r="C89" s="384"/>
      <c r="D89" s="384"/>
      <c r="E89" s="385"/>
      <c r="F89" s="78">
        <f>SUM(F88:F88)</f>
        <v>50000</v>
      </c>
      <c r="G89" s="78">
        <f>SUM(G88:G88)</f>
        <v>50000</v>
      </c>
      <c r="H89" s="78">
        <f>SUM(H88:H88)</f>
        <v>0</v>
      </c>
      <c r="I89" s="79"/>
      <c r="J89" s="79"/>
      <c r="K89" s="80"/>
      <c r="L89" s="81"/>
    </row>
    <row r="90" spans="1:13" s="50" customFormat="1" ht="35.1" customHeight="1" thickBot="1">
      <c r="A90" s="378" t="s">
        <v>363</v>
      </c>
      <c r="B90" s="378">
        <v>854</v>
      </c>
      <c r="C90" s="378">
        <v>85403</v>
      </c>
      <c r="D90" s="378">
        <v>6060</v>
      </c>
      <c r="E90" s="374" t="s">
        <v>365</v>
      </c>
      <c r="F90" s="265">
        <f>G90</f>
        <v>4700</v>
      </c>
      <c r="G90" s="265">
        <v>4700</v>
      </c>
      <c r="H90" s="265"/>
      <c r="I90" s="330"/>
      <c r="J90" s="330"/>
      <c r="K90" s="379"/>
      <c r="L90" s="380"/>
    </row>
    <row r="91" spans="1:13" s="40" customFormat="1" ht="35.1" customHeight="1" thickBot="1">
      <c r="A91" s="383" t="s">
        <v>364</v>
      </c>
      <c r="B91" s="384"/>
      <c r="C91" s="384"/>
      <c r="D91" s="384"/>
      <c r="E91" s="385"/>
      <c r="F91" s="78">
        <f>F90</f>
        <v>4700</v>
      </c>
      <c r="G91" s="78">
        <f>G90</f>
        <v>4700</v>
      </c>
      <c r="H91" s="78"/>
      <c r="I91" s="79"/>
      <c r="J91" s="79"/>
      <c r="K91" s="80"/>
      <c r="L91" s="321"/>
    </row>
    <row r="92" spans="1:13" s="46" customFormat="1" ht="36" customHeight="1" thickBot="1">
      <c r="A92" s="386" t="s">
        <v>47</v>
      </c>
      <c r="B92" s="387"/>
      <c r="C92" s="387"/>
      <c r="D92" s="387"/>
      <c r="E92" s="388"/>
      <c r="F92" s="327">
        <f>F60+F62+F64+F67+F71+F73+F75+F80+F85+F87+F89+F91</f>
        <v>28838515</v>
      </c>
      <c r="G92" s="327">
        <f t="shared" ref="G92:J92" si="2">G60+G62+G64+G67+G71+G73+G75+G80+G85+G87+G89+G91</f>
        <v>12237321</v>
      </c>
      <c r="H92" s="327">
        <f t="shared" si="2"/>
        <v>7000000</v>
      </c>
      <c r="I92" s="327">
        <f t="shared" si="2"/>
        <v>0</v>
      </c>
      <c r="J92" s="327">
        <f t="shared" si="2"/>
        <v>9601194</v>
      </c>
      <c r="K92" s="328"/>
      <c r="L92" s="82"/>
    </row>
    <row r="93" spans="1:13" s="40" customFormat="1" ht="27" customHeight="1">
      <c r="A93" s="123" t="s">
        <v>50</v>
      </c>
      <c r="B93" s="43"/>
      <c r="C93" s="43"/>
      <c r="D93" s="43"/>
      <c r="E93" s="42"/>
      <c r="F93" s="44"/>
      <c r="G93" s="44"/>
      <c r="H93" s="44"/>
      <c r="I93" s="43"/>
      <c r="J93" s="43"/>
      <c r="K93" s="61"/>
      <c r="L93" s="60"/>
    </row>
    <row r="94" spans="1:13" s="45" customFormat="1" ht="20.25" customHeight="1">
      <c r="A94" s="123" t="s">
        <v>49</v>
      </c>
      <c r="B94" s="43"/>
      <c r="C94" s="43"/>
      <c r="D94" s="43"/>
      <c r="E94" s="42"/>
      <c r="F94" s="43"/>
      <c r="G94" s="43"/>
      <c r="H94" s="43"/>
      <c r="I94" s="43"/>
      <c r="J94" s="43"/>
      <c r="K94" s="61"/>
      <c r="L94" s="60"/>
    </row>
    <row r="95" spans="1:13" s="40" customFormat="1" ht="21" customHeight="1">
      <c r="A95" s="123" t="s">
        <v>48</v>
      </c>
      <c r="B95" s="43"/>
      <c r="C95" s="43"/>
      <c r="D95" s="43"/>
      <c r="E95" s="42"/>
      <c r="F95" s="44"/>
      <c r="G95" s="44"/>
      <c r="H95" s="43"/>
      <c r="I95" s="43"/>
      <c r="J95" s="43"/>
      <c r="K95" s="61"/>
      <c r="L95" s="60"/>
    </row>
    <row r="96" spans="1:13" s="40" customFormat="1" ht="27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59"/>
      <c r="L96" s="37"/>
      <c r="M96" s="36"/>
    </row>
    <row r="97" spans="1:13" s="41" customFormat="1" ht="28.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59"/>
      <c r="L97" s="37"/>
      <c r="M97" s="36"/>
    </row>
    <row r="98" spans="1:13" s="40" customFormat="1" ht="30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58"/>
      <c r="L98" s="37"/>
      <c r="M98" s="36"/>
    </row>
    <row r="99" spans="1:13" s="39" customFormat="1" ht="27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58"/>
      <c r="L99" s="37"/>
      <c r="M99" s="36"/>
    </row>
    <row r="101" spans="1:13" s="38" customFormat="1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58"/>
      <c r="L101" s="37"/>
      <c r="M101" s="36"/>
    </row>
    <row r="102" spans="1:13" s="38" customFormat="1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58"/>
      <c r="L102" s="37"/>
      <c r="M102" s="36"/>
    </row>
    <row r="103" spans="1:13" s="38" customFormat="1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58"/>
      <c r="L103" s="37"/>
      <c r="M103" s="36"/>
    </row>
  </sheetData>
  <mergeCells count="32"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A62:E62"/>
    <mergeCell ref="L4:L5"/>
    <mergeCell ref="A7:E7"/>
    <mergeCell ref="A12:E12"/>
    <mergeCell ref="A19:E19"/>
    <mergeCell ref="A25:E25"/>
    <mergeCell ref="A31:E31"/>
    <mergeCell ref="A36:E36"/>
    <mergeCell ref="A42:E42"/>
    <mergeCell ref="A48:E48"/>
    <mergeCell ref="A56:E56"/>
    <mergeCell ref="A60:E60"/>
    <mergeCell ref="A85:E85"/>
    <mergeCell ref="A87:E87"/>
    <mergeCell ref="A89:E89"/>
    <mergeCell ref="A92:E92"/>
    <mergeCell ref="A64:E64"/>
    <mergeCell ref="A67:E67"/>
    <mergeCell ref="A71:E71"/>
    <mergeCell ref="A73:E73"/>
    <mergeCell ref="A75:E75"/>
    <mergeCell ref="A80:E80"/>
    <mergeCell ref="A91:E91"/>
  </mergeCells>
  <pageMargins left="0.70866141732283472" right="0.51181102362204722" top="1.1023622047244095" bottom="0.47244094488188981" header="0.51181102362204722" footer="0.31496062992125984"/>
  <pageSetup paperSize="9" scale="75" fitToHeight="0" orientation="landscape" horizontalDpi="4294967294" verticalDpi="0" r:id="rId1"/>
  <headerFooter differentOddEven="1" differentFirst="1" alignWithMargins="0">
    <oddFooter>&amp;C&amp;P</oddFooter>
    <evenFooter>&amp;C&amp;P</evenFooter>
    <firstHeader>&amp;R&amp;9Tabela Nr 2a
do uchwały Nr ................
Rady Powiatu w Otwocku
z dnia ...............................</firstHeader>
    <firstFooter>&amp;C&amp;P</firstFooter>
  </headerFooter>
  <rowBreaks count="4" manualBreakCount="4">
    <brk id="55" max="10" man="1"/>
    <brk id="71" max="10" man="1"/>
    <brk id="88" max="10" man="1"/>
    <brk id="9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D28"/>
  <sheetViews>
    <sheetView showGridLines="0" workbookViewId="0">
      <selection activeCell="I18" sqref="I18"/>
    </sheetView>
  </sheetViews>
  <sheetFormatPr defaultColWidth="9.33203125" defaultRowHeight="12.75"/>
  <cols>
    <col min="1" max="1" width="5.83203125" style="2" customWidth="1"/>
    <col min="2" max="2" width="62.83203125" style="2" customWidth="1"/>
    <col min="3" max="3" width="15.33203125" style="2" customWidth="1"/>
    <col min="4" max="4" width="18" style="2" customWidth="1"/>
    <col min="5" max="16384" width="9.33203125" style="2"/>
  </cols>
  <sheetData>
    <row r="3" spans="1:4" s="1" customFormat="1" ht="15" customHeight="1">
      <c r="A3" s="405" t="s">
        <v>194</v>
      </c>
      <c r="B3" s="405"/>
      <c r="C3" s="405"/>
      <c r="D3" s="405"/>
    </row>
    <row r="4" spans="1:4">
      <c r="D4" s="3"/>
    </row>
    <row r="5" spans="1:4" ht="54" customHeight="1">
      <c r="A5" s="4" t="s">
        <v>6</v>
      </c>
      <c r="B5" s="4" t="s">
        <v>12</v>
      </c>
      <c r="C5" s="5" t="s">
        <v>13</v>
      </c>
      <c r="D5" s="5" t="s">
        <v>14</v>
      </c>
    </row>
    <row r="6" spans="1:4" s="30" customFormat="1" ht="16.5" customHeight="1">
      <c r="A6" s="32">
        <v>1</v>
      </c>
      <c r="B6" s="32">
        <v>2</v>
      </c>
      <c r="C6" s="32">
        <v>3</v>
      </c>
      <c r="D6" s="33">
        <v>4</v>
      </c>
    </row>
    <row r="7" spans="1:4" s="9" customFormat="1" ht="24.75" customHeight="1">
      <c r="A7" s="6" t="s">
        <v>7</v>
      </c>
      <c r="B7" s="7" t="s">
        <v>15</v>
      </c>
      <c r="C7" s="6"/>
      <c r="D7" s="8">
        <f>SUM(D8:D9)</f>
        <v>158491017</v>
      </c>
    </row>
    <row r="8" spans="1:4" s="13" customFormat="1" ht="24.75" customHeight="1">
      <c r="A8" s="10"/>
      <c r="B8" s="11" t="s">
        <v>16</v>
      </c>
      <c r="C8" s="10"/>
      <c r="D8" s="12">
        <v>145593596</v>
      </c>
    </row>
    <row r="9" spans="1:4" s="13" customFormat="1" ht="24.75" customHeight="1">
      <c r="A9" s="10"/>
      <c r="B9" s="11" t="s">
        <v>17</v>
      </c>
      <c r="C9" s="10"/>
      <c r="D9" s="14">
        <v>12897421</v>
      </c>
    </row>
    <row r="10" spans="1:4" s="9" customFormat="1" ht="24.75" customHeight="1">
      <c r="A10" s="6" t="s">
        <v>8</v>
      </c>
      <c r="B10" s="7" t="s">
        <v>18</v>
      </c>
      <c r="C10" s="6"/>
      <c r="D10" s="15">
        <f>SUM(D11,D12)</f>
        <v>171194733</v>
      </c>
    </row>
    <row r="11" spans="1:4" s="13" customFormat="1" ht="24.75" customHeight="1">
      <c r="A11" s="10"/>
      <c r="B11" s="11" t="s">
        <v>36</v>
      </c>
      <c r="C11" s="10"/>
      <c r="D11" s="16">
        <v>142356218</v>
      </c>
    </row>
    <row r="12" spans="1:4" s="13" customFormat="1" ht="24.75" customHeight="1">
      <c r="A12" s="10"/>
      <c r="B12" s="11" t="s">
        <v>19</v>
      </c>
      <c r="C12" s="10"/>
      <c r="D12" s="17">
        <v>28838515</v>
      </c>
    </row>
    <row r="13" spans="1:4" s="9" customFormat="1" ht="24.75" customHeight="1">
      <c r="A13" s="6" t="s">
        <v>9</v>
      </c>
      <c r="B13" s="7" t="s">
        <v>20</v>
      </c>
      <c r="C13" s="18"/>
      <c r="D13" s="8">
        <f>D7-D10</f>
        <v>-12703716</v>
      </c>
    </row>
    <row r="14" spans="1:4" ht="24.75" customHeight="1">
      <c r="A14" s="406" t="s">
        <v>21</v>
      </c>
      <c r="B14" s="407"/>
      <c r="C14" s="19"/>
      <c r="D14" s="20">
        <f>SUM(D15:D20)</f>
        <v>17958328</v>
      </c>
    </row>
    <row r="15" spans="1:4" ht="81.75" customHeight="1">
      <c r="A15" s="255" t="s">
        <v>7</v>
      </c>
      <c r="B15" s="86" t="s">
        <v>104</v>
      </c>
      <c r="C15" s="21" t="s">
        <v>103</v>
      </c>
      <c r="D15" s="269">
        <v>2774694</v>
      </c>
    </row>
    <row r="16" spans="1:4" ht="72" customHeight="1">
      <c r="A16" s="255" t="s">
        <v>8</v>
      </c>
      <c r="B16" s="85" t="s">
        <v>105</v>
      </c>
      <c r="C16" s="21" t="s">
        <v>102</v>
      </c>
      <c r="D16" s="269">
        <f>944317+104925+137951+316903</f>
        <v>1504096</v>
      </c>
    </row>
    <row r="17" spans="1:4" ht="31.5" customHeight="1">
      <c r="A17" s="255" t="s">
        <v>9</v>
      </c>
      <c r="B17" s="24" t="s">
        <v>33</v>
      </c>
      <c r="C17" s="21" t="s">
        <v>23</v>
      </c>
      <c r="D17" s="15">
        <f>5365288+1224250+90000</f>
        <v>6679538</v>
      </c>
    </row>
    <row r="18" spans="1:4" ht="32.25" customHeight="1">
      <c r="A18" s="255" t="s">
        <v>10</v>
      </c>
      <c r="B18" s="34" t="s">
        <v>39</v>
      </c>
      <c r="C18" s="21" t="s">
        <v>40</v>
      </c>
      <c r="D18" s="23">
        <v>0</v>
      </c>
    </row>
    <row r="19" spans="1:4" ht="24.75" customHeight="1">
      <c r="A19" s="256" t="s">
        <v>11</v>
      </c>
      <c r="B19" s="22" t="s">
        <v>31</v>
      </c>
      <c r="C19" s="21" t="s">
        <v>22</v>
      </c>
      <c r="D19" s="15">
        <v>7000000</v>
      </c>
    </row>
    <row r="20" spans="1:4" ht="27" customHeight="1">
      <c r="A20" s="256" t="s">
        <v>73</v>
      </c>
      <c r="B20" s="24" t="s">
        <v>32</v>
      </c>
      <c r="C20" s="21" t="s">
        <v>22</v>
      </c>
      <c r="D20" s="25">
        <v>0</v>
      </c>
    </row>
    <row r="21" spans="1:4" ht="24.75" customHeight="1">
      <c r="A21" s="406" t="s">
        <v>24</v>
      </c>
      <c r="B21" s="407"/>
      <c r="C21" s="26"/>
      <c r="D21" s="20">
        <f>SUM(D22:D24)</f>
        <v>5254612</v>
      </c>
    </row>
    <row r="22" spans="1:4" s="35" customFormat="1" ht="24.75" customHeight="1">
      <c r="A22" s="6" t="s">
        <v>7</v>
      </c>
      <c r="B22" s="24" t="s">
        <v>42</v>
      </c>
      <c r="C22" s="21" t="s">
        <v>41</v>
      </c>
      <c r="D22" s="23">
        <v>0</v>
      </c>
    </row>
    <row r="23" spans="1:4" ht="24.75" customHeight="1">
      <c r="A23" s="6" t="s">
        <v>8</v>
      </c>
      <c r="B23" s="24" t="s">
        <v>34</v>
      </c>
      <c r="C23" s="21" t="s">
        <v>25</v>
      </c>
      <c r="D23" s="15">
        <v>5254612</v>
      </c>
    </row>
    <row r="24" spans="1:4" ht="24.75" customHeight="1">
      <c r="A24" s="6" t="s">
        <v>9</v>
      </c>
      <c r="B24" s="24" t="s">
        <v>35</v>
      </c>
      <c r="C24" s="21" t="s">
        <v>25</v>
      </c>
      <c r="D24" s="23">
        <v>0</v>
      </c>
    </row>
    <row r="25" spans="1:4" ht="21.75" customHeight="1">
      <c r="A25" s="27"/>
      <c r="B25" s="28"/>
      <c r="C25" s="27"/>
      <c r="D25" s="29"/>
    </row>
    <row r="26" spans="1:4" ht="24.75" customHeight="1"/>
    <row r="27" spans="1:4" ht="24.75" customHeight="1"/>
    <row r="28" spans="1:4" ht="24.75" customHeight="1"/>
  </sheetData>
  <sheetProtection formatColumns="0" formatRows="0"/>
  <mergeCells count="3">
    <mergeCell ref="A3:D3"/>
    <mergeCell ref="A14:B14"/>
    <mergeCell ref="A21:B21"/>
  </mergeCells>
  <printOptions horizontalCentered="1"/>
  <pageMargins left="0.27559055118110237" right="0.43307086614173229" top="1.6535433070866143" bottom="0.59055118110236227" header="0.86614173228346458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01"/>
  <sheetViews>
    <sheetView zoomScaleNormal="100" workbookViewId="0">
      <pane ySplit="5" topLeftCell="A39" activePane="bottomLeft" state="frozen"/>
      <selection activeCell="A22" sqref="A22:XFD25"/>
      <selection pane="bottomLeft" activeCell="E55" sqref="E55"/>
    </sheetView>
  </sheetViews>
  <sheetFormatPr defaultRowHeight="12"/>
  <cols>
    <col min="1" max="1" width="3.83203125" style="211" customWidth="1"/>
    <col min="2" max="2" width="45.1640625" style="176" customWidth="1"/>
    <col min="3" max="3" width="15" style="177" customWidth="1"/>
    <col min="4" max="4" width="13.6640625" style="176" customWidth="1"/>
    <col min="5" max="5" width="13" style="176" customWidth="1"/>
    <col min="6" max="6" width="11.1640625" style="176" customWidth="1"/>
    <col min="7" max="7" width="12.5" style="176" customWidth="1"/>
    <col min="8" max="8" width="11.6640625" style="176" customWidth="1"/>
    <col min="9" max="9" width="13.6640625" style="176" customWidth="1"/>
    <col min="10" max="12" width="9.33203125" style="176"/>
    <col min="13" max="13" width="11.5" style="176" bestFit="1" customWidth="1"/>
    <col min="14" max="243" width="9.33203125" style="176"/>
    <col min="244" max="244" width="4.83203125" style="176" customWidth="1"/>
    <col min="245" max="245" width="27.33203125" style="176" customWidth="1"/>
    <col min="246" max="247" width="15.5" style="176" customWidth="1"/>
    <col min="248" max="248" width="13.6640625" style="176" customWidth="1"/>
    <col min="249" max="249" width="12.33203125" style="176" customWidth="1"/>
    <col min="250" max="250" width="13" style="176" bestFit="1" customWidth="1"/>
    <col min="251" max="251" width="11.33203125" style="176" customWidth="1"/>
    <col min="252" max="252" width="12.33203125" style="176" customWidth="1"/>
    <col min="253" max="253" width="10.33203125" style="176" customWidth="1"/>
    <col min="254" max="254" width="10.1640625" style="176" customWidth="1"/>
    <col min="255" max="255" width="13" style="176" customWidth="1"/>
    <col min="256" max="256" width="12.5" style="176" customWidth="1"/>
    <col min="257" max="257" width="11.6640625" style="176" customWidth="1"/>
    <col min="258" max="258" width="11.33203125" style="176" customWidth="1"/>
    <col min="259" max="259" width="10.33203125" style="176" customWidth="1"/>
    <col min="260" max="260" width="12" style="176" customWidth="1"/>
    <col min="261" max="499" width="9.33203125" style="176"/>
    <col min="500" max="500" width="4.83203125" style="176" customWidth="1"/>
    <col min="501" max="501" width="27.33203125" style="176" customWidth="1"/>
    <col min="502" max="503" width="15.5" style="176" customWidth="1"/>
    <col min="504" max="504" width="13.6640625" style="176" customWidth="1"/>
    <col min="505" max="505" width="12.33203125" style="176" customWidth="1"/>
    <col min="506" max="506" width="13" style="176" bestFit="1" customWidth="1"/>
    <col min="507" max="507" width="11.33203125" style="176" customWidth="1"/>
    <col min="508" max="508" width="12.33203125" style="176" customWidth="1"/>
    <col min="509" max="509" width="10.33203125" style="176" customWidth="1"/>
    <col min="510" max="510" width="10.1640625" style="176" customWidth="1"/>
    <col min="511" max="511" width="13" style="176" customWidth="1"/>
    <col min="512" max="512" width="12.5" style="176" customWidth="1"/>
    <col min="513" max="513" width="11.6640625" style="176" customWidth="1"/>
    <col min="514" max="514" width="11.33203125" style="176" customWidth="1"/>
    <col min="515" max="515" width="10.33203125" style="176" customWidth="1"/>
    <col min="516" max="516" width="12" style="176" customWidth="1"/>
    <col min="517" max="755" width="9.33203125" style="176"/>
    <col min="756" max="756" width="4.83203125" style="176" customWidth="1"/>
    <col min="757" max="757" width="27.33203125" style="176" customWidth="1"/>
    <col min="758" max="759" width="15.5" style="176" customWidth="1"/>
    <col min="760" max="760" width="13.6640625" style="176" customWidth="1"/>
    <col min="761" max="761" width="12.33203125" style="176" customWidth="1"/>
    <col min="762" max="762" width="13" style="176" bestFit="1" customWidth="1"/>
    <col min="763" max="763" width="11.33203125" style="176" customWidth="1"/>
    <col min="764" max="764" width="12.33203125" style="176" customWidth="1"/>
    <col min="765" max="765" width="10.33203125" style="176" customWidth="1"/>
    <col min="766" max="766" width="10.1640625" style="176" customWidth="1"/>
    <col min="767" max="767" width="13" style="176" customWidth="1"/>
    <col min="768" max="768" width="12.5" style="176" customWidth="1"/>
    <col min="769" max="769" width="11.6640625" style="176" customWidth="1"/>
    <col min="770" max="770" width="11.33203125" style="176" customWidth="1"/>
    <col min="771" max="771" width="10.33203125" style="176" customWidth="1"/>
    <col min="772" max="772" width="12" style="176" customWidth="1"/>
    <col min="773" max="1011" width="9.33203125" style="176"/>
    <col min="1012" max="1012" width="4.83203125" style="176" customWidth="1"/>
    <col min="1013" max="1013" width="27.33203125" style="176" customWidth="1"/>
    <col min="1014" max="1015" width="15.5" style="176" customWidth="1"/>
    <col min="1016" max="1016" width="13.6640625" style="176" customWidth="1"/>
    <col min="1017" max="1017" width="12.33203125" style="176" customWidth="1"/>
    <col min="1018" max="1018" width="13" style="176" bestFit="1" customWidth="1"/>
    <col min="1019" max="1019" width="11.33203125" style="176" customWidth="1"/>
    <col min="1020" max="1020" width="12.33203125" style="176" customWidth="1"/>
    <col min="1021" max="1021" width="10.33203125" style="176" customWidth="1"/>
    <col min="1022" max="1022" width="10.1640625" style="176" customWidth="1"/>
    <col min="1023" max="1023" width="13" style="176" customWidth="1"/>
    <col min="1024" max="1024" width="12.5" style="176" customWidth="1"/>
    <col min="1025" max="1025" width="11.6640625" style="176" customWidth="1"/>
    <col min="1026" max="1026" width="11.33203125" style="176" customWidth="1"/>
    <col min="1027" max="1027" width="10.33203125" style="176" customWidth="1"/>
    <col min="1028" max="1028" width="12" style="176" customWidth="1"/>
    <col min="1029" max="1267" width="9.33203125" style="176"/>
    <col min="1268" max="1268" width="4.83203125" style="176" customWidth="1"/>
    <col min="1269" max="1269" width="27.33203125" style="176" customWidth="1"/>
    <col min="1270" max="1271" width="15.5" style="176" customWidth="1"/>
    <col min="1272" max="1272" width="13.6640625" style="176" customWidth="1"/>
    <col min="1273" max="1273" width="12.33203125" style="176" customWidth="1"/>
    <col min="1274" max="1274" width="13" style="176" bestFit="1" customWidth="1"/>
    <col min="1275" max="1275" width="11.33203125" style="176" customWidth="1"/>
    <col min="1276" max="1276" width="12.33203125" style="176" customWidth="1"/>
    <col min="1277" max="1277" width="10.33203125" style="176" customWidth="1"/>
    <col min="1278" max="1278" width="10.1640625" style="176" customWidth="1"/>
    <col min="1279" max="1279" width="13" style="176" customWidth="1"/>
    <col min="1280" max="1280" width="12.5" style="176" customWidth="1"/>
    <col min="1281" max="1281" width="11.6640625" style="176" customWidth="1"/>
    <col min="1282" max="1282" width="11.33203125" style="176" customWidth="1"/>
    <col min="1283" max="1283" width="10.33203125" style="176" customWidth="1"/>
    <col min="1284" max="1284" width="12" style="176" customWidth="1"/>
    <col min="1285" max="1523" width="9.33203125" style="176"/>
    <col min="1524" max="1524" width="4.83203125" style="176" customWidth="1"/>
    <col min="1525" max="1525" width="27.33203125" style="176" customWidth="1"/>
    <col min="1526" max="1527" width="15.5" style="176" customWidth="1"/>
    <col min="1528" max="1528" width="13.6640625" style="176" customWidth="1"/>
    <col min="1529" max="1529" width="12.33203125" style="176" customWidth="1"/>
    <col min="1530" max="1530" width="13" style="176" bestFit="1" customWidth="1"/>
    <col min="1531" max="1531" width="11.33203125" style="176" customWidth="1"/>
    <col min="1532" max="1532" width="12.33203125" style="176" customWidth="1"/>
    <col min="1533" max="1533" width="10.33203125" style="176" customWidth="1"/>
    <col min="1534" max="1534" width="10.1640625" style="176" customWidth="1"/>
    <col min="1535" max="1535" width="13" style="176" customWidth="1"/>
    <col min="1536" max="1536" width="12.5" style="176" customWidth="1"/>
    <col min="1537" max="1537" width="11.6640625" style="176" customWidth="1"/>
    <col min="1538" max="1538" width="11.33203125" style="176" customWidth="1"/>
    <col min="1539" max="1539" width="10.33203125" style="176" customWidth="1"/>
    <col min="1540" max="1540" width="12" style="176" customWidth="1"/>
    <col min="1541" max="1779" width="9.33203125" style="176"/>
    <col min="1780" max="1780" width="4.83203125" style="176" customWidth="1"/>
    <col min="1781" max="1781" width="27.33203125" style="176" customWidth="1"/>
    <col min="1782" max="1783" width="15.5" style="176" customWidth="1"/>
    <col min="1784" max="1784" width="13.6640625" style="176" customWidth="1"/>
    <col min="1785" max="1785" width="12.33203125" style="176" customWidth="1"/>
    <col min="1786" max="1786" width="13" style="176" bestFit="1" customWidth="1"/>
    <col min="1787" max="1787" width="11.33203125" style="176" customWidth="1"/>
    <col min="1788" max="1788" width="12.33203125" style="176" customWidth="1"/>
    <col min="1789" max="1789" width="10.33203125" style="176" customWidth="1"/>
    <col min="1790" max="1790" width="10.1640625" style="176" customWidth="1"/>
    <col min="1791" max="1791" width="13" style="176" customWidth="1"/>
    <col min="1792" max="1792" width="12.5" style="176" customWidth="1"/>
    <col min="1793" max="1793" width="11.6640625" style="176" customWidth="1"/>
    <col min="1794" max="1794" width="11.33203125" style="176" customWidth="1"/>
    <col min="1795" max="1795" width="10.33203125" style="176" customWidth="1"/>
    <col min="1796" max="1796" width="12" style="176" customWidth="1"/>
    <col min="1797" max="2035" width="9.33203125" style="176"/>
    <col min="2036" max="2036" width="4.83203125" style="176" customWidth="1"/>
    <col min="2037" max="2037" width="27.33203125" style="176" customWidth="1"/>
    <col min="2038" max="2039" width="15.5" style="176" customWidth="1"/>
    <col min="2040" max="2040" width="13.6640625" style="176" customWidth="1"/>
    <col min="2041" max="2041" width="12.33203125" style="176" customWidth="1"/>
    <col min="2042" max="2042" width="13" style="176" bestFit="1" customWidth="1"/>
    <col min="2043" max="2043" width="11.33203125" style="176" customWidth="1"/>
    <col min="2044" max="2044" width="12.33203125" style="176" customWidth="1"/>
    <col min="2045" max="2045" width="10.33203125" style="176" customWidth="1"/>
    <col min="2046" max="2046" width="10.1640625" style="176" customWidth="1"/>
    <col min="2047" max="2047" width="13" style="176" customWidth="1"/>
    <col min="2048" max="2048" width="12.5" style="176" customWidth="1"/>
    <col min="2049" max="2049" width="11.6640625" style="176" customWidth="1"/>
    <col min="2050" max="2050" width="11.33203125" style="176" customWidth="1"/>
    <col min="2051" max="2051" width="10.33203125" style="176" customWidth="1"/>
    <col min="2052" max="2052" width="12" style="176" customWidth="1"/>
    <col min="2053" max="2291" width="9.33203125" style="176"/>
    <col min="2292" max="2292" width="4.83203125" style="176" customWidth="1"/>
    <col min="2293" max="2293" width="27.33203125" style="176" customWidth="1"/>
    <col min="2294" max="2295" width="15.5" style="176" customWidth="1"/>
    <col min="2296" max="2296" width="13.6640625" style="176" customWidth="1"/>
    <col min="2297" max="2297" width="12.33203125" style="176" customWidth="1"/>
    <col min="2298" max="2298" width="13" style="176" bestFit="1" customWidth="1"/>
    <col min="2299" max="2299" width="11.33203125" style="176" customWidth="1"/>
    <col min="2300" max="2300" width="12.33203125" style="176" customWidth="1"/>
    <col min="2301" max="2301" width="10.33203125" style="176" customWidth="1"/>
    <col min="2302" max="2302" width="10.1640625" style="176" customWidth="1"/>
    <col min="2303" max="2303" width="13" style="176" customWidth="1"/>
    <col min="2304" max="2304" width="12.5" style="176" customWidth="1"/>
    <col min="2305" max="2305" width="11.6640625" style="176" customWidth="1"/>
    <col min="2306" max="2306" width="11.33203125" style="176" customWidth="1"/>
    <col min="2307" max="2307" width="10.33203125" style="176" customWidth="1"/>
    <col min="2308" max="2308" width="12" style="176" customWidth="1"/>
    <col min="2309" max="2547" width="9.33203125" style="176"/>
    <col min="2548" max="2548" width="4.83203125" style="176" customWidth="1"/>
    <col min="2549" max="2549" width="27.33203125" style="176" customWidth="1"/>
    <col min="2550" max="2551" width="15.5" style="176" customWidth="1"/>
    <col min="2552" max="2552" width="13.6640625" style="176" customWidth="1"/>
    <col min="2553" max="2553" width="12.33203125" style="176" customWidth="1"/>
    <col min="2554" max="2554" width="13" style="176" bestFit="1" customWidth="1"/>
    <col min="2555" max="2555" width="11.33203125" style="176" customWidth="1"/>
    <col min="2556" max="2556" width="12.33203125" style="176" customWidth="1"/>
    <col min="2557" max="2557" width="10.33203125" style="176" customWidth="1"/>
    <col min="2558" max="2558" width="10.1640625" style="176" customWidth="1"/>
    <col min="2559" max="2559" width="13" style="176" customWidth="1"/>
    <col min="2560" max="2560" width="12.5" style="176" customWidth="1"/>
    <col min="2561" max="2561" width="11.6640625" style="176" customWidth="1"/>
    <col min="2562" max="2562" width="11.33203125" style="176" customWidth="1"/>
    <col min="2563" max="2563" width="10.33203125" style="176" customWidth="1"/>
    <col min="2564" max="2564" width="12" style="176" customWidth="1"/>
    <col min="2565" max="2803" width="9.33203125" style="176"/>
    <col min="2804" max="2804" width="4.83203125" style="176" customWidth="1"/>
    <col min="2805" max="2805" width="27.33203125" style="176" customWidth="1"/>
    <col min="2806" max="2807" width="15.5" style="176" customWidth="1"/>
    <col min="2808" max="2808" width="13.6640625" style="176" customWidth="1"/>
    <col min="2809" max="2809" width="12.33203125" style="176" customWidth="1"/>
    <col min="2810" max="2810" width="13" style="176" bestFit="1" customWidth="1"/>
    <col min="2811" max="2811" width="11.33203125" style="176" customWidth="1"/>
    <col min="2812" max="2812" width="12.33203125" style="176" customWidth="1"/>
    <col min="2813" max="2813" width="10.33203125" style="176" customWidth="1"/>
    <col min="2814" max="2814" width="10.1640625" style="176" customWidth="1"/>
    <col min="2815" max="2815" width="13" style="176" customWidth="1"/>
    <col min="2816" max="2816" width="12.5" style="176" customWidth="1"/>
    <col min="2817" max="2817" width="11.6640625" style="176" customWidth="1"/>
    <col min="2818" max="2818" width="11.33203125" style="176" customWidth="1"/>
    <col min="2819" max="2819" width="10.33203125" style="176" customWidth="1"/>
    <col min="2820" max="2820" width="12" style="176" customWidth="1"/>
    <col min="2821" max="3059" width="9.33203125" style="176"/>
    <col min="3060" max="3060" width="4.83203125" style="176" customWidth="1"/>
    <col min="3061" max="3061" width="27.33203125" style="176" customWidth="1"/>
    <col min="3062" max="3063" width="15.5" style="176" customWidth="1"/>
    <col min="3064" max="3064" width="13.6640625" style="176" customWidth="1"/>
    <col min="3065" max="3065" width="12.33203125" style="176" customWidth="1"/>
    <col min="3066" max="3066" width="13" style="176" bestFit="1" customWidth="1"/>
    <col min="3067" max="3067" width="11.33203125" style="176" customWidth="1"/>
    <col min="3068" max="3068" width="12.33203125" style="176" customWidth="1"/>
    <col min="3069" max="3069" width="10.33203125" style="176" customWidth="1"/>
    <col min="3070" max="3070" width="10.1640625" style="176" customWidth="1"/>
    <col min="3071" max="3071" width="13" style="176" customWidth="1"/>
    <col min="3072" max="3072" width="12.5" style="176" customWidth="1"/>
    <col min="3073" max="3073" width="11.6640625" style="176" customWidth="1"/>
    <col min="3074" max="3074" width="11.33203125" style="176" customWidth="1"/>
    <col min="3075" max="3075" width="10.33203125" style="176" customWidth="1"/>
    <col min="3076" max="3076" width="12" style="176" customWidth="1"/>
    <col min="3077" max="3315" width="9.33203125" style="176"/>
    <col min="3316" max="3316" width="4.83203125" style="176" customWidth="1"/>
    <col min="3317" max="3317" width="27.33203125" style="176" customWidth="1"/>
    <col min="3318" max="3319" width="15.5" style="176" customWidth="1"/>
    <col min="3320" max="3320" width="13.6640625" style="176" customWidth="1"/>
    <col min="3321" max="3321" width="12.33203125" style="176" customWidth="1"/>
    <col min="3322" max="3322" width="13" style="176" bestFit="1" customWidth="1"/>
    <col min="3323" max="3323" width="11.33203125" style="176" customWidth="1"/>
    <col min="3324" max="3324" width="12.33203125" style="176" customWidth="1"/>
    <col min="3325" max="3325" width="10.33203125" style="176" customWidth="1"/>
    <col min="3326" max="3326" width="10.1640625" style="176" customWidth="1"/>
    <col min="3327" max="3327" width="13" style="176" customWidth="1"/>
    <col min="3328" max="3328" width="12.5" style="176" customWidth="1"/>
    <col min="3329" max="3329" width="11.6640625" style="176" customWidth="1"/>
    <col min="3330" max="3330" width="11.33203125" style="176" customWidth="1"/>
    <col min="3331" max="3331" width="10.33203125" style="176" customWidth="1"/>
    <col min="3332" max="3332" width="12" style="176" customWidth="1"/>
    <col min="3333" max="3571" width="9.33203125" style="176"/>
    <col min="3572" max="3572" width="4.83203125" style="176" customWidth="1"/>
    <col min="3573" max="3573" width="27.33203125" style="176" customWidth="1"/>
    <col min="3574" max="3575" width="15.5" style="176" customWidth="1"/>
    <col min="3576" max="3576" width="13.6640625" style="176" customWidth="1"/>
    <col min="3577" max="3577" width="12.33203125" style="176" customWidth="1"/>
    <col min="3578" max="3578" width="13" style="176" bestFit="1" customWidth="1"/>
    <col min="3579" max="3579" width="11.33203125" style="176" customWidth="1"/>
    <col min="3580" max="3580" width="12.33203125" style="176" customWidth="1"/>
    <col min="3581" max="3581" width="10.33203125" style="176" customWidth="1"/>
    <col min="3582" max="3582" width="10.1640625" style="176" customWidth="1"/>
    <col min="3583" max="3583" width="13" style="176" customWidth="1"/>
    <col min="3584" max="3584" width="12.5" style="176" customWidth="1"/>
    <col min="3585" max="3585" width="11.6640625" style="176" customWidth="1"/>
    <col min="3586" max="3586" width="11.33203125" style="176" customWidth="1"/>
    <col min="3587" max="3587" width="10.33203125" style="176" customWidth="1"/>
    <col min="3588" max="3588" width="12" style="176" customWidth="1"/>
    <col min="3589" max="3827" width="9.33203125" style="176"/>
    <col min="3828" max="3828" width="4.83203125" style="176" customWidth="1"/>
    <col min="3829" max="3829" width="27.33203125" style="176" customWidth="1"/>
    <col min="3830" max="3831" width="15.5" style="176" customWidth="1"/>
    <col min="3832" max="3832" width="13.6640625" style="176" customWidth="1"/>
    <col min="3833" max="3833" width="12.33203125" style="176" customWidth="1"/>
    <col min="3834" max="3834" width="13" style="176" bestFit="1" customWidth="1"/>
    <col min="3835" max="3835" width="11.33203125" style="176" customWidth="1"/>
    <col min="3836" max="3836" width="12.33203125" style="176" customWidth="1"/>
    <col min="3837" max="3837" width="10.33203125" style="176" customWidth="1"/>
    <col min="3838" max="3838" width="10.1640625" style="176" customWidth="1"/>
    <col min="3839" max="3839" width="13" style="176" customWidth="1"/>
    <col min="3840" max="3840" width="12.5" style="176" customWidth="1"/>
    <col min="3841" max="3841" width="11.6640625" style="176" customWidth="1"/>
    <col min="3842" max="3842" width="11.33203125" style="176" customWidth="1"/>
    <col min="3843" max="3843" width="10.33203125" style="176" customWidth="1"/>
    <col min="3844" max="3844" width="12" style="176" customWidth="1"/>
    <col min="3845" max="4083" width="9.33203125" style="176"/>
    <col min="4084" max="4084" width="4.83203125" style="176" customWidth="1"/>
    <col min="4085" max="4085" width="27.33203125" style="176" customWidth="1"/>
    <col min="4086" max="4087" width="15.5" style="176" customWidth="1"/>
    <col min="4088" max="4088" width="13.6640625" style="176" customWidth="1"/>
    <col min="4089" max="4089" width="12.33203125" style="176" customWidth="1"/>
    <col min="4090" max="4090" width="13" style="176" bestFit="1" customWidth="1"/>
    <col min="4091" max="4091" width="11.33203125" style="176" customWidth="1"/>
    <col min="4092" max="4092" width="12.33203125" style="176" customWidth="1"/>
    <col min="4093" max="4093" width="10.33203125" style="176" customWidth="1"/>
    <col min="4094" max="4094" width="10.1640625" style="176" customWidth="1"/>
    <col min="4095" max="4095" width="13" style="176" customWidth="1"/>
    <col min="4096" max="4096" width="12.5" style="176" customWidth="1"/>
    <col min="4097" max="4097" width="11.6640625" style="176" customWidth="1"/>
    <col min="4098" max="4098" width="11.33203125" style="176" customWidth="1"/>
    <col min="4099" max="4099" width="10.33203125" style="176" customWidth="1"/>
    <col min="4100" max="4100" width="12" style="176" customWidth="1"/>
    <col min="4101" max="4339" width="9.33203125" style="176"/>
    <col min="4340" max="4340" width="4.83203125" style="176" customWidth="1"/>
    <col min="4341" max="4341" width="27.33203125" style="176" customWidth="1"/>
    <col min="4342" max="4343" width="15.5" style="176" customWidth="1"/>
    <col min="4344" max="4344" width="13.6640625" style="176" customWidth="1"/>
    <col min="4345" max="4345" width="12.33203125" style="176" customWidth="1"/>
    <col min="4346" max="4346" width="13" style="176" bestFit="1" customWidth="1"/>
    <col min="4347" max="4347" width="11.33203125" style="176" customWidth="1"/>
    <col min="4348" max="4348" width="12.33203125" style="176" customWidth="1"/>
    <col min="4349" max="4349" width="10.33203125" style="176" customWidth="1"/>
    <col min="4350" max="4350" width="10.1640625" style="176" customWidth="1"/>
    <col min="4351" max="4351" width="13" style="176" customWidth="1"/>
    <col min="4352" max="4352" width="12.5" style="176" customWidth="1"/>
    <col min="4353" max="4353" width="11.6640625" style="176" customWidth="1"/>
    <col min="4354" max="4354" width="11.33203125" style="176" customWidth="1"/>
    <col min="4355" max="4355" width="10.33203125" style="176" customWidth="1"/>
    <col min="4356" max="4356" width="12" style="176" customWidth="1"/>
    <col min="4357" max="4595" width="9.33203125" style="176"/>
    <col min="4596" max="4596" width="4.83203125" style="176" customWidth="1"/>
    <col min="4597" max="4597" width="27.33203125" style="176" customWidth="1"/>
    <col min="4598" max="4599" width="15.5" style="176" customWidth="1"/>
    <col min="4600" max="4600" width="13.6640625" style="176" customWidth="1"/>
    <col min="4601" max="4601" width="12.33203125" style="176" customWidth="1"/>
    <col min="4602" max="4602" width="13" style="176" bestFit="1" customWidth="1"/>
    <col min="4603" max="4603" width="11.33203125" style="176" customWidth="1"/>
    <col min="4604" max="4604" width="12.33203125" style="176" customWidth="1"/>
    <col min="4605" max="4605" width="10.33203125" style="176" customWidth="1"/>
    <col min="4606" max="4606" width="10.1640625" style="176" customWidth="1"/>
    <col min="4607" max="4607" width="13" style="176" customWidth="1"/>
    <col min="4608" max="4608" width="12.5" style="176" customWidth="1"/>
    <col min="4609" max="4609" width="11.6640625" style="176" customWidth="1"/>
    <col min="4610" max="4610" width="11.33203125" style="176" customWidth="1"/>
    <col min="4611" max="4611" width="10.33203125" style="176" customWidth="1"/>
    <col min="4612" max="4612" width="12" style="176" customWidth="1"/>
    <col min="4613" max="4851" width="9.33203125" style="176"/>
    <col min="4852" max="4852" width="4.83203125" style="176" customWidth="1"/>
    <col min="4853" max="4853" width="27.33203125" style="176" customWidth="1"/>
    <col min="4854" max="4855" width="15.5" style="176" customWidth="1"/>
    <col min="4856" max="4856" width="13.6640625" style="176" customWidth="1"/>
    <col min="4857" max="4857" width="12.33203125" style="176" customWidth="1"/>
    <col min="4858" max="4858" width="13" style="176" bestFit="1" customWidth="1"/>
    <col min="4859" max="4859" width="11.33203125" style="176" customWidth="1"/>
    <col min="4860" max="4860" width="12.33203125" style="176" customWidth="1"/>
    <col min="4861" max="4861" width="10.33203125" style="176" customWidth="1"/>
    <col min="4862" max="4862" width="10.1640625" style="176" customWidth="1"/>
    <col min="4863" max="4863" width="13" style="176" customWidth="1"/>
    <col min="4864" max="4864" width="12.5" style="176" customWidth="1"/>
    <col min="4865" max="4865" width="11.6640625" style="176" customWidth="1"/>
    <col min="4866" max="4866" width="11.33203125" style="176" customWidth="1"/>
    <col min="4867" max="4867" width="10.33203125" style="176" customWidth="1"/>
    <col min="4868" max="4868" width="12" style="176" customWidth="1"/>
    <col min="4869" max="5107" width="9.33203125" style="176"/>
    <col min="5108" max="5108" width="4.83203125" style="176" customWidth="1"/>
    <col min="5109" max="5109" width="27.33203125" style="176" customWidth="1"/>
    <col min="5110" max="5111" width="15.5" style="176" customWidth="1"/>
    <col min="5112" max="5112" width="13.6640625" style="176" customWidth="1"/>
    <col min="5113" max="5113" width="12.33203125" style="176" customWidth="1"/>
    <col min="5114" max="5114" width="13" style="176" bestFit="1" customWidth="1"/>
    <col min="5115" max="5115" width="11.33203125" style="176" customWidth="1"/>
    <col min="5116" max="5116" width="12.33203125" style="176" customWidth="1"/>
    <col min="5117" max="5117" width="10.33203125" style="176" customWidth="1"/>
    <col min="5118" max="5118" width="10.1640625" style="176" customWidth="1"/>
    <col min="5119" max="5119" width="13" style="176" customWidth="1"/>
    <col min="5120" max="5120" width="12.5" style="176" customWidth="1"/>
    <col min="5121" max="5121" width="11.6640625" style="176" customWidth="1"/>
    <col min="5122" max="5122" width="11.33203125" style="176" customWidth="1"/>
    <col min="5123" max="5123" width="10.33203125" style="176" customWidth="1"/>
    <col min="5124" max="5124" width="12" style="176" customWidth="1"/>
    <col min="5125" max="5363" width="9.33203125" style="176"/>
    <col min="5364" max="5364" width="4.83203125" style="176" customWidth="1"/>
    <col min="5365" max="5365" width="27.33203125" style="176" customWidth="1"/>
    <col min="5366" max="5367" width="15.5" style="176" customWidth="1"/>
    <col min="5368" max="5368" width="13.6640625" style="176" customWidth="1"/>
    <col min="5369" max="5369" width="12.33203125" style="176" customWidth="1"/>
    <col min="5370" max="5370" width="13" style="176" bestFit="1" customWidth="1"/>
    <col min="5371" max="5371" width="11.33203125" style="176" customWidth="1"/>
    <col min="5372" max="5372" width="12.33203125" style="176" customWidth="1"/>
    <col min="5373" max="5373" width="10.33203125" style="176" customWidth="1"/>
    <col min="5374" max="5374" width="10.1640625" style="176" customWidth="1"/>
    <col min="5375" max="5375" width="13" style="176" customWidth="1"/>
    <col min="5376" max="5376" width="12.5" style="176" customWidth="1"/>
    <col min="5377" max="5377" width="11.6640625" style="176" customWidth="1"/>
    <col min="5378" max="5378" width="11.33203125" style="176" customWidth="1"/>
    <col min="5379" max="5379" width="10.33203125" style="176" customWidth="1"/>
    <col min="5380" max="5380" width="12" style="176" customWidth="1"/>
    <col min="5381" max="5619" width="9.33203125" style="176"/>
    <col min="5620" max="5620" width="4.83203125" style="176" customWidth="1"/>
    <col min="5621" max="5621" width="27.33203125" style="176" customWidth="1"/>
    <col min="5622" max="5623" width="15.5" style="176" customWidth="1"/>
    <col min="5624" max="5624" width="13.6640625" style="176" customWidth="1"/>
    <col min="5625" max="5625" width="12.33203125" style="176" customWidth="1"/>
    <col min="5626" max="5626" width="13" style="176" bestFit="1" customWidth="1"/>
    <col min="5627" max="5627" width="11.33203125" style="176" customWidth="1"/>
    <col min="5628" max="5628" width="12.33203125" style="176" customWidth="1"/>
    <col min="5629" max="5629" width="10.33203125" style="176" customWidth="1"/>
    <col min="5630" max="5630" width="10.1640625" style="176" customWidth="1"/>
    <col min="5631" max="5631" width="13" style="176" customWidth="1"/>
    <col min="5632" max="5632" width="12.5" style="176" customWidth="1"/>
    <col min="5633" max="5633" width="11.6640625" style="176" customWidth="1"/>
    <col min="5634" max="5634" width="11.33203125" style="176" customWidth="1"/>
    <col min="5635" max="5635" width="10.33203125" style="176" customWidth="1"/>
    <col min="5636" max="5636" width="12" style="176" customWidth="1"/>
    <col min="5637" max="5875" width="9.33203125" style="176"/>
    <col min="5876" max="5876" width="4.83203125" style="176" customWidth="1"/>
    <col min="5877" max="5877" width="27.33203125" style="176" customWidth="1"/>
    <col min="5878" max="5879" width="15.5" style="176" customWidth="1"/>
    <col min="5880" max="5880" width="13.6640625" style="176" customWidth="1"/>
    <col min="5881" max="5881" width="12.33203125" style="176" customWidth="1"/>
    <col min="5882" max="5882" width="13" style="176" bestFit="1" customWidth="1"/>
    <col min="5883" max="5883" width="11.33203125" style="176" customWidth="1"/>
    <col min="5884" max="5884" width="12.33203125" style="176" customWidth="1"/>
    <col min="5885" max="5885" width="10.33203125" style="176" customWidth="1"/>
    <col min="5886" max="5886" width="10.1640625" style="176" customWidth="1"/>
    <col min="5887" max="5887" width="13" style="176" customWidth="1"/>
    <col min="5888" max="5888" width="12.5" style="176" customWidth="1"/>
    <col min="5889" max="5889" width="11.6640625" style="176" customWidth="1"/>
    <col min="5890" max="5890" width="11.33203125" style="176" customWidth="1"/>
    <col min="5891" max="5891" width="10.33203125" style="176" customWidth="1"/>
    <col min="5892" max="5892" width="12" style="176" customWidth="1"/>
    <col min="5893" max="6131" width="9.33203125" style="176"/>
    <col min="6132" max="6132" width="4.83203125" style="176" customWidth="1"/>
    <col min="6133" max="6133" width="27.33203125" style="176" customWidth="1"/>
    <col min="6134" max="6135" width="15.5" style="176" customWidth="1"/>
    <col min="6136" max="6136" width="13.6640625" style="176" customWidth="1"/>
    <col min="6137" max="6137" width="12.33203125" style="176" customWidth="1"/>
    <col min="6138" max="6138" width="13" style="176" bestFit="1" customWidth="1"/>
    <col min="6139" max="6139" width="11.33203125" style="176" customWidth="1"/>
    <col min="6140" max="6140" width="12.33203125" style="176" customWidth="1"/>
    <col min="6141" max="6141" width="10.33203125" style="176" customWidth="1"/>
    <col min="6142" max="6142" width="10.1640625" style="176" customWidth="1"/>
    <col min="6143" max="6143" width="13" style="176" customWidth="1"/>
    <col min="6144" max="6144" width="12.5" style="176" customWidth="1"/>
    <col min="6145" max="6145" width="11.6640625" style="176" customWidth="1"/>
    <col min="6146" max="6146" width="11.33203125" style="176" customWidth="1"/>
    <col min="6147" max="6147" width="10.33203125" style="176" customWidth="1"/>
    <col min="6148" max="6148" width="12" style="176" customWidth="1"/>
    <col min="6149" max="6387" width="9.33203125" style="176"/>
    <col min="6388" max="6388" width="4.83203125" style="176" customWidth="1"/>
    <col min="6389" max="6389" width="27.33203125" style="176" customWidth="1"/>
    <col min="6390" max="6391" width="15.5" style="176" customWidth="1"/>
    <col min="6392" max="6392" width="13.6640625" style="176" customWidth="1"/>
    <col min="6393" max="6393" width="12.33203125" style="176" customWidth="1"/>
    <col min="6394" max="6394" width="13" style="176" bestFit="1" customWidth="1"/>
    <col min="6395" max="6395" width="11.33203125" style="176" customWidth="1"/>
    <col min="6396" max="6396" width="12.33203125" style="176" customWidth="1"/>
    <col min="6397" max="6397" width="10.33203125" style="176" customWidth="1"/>
    <col min="6398" max="6398" width="10.1640625" style="176" customWidth="1"/>
    <col min="6399" max="6399" width="13" style="176" customWidth="1"/>
    <col min="6400" max="6400" width="12.5" style="176" customWidth="1"/>
    <col min="6401" max="6401" width="11.6640625" style="176" customWidth="1"/>
    <col min="6402" max="6402" width="11.33203125" style="176" customWidth="1"/>
    <col min="6403" max="6403" width="10.33203125" style="176" customWidth="1"/>
    <col min="6404" max="6404" width="12" style="176" customWidth="1"/>
    <col min="6405" max="6643" width="9.33203125" style="176"/>
    <col min="6644" max="6644" width="4.83203125" style="176" customWidth="1"/>
    <col min="6645" max="6645" width="27.33203125" style="176" customWidth="1"/>
    <col min="6646" max="6647" width="15.5" style="176" customWidth="1"/>
    <col min="6648" max="6648" width="13.6640625" style="176" customWidth="1"/>
    <col min="6649" max="6649" width="12.33203125" style="176" customWidth="1"/>
    <col min="6650" max="6650" width="13" style="176" bestFit="1" customWidth="1"/>
    <col min="6651" max="6651" width="11.33203125" style="176" customWidth="1"/>
    <col min="6652" max="6652" width="12.33203125" style="176" customWidth="1"/>
    <col min="6653" max="6653" width="10.33203125" style="176" customWidth="1"/>
    <col min="6654" max="6654" width="10.1640625" style="176" customWidth="1"/>
    <col min="6655" max="6655" width="13" style="176" customWidth="1"/>
    <col min="6656" max="6656" width="12.5" style="176" customWidth="1"/>
    <col min="6657" max="6657" width="11.6640625" style="176" customWidth="1"/>
    <col min="6658" max="6658" width="11.33203125" style="176" customWidth="1"/>
    <col min="6659" max="6659" width="10.33203125" style="176" customWidth="1"/>
    <col min="6660" max="6660" width="12" style="176" customWidth="1"/>
    <col min="6661" max="6899" width="9.33203125" style="176"/>
    <col min="6900" max="6900" width="4.83203125" style="176" customWidth="1"/>
    <col min="6901" max="6901" width="27.33203125" style="176" customWidth="1"/>
    <col min="6902" max="6903" width="15.5" style="176" customWidth="1"/>
    <col min="6904" max="6904" width="13.6640625" style="176" customWidth="1"/>
    <col min="6905" max="6905" width="12.33203125" style="176" customWidth="1"/>
    <col min="6906" max="6906" width="13" style="176" bestFit="1" customWidth="1"/>
    <col min="6907" max="6907" width="11.33203125" style="176" customWidth="1"/>
    <col min="6908" max="6908" width="12.33203125" style="176" customWidth="1"/>
    <col min="6909" max="6909" width="10.33203125" style="176" customWidth="1"/>
    <col min="6910" max="6910" width="10.1640625" style="176" customWidth="1"/>
    <col min="6911" max="6911" width="13" style="176" customWidth="1"/>
    <col min="6912" max="6912" width="12.5" style="176" customWidth="1"/>
    <col min="6913" max="6913" width="11.6640625" style="176" customWidth="1"/>
    <col min="6914" max="6914" width="11.33203125" style="176" customWidth="1"/>
    <col min="6915" max="6915" width="10.33203125" style="176" customWidth="1"/>
    <col min="6916" max="6916" width="12" style="176" customWidth="1"/>
    <col min="6917" max="7155" width="9.33203125" style="176"/>
    <col min="7156" max="7156" width="4.83203125" style="176" customWidth="1"/>
    <col min="7157" max="7157" width="27.33203125" style="176" customWidth="1"/>
    <col min="7158" max="7159" width="15.5" style="176" customWidth="1"/>
    <col min="7160" max="7160" width="13.6640625" style="176" customWidth="1"/>
    <col min="7161" max="7161" width="12.33203125" style="176" customWidth="1"/>
    <col min="7162" max="7162" width="13" style="176" bestFit="1" customWidth="1"/>
    <col min="7163" max="7163" width="11.33203125" style="176" customWidth="1"/>
    <col min="7164" max="7164" width="12.33203125" style="176" customWidth="1"/>
    <col min="7165" max="7165" width="10.33203125" style="176" customWidth="1"/>
    <col min="7166" max="7166" width="10.1640625" style="176" customWidth="1"/>
    <col min="7167" max="7167" width="13" style="176" customWidth="1"/>
    <col min="7168" max="7168" width="12.5" style="176" customWidth="1"/>
    <col min="7169" max="7169" width="11.6640625" style="176" customWidth="1"/>
    <col min="7170" max="7170" width="11.33203125" style="176" customWidth="1"/>
    <col min="7171" max="7171" width="10.33203125" style="176" customWidth="1"/>
    <col min="7172" max="7172" width="12" style="176" customWidth="1"/>
    <col min="7173" max="7411" width="9.33203125" style="176"/>
    <col min="7412" max="7412" width="4.83203125" style="176" customWidth="1"/>
    <col min="7413" max="7413" width="27.33203125" style="176" customWidth="1"/>
    <col min="7414" max="7415" width="15.5" style="176" customWidth="1"/>
    <col min="7416" max="7416" width="13.6640625" style="176" customWidth="1"/>
    <col min="7417" max="7417" width="12.33203125" style="176" customWidth="1"/>
    <col min="7418" max="7418" width="13" style="176" bestFit="1" customWidth="1"/>
    <col min="7419" max="7419" width="11.33203125" style="176" customWidth="1"/>
    <col min="7420" max="7420" width="12.33203125" style="176" customWidth="1"/>
    <col min="7421" max="7421" width="10.33203125" style="176" customWidth="1"/>
    <col min="7422" max="7422" width="10.1640625" style="176" customWidth="1"/>
    <col min="7423" max="7423" width="13" style="176" customWidth="1"/>
    <col min="7424" max="7424" width="12.5" style="176" customWidth="1"/>
    <col min="7425" max="7425" width="11.6640625" style="176" customWidth="1"/>
    <col min="7426" max="7426" width="11.33203125" style="176" customWidth="1"/>
    <col min="7427" max="7427" width="10.33203125" style="176" customWidth="1"/>
    <col min="7428" max="7428" width="12" style="176" customWidth="1"/>
    <col min="7429" max="7667" width="9.33203125" style="176"/>
    <col min="7668" max="7668" width="4.83203125" style="176" customWidth="1"/>
    <col min="7669" max="7669" width="27.33203125" style="176" customWidth="1"/>
    <col min="7670" max="7671" width="15.5" style="176" customWidth="1"/>
    <col min="7672" max="7672" width="13.6640625" style="176" customWidth="1"/>
    <col min="7673" max="7673" width="12.33203125" style="176" customWidth="1"/>
    <col min="7674" max="7674" width="13" style="176" bestFit="1" customWidth="1"/>
    <col min="7675" max="7675" width="11.33203125" style="176" customWidth="1"/>
    <col min="7676" max="7676" width="12.33203125" style="176" customWidth="1"/>
    <col min="7677" max="7677" width="10.33203125" style="176" customWidth="1"/>
    <col min="7678" max="7678" width="10.1640625" style="176" customWidth="1"/>
    <col min="7679" max="7679" width="13" style="176" customWidth="1"/>
    <col min="7680" max="7680" width="12.5" style="176" customWidth="1"/>
    <col min="7681" max="7681" width="11.6640625" style="176" customWidth="1"/>
    <col min="7682" max="7682" width="11.33203125" style="176" customWidth="1"/>
    <col min="7683" max="7683" width="10.33203125" style="176" customWidth="1"/>
    <col min="7684" max="7684" width="12" style="176" customWidth="1"/>
    <col min="7685" max="7923" width="9.33203125" style="176"/>
    <col min="7924" max="7924" width="4.83203125" style="176" customWidth="1"/>
    <col min="7925" max="7925" width="27.33203125" style="176" customWidth="1"/>
    <col min="7926" max="7927" width="15.5" style="176" customWidth="1"/>
    <col min="7928" max="7928" width="13.6640625" style="176" customWidth="1"/>
    <col min="7929" max="7929" width="12.33203125" style="176" customWidth="1"/>
    <col min="7930" max="7930" width="13" style="176" bestFit="1" customWidth="1"/>
    <col min="7931" max="7931" width="11.33203125" style="176" customWidth="1"/>
    <col min="7932" max="7932" width="12.33203125" style="176" customWidth="1"/>
    <col min="7933" max="7933" width="10.33203125" style="176" customWidth="1"/>
    <col min="7934" max="7934" width="10.1640625" style="176" customWidth="1"/>
    <col min="7935" max="7935" width="13" style="176" customWidth="1"/>
    <col min="7936" max="7936" width="12.5" style="176" customWidth="1"/>
    <col min="7937" max="7937" width="11.6640625" style="176" customWidth="1"/>
    <col min="7938" max="7938" width="11.33203125" style="176" customWidth="1"/>
    <col min="7939" max="7939" width="10.33203125" style="176" customWidth="1"/>
    <col min="7940" max="7940" width="12" style="176" customWidth="1"/>
    <col min="7941" max="8179" width="9.33203125" style="176"/>
    <col min="8180" max="8180" width="4.83203125" style="176" customWidth="1"/>
    <col min="8181" max="8181" width="27.33203125" style="176" customWidth="1"/>
    <col min="8182" max="8183" width="15.5" style="176" customWidth="1"/>
    <col min="8184" max="8184" width="13.6640625" style="176" customWidth="1"/>
    <col min="8185" max="8185" width="12.33203125" style="176" customWidth="1"/>
    <col min="8186" max="8186" width="13" style="176" bestFit="1" customWidth="1"/>
    <col min="8187" max="8187" width="11.33203125" style="176" customWidth="1"/>
    <col min="8188" max="8188" width="12.33203125" style="176" customWidth="1"/>
    <col min="8189" max="8189" width="10.33203125" style="176" customWidth="1"/>
    <col min="8190" max="8190" width="10.1640625" style="176" customWidth="1"/>
    <col min="8191" max="8191" width="13" style="176" customWidth="1"/>
    <col min="8192" max="8192" width="12.5" style="176" customWidth="1"/>
    <col min="8193" max="8193" width="11.6640625" style="176" customWidth="1"/>
    <col min="8194" max="8194" width="11.33203125" style="176" customWidth="1"/>
    <col min="8195" max="8195" width="10.33203125" style="176" customWidth="1"/>
    <col min="8196" max="8196" width="12" style="176" customWidth="1"/>
    <col min="8197" max="8435" width="9.33203125" style="176"/>
    <col min="8436" max="8436" width="4.83203125" style="176" customWidth="1"/>
    <col min="8437" max="8437" width="27.33203125" style="176" customWidth="1"/>
    <col min="8438" max="8439" width="15.5" style="176" customWidth="1"/>
    <col min="8440" max="8440" width="13.6640625" style="176" customWidth="1"/>
    <col min="8441" max="8441" width="12.33203125" style="176" customWidth="1"/>
    <col min="8442" max="8442" width="13" style="176" bestFit="1" customWidth="1"/>
    <col min="8443" max="8443" width="11.33203125" style="176" customWidth="1"/>
    <col min="8444" max="8444" width="12.33203125" style="176" customWidth="1"/>
    <col min="8445" max="8445" width="10.33203125" style="176" customWidth="1"/>
    <col min="8446" max="8446" width="10.1640625" style="176" customWidth="1"/>
    <col min="8447" max="8447" width="13" style="176" customWidth="1"/>
    <col min="8448" max="8448" width="12.5" style="176" customWidth="1"/>
    <col min="8449" max="8449" width="11.6640625" style="176" customWidth="1"/>
    <col min="8450" max="8450" width="11.33203125" style="176" customWidth="1"/>
    <col min="8451" max="8451" width="10.33203125" style="176" customWidth="1"/>
    <col min="8452" max="8452" width="12" style="176" customWidth="1"/>
    <col min="8453" max="8691" width="9.33203125" style="176"/>
    <col min="8692" max="8692" width="4.83203125" style="176" customWidth="1"/>
    <col min="8693" max="8693" width="27.33203125" style="176" customWidth="1"/>
    <col min="8694" max="8695" width="15.5" style="176" customWidth="1"/>
    <col min="8696" max="8696" width="13.6640625" style="176" customWidth="1"/>
    <col min="8697" max="8697" width="12.33203125" style="176" customWidth="1"/>
    <col min="8698" max="8698" width="13" style="176" bestFit="1" customWidth="1"/>
    <col min="8699" max="8699" width="11.33203125" style="176" customWidth="1"/>
    <col min="8700" max="8700" width="12.33203125" style="176" customWidth="1"/>
    <col min="8701" max="8701" width="10.33203125" style="176" customWidth="1"/>
    <col min="8702" max="8702" width="10.1640625" style="176" customWidth="1"/>
    <col min="8703" max="8703" width="13" style="176" customWidth="1"/>
    <col min="8704" max="8704" width="12.5" style="176" customWidth="1"/>
    <col min="8705" max="8705" width="11.6640625" style="176" customWidth="1"/>
    <col min="8706" max="8706" width="11.33203125" style="176" customWidth="1"/>
    <col min="8707" max="8707" width="10.33203125" style="176" customWidth="1"/>
    <col min="8708" max="8708" width="12" style="176" customWidth="1"/>
    <col min="8709" max="8947" width="9.33203125" style="176"/>
    <col min="8948" max="8948" width="4.83203125" style="176" customWidth="1"/>
    <col min="8949" max="8949" width="27.33203125" style="176" customWidth="1"/>
    <col min="8950" max="8951" width="15.5" style="176" customWidth="1"/>
    <col min="8952" max="8952" width="13.6640625" style="176" customWidth="1"/>
    <col min="8953" max="8953" width="12.33203125" style="176" customWidth="1"/>
    <col min="8954" max="8954" width="13" style="176" bestFit="1" customWidth="1"/>
    <col min="8955" max="8955" width="11.33203125" style="176" customWidth="1"/>
    <col min="8956" max="8956" width="12.33203125" style="176" customWidth="1"/>
    <col min="8957" max="8957" width="10.33203125" style="176" customWidth="1"/>
    <col min="8958" max="8958" width="10.1640625" style="176" customWidth="1"/>
    <col min="8959" max="8959" width="13" style="176" customWidth="1"/>
    <col min="8960" max="8960" width="12.5" style="176" customWidth="1"/>
    <col min="8961" max="8961" width="11.6640625" style="176" customWidth="1"/>
    <col min="8962" max="8962" width="11.33203125" style="176" customWidth="1"/>
    <col min="8963" max="8963" width="10.33203125" style="176" customWidth="1"/>
    <col min="8964" max="8964" width="12" style="176" customWidth="1"/>
    <col min="8965" max="9203" width="9.33203125" style="176"/>
    <col min="9204" max="9204" width="4.83203125" style="176" customWidth="1"/>
    <col min="9205" max="9205" width="27.33203125" style="176" customWidth="1"/>
    <col min="9206" max="9207" width="15.5" style="176" customWidth="1"/>
    <col min="9208" max="9208" width="13.6640625" style="176" customWidth="1"/>
    <col min="9209" max="9209" width="12.33203125" style="176" customWidth="1"/>
    <col min="9210" max="9210" width="13" style="176" bestFit="1" customWidth="1"/>
    <col min="9211" max="9211" width="11.33203125" style="176" customWidth="1"/>
    <col min="9212" max="9212" width="12.33203125" style="176" customWidth="1"/>
    <col min="9213" max="9213" width="10.33203125" style="176" customWidth="1"/>
    <col min="9214" max="9214" width="10.1640625" style="176" customWidth="1"/>
    <col min="9215" max="9215" width="13" style="176" customWidth="1"/>
    <col min="9216" max="9216" width="12.5" style="176" customWidth="1"/>
    <col min="9217" max="9217" width="11.6640625" style="176" customWidth="1"/>
    <col min="9218" max="9218" width="11.33203125" style="176" customWidth="1"/>
    <col min="9219" max="9219" width="10.33203125" style="176" customWidth="1"/>
    <col min="9220" max="9220" width="12" style="176" customWidth="1"/>
    <col min="9221" max="9459" width="9.33203125" style="176"/>
    <col min="9460" max="9460" width="4.83203125" style="176" customWidth="1"/>
    <col min="9461" max="9461" width="27.33203125" style="176" customWidth="1"/>
    <col min="9462" max="9463" width="15.5" style="176" customWidth="1"/>
    <col min="9464" max="9464" width="13.6640625" style="176" customWidth="1"/>
    <col min="9465" max="9465" width="12.33203125" style="176" customWidth="1"/>
    <col min="9466" max="9466" width="13" style="176" bestFit="1" customWidth="1"/>
    <col min="9467" max="9467" width="11.33203125" style="176" customWidth="1"/>
    <col min="9468" max="9468" width="12.33203125" style="176" customWidth="1"/>
    <col min="9469" max="9469" width="10.33203125" style="176" customWidth="1"/>
    <col min="9470" max="9470" width="10.1640625" style="176" customWidth="1"/>
    <col min="9471" max="9471" width="13" style="176" customWidth="1"/>
    <col min="9472" max="9472" width="12.5" style="176" customWidth="1"/>
    <col min="9473" max="9473" width="11.6640625" style="176" customWidth="1"/>
    <col min="9474" max="9474" width="11.33203125" style="176" customWidth="1"/>
    <col min="9475" max="9475" width="10.33203125" style="176" customWidth="1"/>
    <col min="9476" max="9476" width="12" style="176" customWidth="1"/>
    <col min="9477" max="9715" width="9.33203125" style="176"/>
    <col min="9716" max="9716" width="4.83203125" style="176" customWidth="1"/>
    <col min="9717" max="9717" width="27.33203125" style="176" customWidth="1"/>
    <col min="9718" max="9719" width="15.5" style="176" customWidth="1"/>
    <col min="9720" max="9720" width="13.6640625" style="176" customWidth="1"/>
    <col min="9721" max="9721" width="12.33203125" style="176" customWidth="1"/>
    <col min="9722" max="9722" width="13" style="176" bestFit="1" customWidth="1"/>
    <col min="9723" max="9723" width="11.33203125" style="176" customWidth="1"/>
    <col min="9724" max="9724" width="12.33203125" style="176" customWidth="1"/>
    <col min="9725" max="9725" width="10.33203125" style="176" customWidth="1"/>
    <col min="9726" max="9726" width="10.1640625" style="176" customWidth="1"/>
    <col min="9727" max="9727" width="13" style="176" customWidth="1"/>
    <col min="9728" max="9728" width="12.5" style="176" customWidth="1"/>
    <col min="9729" max="9729" width="11.6640625" style="176" customWidth="1"/>
    <col min="9730" max="9730" width="11.33203125" style="176" customWidth="1"/>
    <col min="9731" max="9731" width="10.33203125" style="176" customWidth="1"/>
    <col min="9732" max="9732" width="12" style="176" customWidth="1"/>
    <col min="9733" max="9971" width="9.33203125" style="176"/>
    <col min="9972" max="9972" width="4.83203125" style="176" customWidth="1"/>
    <col min="9973" max="9973" width="27.33203125" style="176" customWidth="1"/>
    <col min="9974" max="9975" width="15.5" style="176" customWidth="1"/>
    <col min="9976" max="9976" width="13.6640625" style="176" customWidth="1"/>
    <col min="9977" max="9977" width="12.33203125" style="176" customWidth="1"/>
    <col min="9978" max="9978" width="13" style="176" bestFit="1" customWidth="1"/>
    <col min="9979" max="9979" width="11.33203125" style="176" customWidth="1"/>
    <col min="9980" max="9980" width="12.33203125" style="176" customWidth="1"/>
    <col min="9981" max="9981" width="10.33203125" style="176" customWidth="1"/>
    <col min="9982" max="9982" width="10.1640625" style="176" customWidth="1"/>
    <col min="9983" max="9983" width="13" style="176" customWidth="1"/>
    <col min="9984" max="9984" width="12.5" style="176" customWidth="1"/>
    <col min="9985" max="9985" width="11.6640625" style="176" customWidth="1"/>
    <col min="9986" max="9986" width="11.33203125" style="176" customWidth="1"/>
    <col min="9987" max="9987" width="10.33203125" style="176" customWidth="1"/>
    <col min="9988" max="9988" width="12" style="176" customWidth="1"/>
    <col min="9989" max="10227" width="9.33203125" style="176"/>
    <col min="10228" max="10228" width="4.83203125" style="176" customWidth="1"/>
    <col min="10229" max="10229" width="27.33203125" style="176" customWidth="1"/>
    <col min="10230" max="10231" width="15.5" style="176" customWidth="1"/>
    <col min="10232" max="10232" width="13.6640625" style="176" customWidth="1"/>
    <col min="10233" max="10233" width="12.33203125" style="176" customWidth="1"/>
    <col min="10234" max="10234" width="13" style="176" bestFit="1" customWidth="1"/>
    <col min="10235" max="10235" width="11.33203125" style="176" customWidth="1"/>
    <col min="10236" max="10236" width="12.33203125" style="176" customWidth="1"/>
    <col min="10237" max="10237" width="10.33203125" style="176" customWidth="1"/>
    <col min="10238" max="10238" width="10.1640625" style="176" customWidth="1"/>
    <col min="10239" max="10239" width="13" style="176" customWidth="1"/>
    <col min="10240" max="10240" width="12.5" style="176" customWidth="1"/>
    <col min="10241" max="10241" width="11.6640625" style="176" customWidth="1"/>
    <col min="10242" max="10242" width="11.33203125" style="176" customWidth="1"/>
    <col min="10243" max="10243" width="10.33203125" style="176" customWidth="1"/>
    <col min="10244" max="10244" width="12" style="176" customWidth="1"/>
    <col min="10245" max="10483" width="9.33203125" style="176"/>
    <col min="10484" max="10484" width="4.83203125" style="176" customWidth="1"/>
    <col min="10485" max="10485" width="27.33203125" style="176" customWidth="1"/>
    <col min="10486" max="10487" width="15.5" style="176" customWidth="1"/>
    <col min="10488" max="10488" width="13.6640625" style="176" customWidth="1"/>
    <col min="10489" max="10489" width="12.33203125" style="176" customWidth="1"/>
    <col min="10490" max="10490" width="13" style="176" bestFit="1" customWidth="1"/>
    <col min="10491" max="10491" width="11.33203125" style="176" customWidth="1"/>
    <col min="10492" max="10492" width="12.33203125" style="176" customWidth="1"/>
    <col min="10493" max="10493" width="10.33203125" style="176" customWidth="1"/>
    <col min="10494" max="10494" width="10.1640625" style="176" customWidth="1"/>
    <col min="10495" max="10495" width="13" style="176" customWidth="1"/>
    <col min="10496" max="10496" width="12.5" style="176" customWidth="1"/>
    <col min="10497" max="10497" width="11.6640625" style="176" customWidth="1"/>
    <col min="10498" max="10498" width="11.33203125" style="176" customWidth="1"/>
    <col min="10499" max="10499" width="10.33203125" style="176" customWidth="1"/>
    <col min="10500" max="10500" width="12" style="176" customWidth="1"/>
    <col min="10501" max="10739" width="9.33203125" style="176"/>
    <col min="10740" max="10740" width="4.83203125" style="176" customWidth="1"/>
    <col min="10741" max="10741" width="27.33203125" style="176" customWidth="1"/>
    <col min="10742" max="10743" width="15.5" style="176" customWidth="1"/>
    <col min="10744" max="10744" width="13.6640625" style="176" customWidth="1"/>
    <col min="10745" max="10745" width="12.33203125" style="176" customWidth="1"/>
    <col min="10746" max="10746" width="13" style="176" bestFit="1" customWidth="1"/>
    <col min="10747" max="10747" width="11.33203125" style="176" customWidth="1"/>
    <col min="10748" max="10748" width="12.33203125" style="176" customWidth="1"/>
    <col min="10749" max="10749" width="10.33203125" style="176" customWidth="1"/>
    <col min="10750" max="10750" width="10.1640625" style="176" customWidth="1"/>
    <col min="10751" max="10751" width="13" style="176" customWidth="1"/>
    <col min="10752" max="10752" width="12.5" style="176" customWidth="1"/>
    <col min="10753" max="10753" width="11.6640625" style="176" customWidth="1"/>
    <col min="10754" max="10754" width="11.33203125" style="176" customWidth="1"/>
    <col min="10755" max="10755" width="10.33203125" style="176" customWidth="1"/>
    <col min="10756" max="10756" width="12" style="176" customWidth="1"/>
    <col min="10757" max="10995" width="9.33203125" style="176"/>
    <col min="10996" max="10996" width="4.83203125" style="176" customWidth="1"/>
    <col min="10997" max="10997" width="27.33203125" style="176" customWidth="1"/>
    <col min="10998" max="10999" width="15.5" style="176" customWidth="1"/>
    <col min="11000" max="11000" width="13.6640625" style="176" customWidth="1"/>
    <col min="11001" max="11001" width="12.33203125" style="176" customWidth="1"/>
    <col min="11002" max="11002" width="13" style="176" bestFit="1" customWidth="1"/>
    <col min="11003" max="11003" width="11.33203125" style="176" customWidth="1"/>
    <col min="11004" max="11004" width="12.33203125" style="176" customWidth="1"/>
    <col min="11005" max="11005" width="10.33203125" style="176" customWidth="1"/>
    <col min="11006" max="11006" width="10.1640625" style="176" customWidth="1"/>
    <col min="11007" max="11007" width="13" style="176" customWidth="1"/>
    <col min="11008" max="11008" width="12.5" style="176" customWidth="1"/>
    <col min="11009" max="11009" width="11.6640625" style="176" customWidth="1"/>
    <col min="11010" max="11010" width="11.33203125" style="176" customWidth="1"/>
    <col min="11011" max="11011" width="10.33203125" style="176" customWidth="1"/>
    <col min="11012" max="11012" width="12" style="176" customWidth="1"/>
    <col min="11013" max="11251" width="9.33203125" style="176"/>
    <col min="11252" max="11252" width="4.83203125" style="176" customWidth="1"/>
    <col min="11253" max="11253" width="27.33203125" style="176" customWidth="1"/>
    <col min="11254" max="11255" width="15.5" style="176" customWidth="1"/>
    <col min="11256" max="11256" width="13.6640625" style="176" customWidth="1"/>
    <col min="11257" max="11257" width="12.33203125" style="176" customWidth="1"/>
    <col min="11258" max="11258" width="13" style="176" bestFit="1" customWidth="1"/>
    <col min="11259" max="11259" width="11.33203125" style="176" customWidth="1"/>
    <col min="11260" max="11260" width="12.33203125" style="176" customWidth="1"/>
    <col min="11261" max="11261" width="10.33203125" style="176" customWidth="1"/>
    <col min="11262" max="11262" width="10.1640625" style="176" customWidth="1"/>
    <col min="11263" max="11263" width="13" style="176" customWidth="1"/>
    <col min="11264" max="11264" width="12.5" style="176" customWidth="1"/>
    <col min="11265" max="11265" width="11.6640625" style="176" customWidth="1"/>
    <col min="11266" max="11266" width="11.33203125" style="176" customWidth="1"/>
    <col min="11267" max="11267" width="10.33203125" style="176" customWidth="1"/>
    <col min="11268" max="11268" width="12" style="176" customWidth="1"/>
    <col min="11269" max="11507" width="9.33203125" style="176"/>
    <col min="11508" max="11508" width="4.83203125" style="176" customWidth="1"/>
    <col min="11509" max="11509" width="27.33203125" style="176" customWidth="1"/>
    <col min="11510" max="11511" width="15.5" style="176" customWidth="1"/>
    <col min="11512" max="11512" width="13.6640625" style="176" customWidth="1"/>
    <col min="11513" max="11513" width="12.33203125" style="176" customWidth="1"/>
    <col min="11514" max="11514" width="13" style="176" bestFit="1" customWidth="1"/>
    <col min="11515" max="11515" width="11.33203125" style="176" customWidth="1"/>
    <col min="11516" max="11516" width="12.33203125" style="176" customWidth="1"/>
    <col min="11517" max="11517" width="10.33203125" style="176" customWidth="1"/>
    <col min="11518" max="11518" width="10.1640625" style="176" customWidth="1"/>
    <col min="11519" max="11519" width="13" style="176" customWidth="1"/>
    <col min="11520" max="11520" width="12.5" style="176" customWidth="1"/>
    <col min="11521" max="11521" width="11.6640625" style="176" customWidth="1"/>
    <col min="11522" max="11522" width="11.33203125" style="176" customWidth="1"/>
    <col min="11523" max="11523" width="10.33203125" style="176" customWidth="1"/>
    <col min="11524" max="11524" width="12" style="176" customWidth="1"/>
    <col min="11525" max="11763" width="9.33203125" style="176"/>
    <col min="11764" max="11764" width="4.83203125" style="176" customWidth="1"/>
    <col min="11765" max="11765" width="27.33203125" style="176" customWidth="1"/>
    <col min="11766" max="11767" width="15.5" style="176" customWidth="1"/>
    <col min="11768" max="11768" width="13.6640625" style="176" customWidth="1"/>
    <col min="11769" max="11769" width="12.33203125" style="176" customWidth="1"/>
    <col min="11770" max="11770" width="13" style="176" bestFit="1" customWidth="1"/>
    <col min="11771" max="11771" width="11.33203125" style="176" customWidth="1"/>
    <col min="11772" max="11772" width="12.33203125" style="176" customWidth="1"/>
    <col min="11773" max="11773" width="10.33203125" style="176" customWidth="1"/>
    <col min="11774" max="11774" width="10.1640625" style="176" customWidth="1"/>
    <col min="11775" max="11775" width="13" style="176" customWidth="1"/>
    <col min="11776" max="11776" width="12.5" style="176" customWidth="1"/>
    <col min="11777" max="11777" width="11.6640625" style="176" customWidth="1"/>
    <col min="11778" max="11778" width="11.33203125" style="176" customWidth="1"/>
    <col min="11779" max="11779" width="10.33203125" style="176" customWidth="1"/>
    <col min="11780" max="11780" width="12" style="176" customWidth="1"/>
    <col min="11781" max="12019" width="9.33203125" style="176"/>
    <col min="12020" max="12020" width="4.83203125" style="176" customWidth="1"/>
    <col min="12021" max="12021" width="27.33203125" style="176" customWidth="1"/>
    <col min="12022" max="12023" width="15.5" style="176" customWidth="1"/>
    <col min="12024" max="12024" width="13.6640625" style="176" customWidth="1"/>
    <col min="12025" max="12025" width="12.33203125" style="176" customWidth="1"/>
    <col min="12026" max="12026" width="13" style="176" bestFit="1" customWidth="1"/>
    <col min="12027" max="12027" width="11.33203125" style="176" customWidth="1"/>
    <col min="12028" max="12028" width="12.33203125" style="176" customWidth="1"/>
    <col min="12029" max="12029" width="10.33203125" style="176" customWidth="1"/>
    <col min="12030" max="12030" width="10.1640625" style="176" customWidth="1"/>
    <col min="12031" max="12031" width="13" style="176" customWidth="1"/>
    <col min="12032" max="12032" width="12.5" style="176" customWidth="1"/>
    <col min="12033" max="12033" width="11.6640625" style="176" customWidth="1"/>
    <col min="12034" max="12034" width="11.33203125" style="176" customWidth="1"/>
    <col min="12035" max="12035" width="10.33203125" style="176" customWidth="1"/>
    <col min="12036" max="12036" width="12" style="176" customWidth="1"/>
    <col min="12037" max="12275" width="9.33203125" style="176"/>
    <col min="12276" max="12276" width="4.83203125" style="176" customWidth="1"/>
    <col min="12277" max="12277" width="27.33203125" style="176" customWidth="1"/>
    <col min="12278" max="12279" width="15.5" style="176" customWidth="1"/>
    <col min="12280" max="12280" width="13.6640625" style="176" customWidth="1"/>
    <col min="12281" max="12281" width="12.33203125" style="176" customWidth="1"/>
    <col min="12282" max="12282" width="13" style="176" bestFit="1" customWidth="1"/>
    <col min="12283" max="12283" width="11.33203125" style="176" customWidth="1"/>
    <col min="12284" max="12284" width="12.33203125" style="176" customWidth="1"/>
    <col min="12285" max="12285" width="10.33203125" style="176" customWidth="1"/>
    <col min="12286" max="12286" width="10.1640625" style="176" customWidth="1"/>
    <col min="12287" max="12287" width="13" style="176" customWidth="1"/>
    <col min="12288" max="12288" width="12.5" style="176" customWidth="1"/>
    <col min="12289" max="12289" width="11.6640625" style="176" customWidth="1"/>
    <col min="12290" max="12290" width="11.33203125" style="176" customWidth="1"/>
    <col min="12291" max="12291" width="10.33203125" style="176" customWidth="1"/>
    <col min="12292" max="12292" width="12" style="176" customWidth="1"/>
    <col min="12293" max="12531" width="9.33203125" style="176"/>
    <col min="12532" max="12532" width="4.83203125" style="176" customWidth="1"/>
    <col min="12533" max="12533" width="27.33203125" style="176" customWidth="1"/>
    <col min="12534" max="12535" width="15.5" style="176" customWidth="1"/>
    <col min="12536" max="12536" width="13.6640625" style="176" customWidth="1"/>
    <col min="12537" max="12537" width="12.33203125" style="176" customWidth="1"/>
    <col min="12538" max="12538" width="13" style="176" bestFit="1" customWidth="1"/>
    <col min="12539" max="12539" width="11.33203125" style="176" customWidth="1"/>
    <col min="12540" max="12540" width="12.33203125" style="176" customWidth="1"/>
    <col min="12541" max="12541" width="10.33203125" style="176" customWidth="1"/>
    <col min="12542" max="12542" width="10.1640625" style="176" customWidth="1"/>
    <col min="12543" max="12543" width="13" style="176" customWidth="1"/>
    <col min="12544" max="12544" width="12.5" style="176" customWidth="1"/>
    <col min="12545" max="12545" width="11.6640625" style="176" customWidth="1"/>
    <col min="12546" max="12546" width="11.33203125" style="176" customWidth="1"/>
    <col min="12547" max="12547" width="10.33203125" style="176" customWidth="1"/>
    <col min="12548" max="12548" width="12" style="176" customWidth="1"/>
    <col min="12549" max="12787" width="9.33203125" style="176"/>
    <col min="12788" max="12788" width="4.83203125" style="176" customWidth="1"/>
    <col min="12789" max="12789" width="27.33203125" style="176" customWidth="1"/>
    <col min="12790" max="12791" width="15.5" style="176" customWidth="1"/>
    <col min="12792" max="12792" width="13.6640625" style="176" customWidth="1"/>
    <col min="12793" max="12793" width="12.33203125" style="176" customWidth="1"/>
    <col min="12794" max="12794" width="13" style="176" bestFit="1" customWidth="1"/>
    <col min="12795" max="12795" width="11.33203125" style="176" customWidth="1"/>
    <col min="12796" max="12796" width="12.33203125" style="176" customWidth="1"/>
    <col min="12797" max="12797" width="10.33203125" style="176" customWidth="1"/>
    <col min="12798" max="12798" width="10.1640625" style="176" customWidth="1"/>
    <col min="12799" max="12799" width="13" style="176" customWidth="1"/>
    <col min="12800" max="12800" width="12.5" style="176" customWidth="1"/>
    <col min="12801" max="12801" width="11.6640625" style="176" customWidth="1"/>
    <col min="12802" max="12802" width="11.33203125" style="176" customWidth="1"/>
    <col min="12803" max="12803" width="10.33203125" style="176" customWidth="1"/>
    <col min="12804" max="12804" width="12" style="176" customWidth="1"/>
    <col min="12805" max="13043" width="9.33203125" style="176"/>
    <col min="13044" max="13044" width="4.83203125" style="176" customWidth="1"/>
    <col min="13045" max="13045" width="27.33203125" style="176" customWidth="1"/>
    <col min="13046" max="13047" width="15.5" style="176" customWidth="1"/>
    <col min="13048" max="13048" width="13.6640625" style="176" customWidth="1"/>
    <col min="13049" max="13049" width="12.33203125" style="176" customWidth="1"/>
    <col min="13050" max="13050" width="13" style="176" bestFit="1" customWidth="1"/>
    <col min="13051" max="13051" width="11.33203125" style="176" customWidth="1"/>
    <col min="13052" max="13052" width="12.33203125" style="176" customWidth="1"/>
    <col min="13053" max="13053" width="10.33203125" style="176" customWidth="1"/>
    <col min="13054" max="13054" width="10.1640625" style="176" customWidth="1"/>
    <col min="13055" max="13055" width="13" style="176" customWidth="1"/>
    <col min="13056" max="13056" width="12.5" style="176" customWidth="1"/>
    <col min="13057" max="13057" width="11.6640625" style="176" customWidth="1"/>
    <col min="13058" max="13058" width="11.33203125" style="176" customWidth="1"/>
    <col min="13059" max="13059" width="10.33203125" style="176" customWidth="1"/>
    <col min="13060" max="13060" width="12" style="176" customWidth="1"/>
    <col min="13061" max="13299" width="9.33203125" style="176"/>
    <col min="13300" max="13300" width="4.83203125" style="176" customWidth="1"/>
    <col min="13301" max="13301" width="27.33203125" style="176" customWidth="1"/>
    <col min="13302" max="13303" width="15.5" style="176" customWidth="1"/>
    <col min="13304" max="13304" width="13.6640625" style="176" customWidth="1"/>
    <col min="13305" max="13305" width="12.33203125" style="176" customWidth="1"/>
    <col min="13306" max="13306" width="13" style="176" bestFit="1" customWidth="1"/>
    <col min="13307" max="13307" width="11.33203125" style="176" customWidth="1"/>
    <col min="13308" max="13308" width="12.33203125" style="176" customWidth="1"/>
    <col min="13309" max="13309" width="10.33203125" style="176" customWidth="1"/>
    <col min="13310" max="13310" width="10.1640625" style="176" customWidth="1"/>
    <col min="13311" max="13311" width="13" style="176" customWidth="1"/>
    <col min="13312" max="13312" width="12.5" style="176" customWidth="1"/>
    <col min="13313" max="13313" width="11.6640625" style="176" customWidth="1"/>
    <col min="13314" max="13314" width="11.33203125" style="176" customWidth="1"/>
    <col min="13315" max="13315" width="10.33203125" style="176" customWidth="1"/>
    <col min="13316" max="13316" width="12" style="176" customWidth="1"/>
    <col min="13317" max="13555" width="9.33203125" style="176"/>
    <col min="13556" max="13556" width="4.83203125" style="176" customWidth="1"/>
    <col min="13557" max="13557" width="27.33203125" style="176" customWidth="1"/>
    <col min="13558" max="13559" width="15.5" style="176" customWidth="1"/>
    <col min="13560" max="13560" width="13.6640625" style="176" customWidth="1"/>
    <col min="13561" max="13561" width="12.33203125" style="176" customWidth="1"/>
    <col min="13562" max="13562" width="13" style="176" bestFit="1" customWidth="1"/>
    <col min="13563" max="13563" width="11.33203125" style="176" customWidth="1"/>
    <col min="13564" max="13564" width="12.33203125" style="176" customWidth="1"/>
    <col min="13565" max="13565" width="10.33203125" style="176" customWidth="1"/>
    <col min="13566" max="13566" width="10.1640625" style="176" customWidth="1"/>
    <col min="13567" max="13567" width="13" style="176" customWidth="1"/>
    <col min="13568" max="13568" width="12.5" style="176" customWidth="1"/>
    <col min="13569" max="13569" width="11.6640625" style="176" customWidth="1"/>
    <col min="13570" max="13570" width="11.33203125" style="176" customWidth="1"/>
    <col min="13571" max="13571" width="10.33203125" style="176" customWidth="1"/>
    <col min="13572" max="13572" width="12" style="176" customWidth="1"/>
    <col min="13573" max="13811" width="9.33203125" style="176"/>
    <col min="13812" max="13812" width="4.83203125" style="176" customWidth="1"/>
    <col min="13813" max="13813" width="27.33203125" style="176" customWidth="1"/>
    <col min="13814" max="13815" width="15.5" style="176" customWidth="1"/>
    <col min="13816" max="13816" width="13.6640625" style="176" customWidth="1"/>
    <col min="13817" max="13817" width="12.33203125" style="176" customWidth="1"/>
    <col min="13818" max="13818" width="13" style="176" bestFit="1" customWidth="1"/>
    <col min="13819" max="13819" width="11.33203125" style="176" customWidth="1"/>
    <col min="13820" max="13820" width="12.33203125" style="176" customWidth="1"/>
    <col min="13821" max="13821" width="10.33203125" style="176" customWidth="1"/>
    <col min="13822" max="13822" width="10.1640625" style="176" customWidth="1"/>
    <col min="13823" max="13823" width="13" style="176" customWidth="1"/>
    <col min="13824" max="13824" width="12.5" style="176" customWidth="1"/>
    <col min="13825" max="13825" width="11.6640625" style="176" customWidth="1"/>
    <col min="13826" max="13826" width="11.33203125" style="176" customWidth="1"/>
    <col min="13827" max="13827" width="10.33203125" style="176" customWidth="1"/>
    <col min="13828" max="13828" width="12" style="176" customWidth="1"/>
    <col min="13829" max="14067" width="9.33203125" style="176"/>
    <col min="14068" max="14068" width="4.83203125" style="176" customWidth="1"/>
    <col min="14069" max="14069" width="27.33203125" style="176" customWidth="1"/>
    <col min="14070" max="14071" width="15.5" style="176" customWidth="1"/>
    <col min="14072" max="14072" width="13.6640625" style="176" customWidth="1"/>
    <col min="14073" max="14073" width="12.33203125" style="176" customWidth="1"/>
    <col min="14074" max="14074" width="13" style="176" bestFit="1" customWidth="1"/>
    <col min="14075" max="14075" width="11.33203125" style="176" customWidth="1"/>
    <col min="14076" max="14076" width="12.33203125" style="176" customWidth="1"/>
    <col min="14077" max="14077" width="10.33203125" style="176" customWidth="1"/>
    <col min="14078" max="14078" width="10.1640625" style="176" customWidth="1"/>
    <col min="14079" max="14079" width="13" style="176" customWidth="1"/>
    <col min="14080" max="14080" width="12.5" style="176" customWidth="1"/>
    <col min="14081" max="14081" width="11.6640625" style="176" customWidth="1"/>
    <col min="14082" max="14082" width="11.33203125" style="176" customWidth="1"/>
    <col min="14083" max="14083" width="10.33203125" style="176" customWidth="1"/>
    <col min="14084" max="14084" width="12" style="176" customWidth="1"/>
    <col min="14085" max="14323" width="9.33203125" style="176"/>
    <col min="14324" max="14324" width="4.83203125" style="176" customWidth="1"/>
    <col min="14325" max="14325" width="27.33203125" style="176" customWidth="1"/>
    <col min="14326" max="14327" width="15.5" style="176" customWidth="1"/>
    <col min="14328" max="14328" width="13.6640625" style="176" customWidth="1"/>
    <col min="14329" max="14329" width="12.33203125" style="176" customWidth="1"/>
    <col min="14330" max="14330" width="13" style="176" bestFit="1" customWidth="1"/>
    <col min="14331" max="14331" width="11.33203125" style="176" customWidth="1"/>
    <col min="14332" max="14332" width="12.33203125" style="176" customWidth="1"/>
    <col min="14333" max="14333" width="10.33203125" style="176" customWidth="1"/>
    <col min="14334" max="14334" width="10.1640625" style="176" customWidth="1"/>
    <col min="14335" max="14335" width="13" style="176" customWidth="1"/>
    <col min="14336" max="14336" width="12.5" style="176" customWidth="1"/>
    <col min="14337" max="14337" width="11.6640625" style="176" customWidth="1"/>
    <col min="14338" max="14338" width="11.33203125" style="176" customWidth="1"/>
    <col min="14339" max="14339" width="10.33203125" style="176" customWidth="1"/>
    <col min="14340" max="14340" width="12" style="176" customWidth="1"/>
    <col min="14341" max="14579" width="9.33203125" style="176"/>
    <col min="14580" max="14580" width="4.83203125" style="176" customWidth="1"/>
    <col min="14581" max="14581" width="27.33203125" style="176" customWidth="1"/>
    <col min="14582" max="14583" width="15.5" style="176" customWidth="1"/>
    <col min="14584" max="14584" width="13.6640625" style="176" customWidth="1"/>
    <col min="14585" max="14585" width="12.33203125" style="176" customWidth="1"/>
    <col min="14586" max="14586" width="13" style="176" bestFit="1" customWidth="1"/>
    <col min="14587" max="14587" width="11.33203125" style="176" customWidth="1"/>
    <col min="14588" max="14588" width="12.33203125" style="176" customWidth="1"/>
    <col min="14589" max="14589" width="10.33203125" style="176" customWidth="1"/>
    <col min="14590" max="14590" width="10.1640625" style="176" customWidth="1"/>
    <col min="14591" max="14591" width="13" style="176" customWidth="1"/>
    <col min="14592" max="14592" width="12.5" style="176" customWidth="1"/>
    <col min="14593" max="14593" width="11.6640625" style="176" customWidth="1"/>
    <col min="14594" max="14594" width="11.33203125" style="176" customWidth="1"/>
    <col min="14595" max="14595" width="10.33203125" style="176" customWidth="1"/>
    <col min="14596" max="14596" width="12" style="176" customWidth="1"/>
    <col min="14597" max="14835" width="9.33203125" style="176"/>
    <col min="14836" max="14836" width="4.83203125" style="176" customWidth="1"/>
    <col min="14837" max="14837" width="27.33203125" style="176" customWidth="1"/>
    <col min="14838" max="14839" width="15.5" style="176" customWidth="1"/>
    <col min="14840" max="14840" width="13.6640625" style="176" customWidth="1"/>
    <col min="14841" max="14841" width="12.33203125" style="176" customWidth="1"/>
    <col min="14842" max="14842" width="13" style="176" bestFit="1" customWidth="1"/>
    <col min="14843" max="14843" width="11.33203125" style="176" customWidth="1"/>
    <col min="14844" max="14844" width="12.33203125" style="176" customWidth="1"/>
    <col min="14845" max="14845" width="10.33203125" style="176" customWidth="1"/>
    <col min="14846" max="14846" width="10.1640625" style="176" customWidth="1"/>
    <col min="14847" max="14847" width="13" style="176" customWidth="1"/>
    <col min="14848" max="14848" width="12.5" style="176" customWidth="1"/>
    <col min="14849" max="14849" width="11.6640625" style="176" customWidth="1"/>
    <col min="14850" max="14850" width="11.33203125" style="176" customWidth="1"/>
    <col min="14851" max="14851" width="10.33203125" style="176" customWidth="1"/>
    <col min="14852" max="14852" width="12" style="176" customWidth="1"/>
    <col min="14853" max="15091" width="9.33203125" style="176"/>
    <col min="15092" max="15092" width="4.83203125" style="176" customWidth="1"/>
    <col min="15093" max="15093" width="27.33203125" style="176" customWidth="1"/>
    <col min="15094" max="15095" width="15.5" style="176" customWidth="1"/>
    <col min="15096" max="15096" width="13.6640625" style="176" customWidth="1"/>
    <col min="15097" max="15097" width="12.33203125" style="176" customWidth="1"/>
    <col min="15098" max="15098" width="13" style="176" bestFit="1" customWidth="1"/>
    <col min="15099" max="15099" width="11.33203125" style="176" customWidth="1"/>
    <col min="15100" max="15100" width="12.33203125" style="176" customWidth="1"/>
    <col min="15101" max="15101" width="10.33203125" style="176" customWidth="1"/>
    <col min="15102" max="15102" width="10.1640625" style="176" customWidth="1"/>
    <col min="15103" max="15103" width="13" style="176" customWidth="1"/>
    <col min="15104" max="15104" width="12.5" style="176" customWidth="1"/>
    <col min="15105" max="15105" width="11.6640625" style="176" customWidth="1"/>
    <col min="15106" max="15106" width="11.33203125" style="176" customWidth="1"/>
    <col min="15107" max="15107" width="10.33203125" style="176" customWidth="1"/>
    <col min="15108" max="15108" width="12" style="176" customWidth="1"/>
    <col min="15109" max="15347" width="9.33203125" style="176"/>
    <col min="15348" max="15348" width="4.83203125" style="176" customWidth="1"/>
    <col min="15349" max="15349" width="27.33203125" style="176" customWidth="1"/>
    <col min="15350" max="15351" width="15.5" style="176" customWidth="1"/>
    <col min="15352" max="15352" width="13.6640625" style="176" customWidth="1"/>
    <col min="15353" max="15353" width="12.33203125" style="176" customWidth="1"/>
    <col min="15354" max="15354" width="13" style="176" bestFit="1" customWidth="1"/>
    <col min="15355" max="15355" width="11.33203125" style="176" customWidth="1"/>
    <col min="15356" max="15356" width="12.33203125" style="176" customWidth="1"/>
    <col min="15357" max="15357" width="10.33203125" style="176" customWidth="1"/>
    <col min="15358" max="15358" width="10.1640625" style="176" customWidth="1"/>
    <col min="15359" max="15359" width="13" style="176" customWidth="1"/>
    <col min="15360" max="15360" width="12.5" style="176" customWidth="1"/>
    <col min="15361" max="15361" width="11.6640625" style="176" customWidth="1"/>
    <col min="15362" max="15362" width="11.33203125" style="176" customWidth="1"/>
    <col min="15363" max="15363" width="10.33203125" style="176" customWidth="1"/>
    <col min="15364" max="15364" width="12" style="176" customWidth="1"/>
    <col min="15365" max="15603" width="9.33203125" style="176"/>
    <col min="15604" max="15604" width="4.83203125" style="176" customWidth="1"/>
    <col min="15605" max="15605" width="27.33203125" style="176" customWidth="1"/>
    <col min="15606" max="15607" width="15.5" style="176" customWidth="1"/>
    <col min="15608" max="15608" width="13.6640625" style="176" customWidth="1"/>
    <col min="15609" max="15609" width="12.33203125" style="176" customWidth="1"/>
    <col min="15610" max="15610" width="13" style="176" bestFit="1" customWidth="1"/>
    <col min="15611" max="15611" width="11.33203125" style="176" customWidth="1"/>
    <col min="15612" max="15612" width="12.33203125" style="176" customWidth="1"/>
    <col min="15613" max="15613" width="10.33203125" style="176" customWidth="1"/>
    <col min="15614" max="15614" width="10.1640625" style="176" customWidth="1"/>
    <col min="15615" max="15615" width="13" style="176" customWidth="1"/>
    <col min="15616" max="15616" width="12.5" style="176" customWidth="1"/>
    <col min="15617" max="15617" width="11.6640625" style="176" customWidth="1"/>
    <col min="15618" max="15618" width="11.33203125" style="176" customWidth="1"/>
    <col min="15619" max="15619" width="10.33203125" style="176" customWidth="1"/>
    <col min="15620" max="15620" width="12" style="176" customWidth="1"/>
    <col min="15621" max="15859" width="9.33203125" style="176"/>
    <col min="15860" max="15860" width="4.83203125" style="176" customWidth="1"/>
    <col min="15861" max="15861" width="27.33203125" style="176" customWidth="1"/>
    <col min="15862" max="15863" width="15.5" style="176" customWidth="1"/>
    <col min="15864" max="15864" width="13.6640625" style="176" customWidth="1"/>
    <col min="15865" max="15865" width="12.33203125" style="176" customWidth="1"/>
    <col min="15866" max="15866" width="13" style="176" bestFit="1" customWidth="1"/>
    <col min="15867" max="15867" width="11.33203125" style="176" customWidth="1"/>
    <col min="15868" max="15868" width="12.33203125" style="176" customWidth="1"/>
    <col min="15869" max="15869" width="10.33203125" style="176" customWidth="1"/>
    <col min="15870" max="15870" width="10.1640625" style="176" customWidth="1"/>
    <col min="15871" max="15871" width="13" style="176" customWidth="1"/>
    <col min="15872" max="15872" width="12.5" style="176" customWidth="1"/>
    <col min="15873" max="15873" width="11.6640625" style="176" customWidth="1"/>
    <col min="15874" max="15874" width="11.33203125" style="176" customWidth="1"/>
    <col min="15875" max="15875" width="10.33203125" style="176" customWidth="1"/>
    <col min="15876" max="15876" width="12" style="176" customWidth="1"/>
    <col min="15877" max="16115" width="9.33203125" style="176"/>
    <col min="16116" max="16116" width="4.83203125" style="176" customWidth="1"/>
    <col min="16117" max="16117" width="27.33203125" style="176" customWidth="1"/>
    <col min="16118" max="16119" width="15.5" style="176" customWidth="1"/>
    <col min="16120" max="16120" width="13.6640625" style="176" customWidth="1"/>
    <col min="16121" max="16121" width="12.33203125" style="176" customWidth="1"/>
    <col min="16122" max="16122" width="13" style="176" bestFit="1" customWidth="1"/>
    <col min="16123" max="16123" width="11.33203125" style="176" customWidth="1"/>
    <col min="16124" max="16124" width="12.33203125" style="176" customWidth="1"/>
    <col min="16125" max="16125" width="10.33203125" style="176" customWidth="1"/>
    <col min="16126" max="16126" width="10.1640625" style="176" customWidth="1"/>
    <col min="16127" max="16127" width="13" style="176" customWidth="1"/>
    <col min="16128" max="16128" width="12.5" style="176" customWidth="1"/>
    <col min="16129" max="16129" width="11.6640625" style="176" customWidth="1"/>
    <col min="16130" max="16130" width="11.33203125" style="176" customWidth="1"/>
    <col min="16131" max="16131" width="10.33203125" style="176" customWidth="1"/>
    <col min="16132" max="16132" width="12" style="176" customWidth="1"/>
    <col min="16133" max="16384" width="9.33203125" style="176"/>
  </cols>
  <sheetData>
    <row r="1" spans="1:11" ht="11.25" customHeight="1"/>
    <row r="2" spans="1:11" ht="35.25" customHeight="1">
      <c r="A2" s="435" t="s">
        <v>267</v>
      </c>
      <c r="B2" s="435"/>
      <c r="C2" s="435"/>
      <c r="D2" s="435"/>
      <c r="E2" s="435"/>
      <c r="F2" s="435"/>
      <c r="G2" s="435"/>
      <c r="H2" s="435"/>
      <c r="I2" s="435"/>
      <c r="K2" s="178"/>
    </row>
    <row r="3" spans="1:11" ht="9.75" customHeight="1">
      <c r="A3" s="179"/>
      <c r="B3" s="179"/>
      <c r="C3" s="179"/>
      <c r="D3" s="179"/>
      <c r="E3" s="179"/>
      <c r="F3" s="179"/>
      <c r="G3" s="179"/>
      <c r="H3" s="179"/>
    </row>
    <row r="4" spans="1:11" s="180" customFormat="1" ht="19.5" customHeight="1">
      <c r="A4" s="436" t="s">
        <v>6</v>
      </c>
      <c r="B4" s="438" t="s">
        <v>268</v>
      </c>
      <c r="C4" s="438" t="s">
        <v>13</v>
      </c>
      <c r="D4" s="438" t="s">
        <v>269</v>
      </c>
      <c r="E4" s="408" t="s">
        <v>270</v>
      </c>
      <c r="F4" s="408"/>
      <c r="G4" s="408"/>
      <c r="H4" s="438" t="s">
        <v>271</v>
      </c>
      <c r="I4" s="438" t="s">
        <v>272</v>
      </c>
    </row>
    <row r="5" spans="1:11" ht="51" customHeight="1">
      <c r="A5" s="437"/>
      <c r="B5" s="438"/>
      <c r="C5" s="438"/>
      <c r="D5" s="438"/>
      <c r="E5" s="181" t="s">
        <v>273</v>
      </c>
      <c r="F5" s="181" t="s">
        <v>274</v>
      </c>
      <c r="G5" s="181" t="s">
        <v>275</v>
      </c>
      <c r="H5" s="438"/>
      <c r="I5" s="438"/>
    </row>
    <row r="6" spans="1:11" s="30" customFormat="1" ht="14.25" customHeight="1">
      <c r="A6" s="212">
        <v>1</v>
      </c>
      <c r="B6" s="182">
        <v>2</v>
      </c>
      <c r="C6" s="182">
        <v>3</v>
      </c>
      <c r="D6" s="182">
        <v>4</v>
      </c>
      <c r="E6" s="182">
        <v>5</v>
      </c>
      <c r="F6" s="182">
        <v>6</v>
      </c>
      <c r="G6" s="182">
        <v>7</v>
      </c>
      <c r="H6" s="182">
        <v>8</v>
      </c>
      <c r="I6" s="182">
        <v>9</v>
      </c>
    </row>
    <row r="7" spans="1:11" s="180" customFormat="1" ht="36" customHeight="1">
      <c r="A7" s="452" t="s">
        <v>7</v>
      </c>
      <c r="B7" s="184" t="s">
        <v>298</v>
      </c>
      <c r="C7" s="409" t="s">
        <v>299</v>
      </c>
      <c r="D7" s="409"/>
      <c r="E7" s="409"/>
      <c r="F7" s="409"/>
      <c r="G7" s="409"/>
      <c r="H7" s="409"/>
      <c r="I7" s="409"/>
    </row>
    <row r="8" spans="1:11" s="180" customFormat="1" ht="54" customHeight="1">
      <c r="A8" s="453"/>
      <c r="B8" s="184" t="s">
        <v>300</v>
      </c>
      <c r="C8" s="409"/>
      <c r="D8" s="409"/>
      <c r="E8" s="409"/>
      <c r="F8" s="409"/>
      <c r="G8" s="409"/>
      <c r="H8" s="409"/>
      <c r="I8" s="409"/>
    </row>
    <row r="9" spans="1:11" s="180" customFormat="1" ht="18.95" customHeight="1">
      <c r="A9" s="453"/>
      <c r="B9" s="270" t="s">
        <v>336</v>
      </c>
      <c r="C9" s="410">
        <v>71095</v>
      </c>
      <c r="D9" s="204">
        <f>SUM(E9:I9)</f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</row>
    <row r="10" spans="1:11" s="191" customFormat="1" ht="18.95" customHeight="1">
      <c r="A10" s="453"/>
      <c r="B10" s="187" t="s">
        <v>280</v>
      </c>
      <c r="C10" s="411"/>
      <c r="D10" s="189">
        <f>SUM(E10:I10)</f>
        <v>22770</v>
      </c>
      <c r="E10" s="190">
        <v>22770</v>
      </c>
      <c r="F10" s="190">
        <v>0</v>
      </c>
      <c r="G10" s="190">
        <v>0</v>
      </c>
      <c r="H10" s="190">
        <v>0</v>
      </c>
      <c r="I10" s="190">
        <v>0</v>
      </c>
    </row>
    <row r="11" spans="1:11" s="180" customFormat="1" ht="21.75" customHeight="1">
      <c r="A11" s="413" t="s">
        <v>8</v>
      </c>
      <c r="B11" s="184" t="s">
        <v>276</v>
      </c>
      <c r="C11" s="409" t="s">
        <v>277</v>
      </c>
      <c r="D11" s="409"/>
      <c r="E11" s="409"/>
      <c r="F11" s="409"/>
      <c r="G11" s="409"/>
      <c r="H11" s="409"/>
      <c r="I11" s="409"/>
    </row>
    <row r="12" spans="1:11" s="180" customFormat="1" ht="18.95" customHeight="1">
      <c r="A12" s="414"/>
      <c r="B12" s="184" t="s">
        <v>278</v>
      </c>
      <c r="C12" s="409"/>
      <c r="D12" s="409"/>
      <c r="E12" s="409"/>
      <c r="F12" s="409"/>
      <c r="G12" s="409"/>
      <c r="H12" s="409"/>
      <c r="I12" s="409"/>
    </row>
    <row r="13" spans="1:11" s="180" customFormat="1" ht="28.5" customHeight="1">
      <c r="A13" s="414"/>
      <c r="B13" s="199" t="s">
        <v>279</v>
      </c>
      <c r="C13" s="409"/>
      <c r="D13" s="409"/>
      <c r="E13" s="409"/>
      <c r="F13" s="409"/>
      <c r="G13" s="409"/>
      <c r="H13" s="409"/>
      <c r="I13" s="409"/>
    </row>
    <row r="14" spans="1:11" s="185" customFormat="1" ht="18.95" customHeight="1">
      <c r="A14" s="414"/>
      <c r="B14" s="203" t="s">
        <v>336</v>
      </c>
      <c r="C14" s="433">
        <v>80115</v>
      </c>
      <c r="D14" s="204">
        <f>SUM(E14:I14)</f>
        <v>490458.93</v>
      </c>
      <c r="E14" s="205">
        <v>0</v>
      </c>
      <c r="F14" s="205">
        <v>0</v>
      </c>
      <c r="G14" s="205">
        <v>0</v>
      </c>
      <c r="H14" s="205">
        <v>0</v>
      </c>
      <c r="I14" s="205">
        <v>490458.93</v>
      </c>
    </row>
    <row r="15" spans="1:11" s="191" customFormat="1" ht="18.95" customHeight="1">
      <c r="A15" s="415"/>
      <c r="B15" s="187" t="s">
        <v>280</v>
      </c>
      <c r="C15" s="434"/>
      <c r="D15" s="189">
        <f>SUM(E15:I15)</f>
        <v>153058</v>
      </c>
      <c r="E15" s="190">
        <v>0</v>
      </c>
      <c r="F15" s="190">
        <v>0</v>
      </c>
      <c r="G15" s="190">
        <v>0</v>
      </c>
      <c r="H15" s="190">
        <v>0</v>
      </c>
      <c r="I15" s="190">
        <f>134772+18286</f>
        <v>153058</v>
      </c>
    </row>
    <row r="16" spans="1:11" s="185" customFormat="1" ht="22.5" customHeight="1">
      <c r="A16" s="413" t="s">
        <v>9</v>
      </c>
      <c r="B16" s="184" t="s">
        <v>276</v>
      </c>
      <c r="C16" s="409" t="s">
        <v>277</v>
      </c>
      <c r="D16" s="409"/>
      <c r="E16" s="409"/>
      <c r="F16" s="409"/>
      <c r="G16" s="409"/>
      <c r="H16" s="409"/>
      <c r="I16" s="409"/>
    </row>
    <row r="17" spans="1:9" s="185" customFormat="1" ht="18" customHeight="1">
      <c r="A17" s="414"/>
      <c r="B17" s="184" t="s">
        <v>278</v>
      </c>
      <c r="C17" s="409"/>
      <c r="D17" s="409"/>
      <c r="E17" s="409"/>
      <c r="F17" s="409"/>
      <c r="G17" s="409"/>
      <c r="H17" s="409"/>
      <c r="I17" s="409"/>
    </row>
    <row r="18" spans="1:9" s="185" customFormat="1" ht="25.5" customHeight="1">
      <c r="A18" s="414"/>
      <c r="B18" s="186" t="s">
        <v>281</v>
      </c>
      <c r="C18" s="409"/>
      <c r="D18" s="409"/>
      <c r="E18" s="409"/>
      <c r="F18" s="409"/>
      <c r="G18" s="409"/>
      <c r="H18" s="409"/>
      <c r="I18" s="409"/>
    </row>
    <row r="19" spans="1:9" s="191" customFormat="1" ht="18.95" customHeight="1">
      <c r="A19" s="415"/>
      <c r="B19" s="187" t="s">
        <v>280</v>
      </c>
      <c r="C19" s="188">
        <v>80115</v>
      </c>
      <c r="D19" s="189">
        <f>SUM(E19:I19)</f>
        <v>507890</v>
      </c>
      <c r="E19" s="190">
        <v>0</v>
      </c>
      <c r="F19" s="190">
        <v>0</v>
      </c>
      <c r="G19" s="190">
        <v>0</v>
      </c>
      <c r="H19" s="190">
        <v>0</v>
      </c>
      <c r="I19" s="190">
        <v>507890</v>
      </c>
    </row>
    <row r="20" spans="1:9" s="185" customFormat="1" ht="18.95" customHeight="1">
      <c r="A20" s="413" t="s">
        <v>10</v>
      </c>
      <c r="B20" s="184" t="s">
        <v>276</v>
      </c>
      <c r="C20" s="409" t="s">
        <v>277</v>
      </c>
      <c r="D20" s="409"/>
      <c r="E20" s="409"/>
      <c r="F20" s="409"/>
      <c r="G20" s="409"/>
      <c r="H20" s="409"/>
      <c r="I20" s="409"/>
    </row>
    <row r="21" spans="1:9" s="185" customFormat="1" ht="39.75" customHeight="1">
      <c r="A21" s="414"/>
      <c r="B21" s="210" t="s">
        <v>282</v>
      </c>
      <c r="C21" s="409"/>
      <c r="D21" s="409"/>
      <c r="E21" s="409"/>
      <c r="F21" s="409"/>
      <c r="G21" s="409"/>
      <c r="H21" s="409"/>
      <c r="I21" s="409"/>
    </row>
    <row r="22" spans="1:9" s="185" customFormat="1" ht="43.15" customHeight="1">
      <c r="A22" s="414"/>
      <c r="B22" s="192" t="s">
        <v>283</v>
      </c>
      <c r="C22" s="409"/>
      <c r="D22" s="409"/>
      <c r="E22" s="409"/>
      <c r="F22" s="409"/>
      <c r="G22" s="409"/>
      <c r="H22" s="409"/>
      <c r="I22" s="409"/>
    </row>
    <row r="23" spans="1:9" s="185" customFormat="1" ht="18.75" customHeight="1">
      <c r="A23" s="414"/>
      <c r="B23" s="200" t="s">
        <v>336</v>
      </c>
      <c r="C23" s="410">
        <v>80195</v>
      </c>
      <c r="D23" s="201">
        <f>SUM(E23:I23)</f>
        <v>392293.4</v>
      </c>
      <c r="E23" s="202">
        <v>0</v>
      </c>
      <c r="F23" s="202">
        <v>0</v>
      </c>
      <c r="G23" s="202">
        <v>0</v>
      </c>
      <c r="H23" s="202">
        <v>43997.7</v>
      </c>
      <c r="I23" s="202">
        <v>348295.7</v>
      </c>
    </row>
    <row r="24" spans="1:9" s="191" customFormat="1" ht="18.75" customHeight="1">
      <c r="A24" s="415"/>
      <c r="B24" s="193" t="s">
        <v>280</v>
      </c>
      <c r="C24" s="411"/>
      <c r="D24" s="195">
        <f>SUM(E24:I24)</f>
        <v>196865</v>
      </c>
      <c r="E24" s="196">
        <v>0</v>
      </c>
      <c r="F24" s="196">
        <v>0</v>
      </c>
      <c r="G24" s="196">
        <v>0</v>
      </c>
      <c r="H24" s="196">
        <v>20345</v>
      </c>
      <c r="I24" s="196">
        <f>165942+10578</f>
        <v>176520</v>
      </c>
    </row>
    <row r="25" spans="1:9" s="185" customFormat="1" ht="18.75" customHeight="1">
      <c r="A25" s="413" t="s">
        <v>11</v>
      </c>
      <c r="B25" s="184" t="s">
        <v>276</v>
      </c>
      <c r="C25" s="409" t="s">
        <v>284</v>
      </c>
      <c r="D25" s="409"/>
      <c r="E25" s="409"/>
      <c r="F25" s="409"/>
      <c r="G25" s="409"/>
      <c r="H25" s="409"/>
      <c r="I25" s="409"/>
    </row>
    <row r="26" spans="1:9" s="185" customFormat="1" ht="38.25" customHeight="1">
      <c r="A26" s="414"/>
      <c r="B26" s="184" t="s">
        <v>282</v>
      </c>
      <c r="C26" s="409"/>
      <c r="D26" s="409"/>
      <c r="E26" s="409"/>
      <c r="F26" s="409"/>
      <c r="G26" s="409"/>
      <c r="H26" s="409"/>
      <c r="I26" s="409"/>
    </row>
    <row r="27" spans="1:9" s="185" customFormat="1" ht="33" customHeight="1">
      <c r="A27" s="414"/>
      <c r="B27" s="192" t="s">
        <v>285</v>
      </c>
      <c r="C27" s="409"/>
      <c r="D27" s="409"/>
      <c r="E27" s="409"/>
      <c r="F27" s="409"/>
      <c r="G27" s="409"/>
      <c r="H27" s="409"/>
      <c r="I27" s="409"/>
    </row>
    <row r="28" spans="1:9" s="185" customFormat="1" ht="18.75" customHeight="1">
      <c r="A28" s="414"/>
      <c r="B28" s="200" t="s">
        <v>336</v>
      </c>
      <c r="C28" s="410">
        <v>80195</v>
      </c>
      <c r="D28" s="201">
        <f>SUM(E28:I28)</f>
        <v>417822.41000000003</v>
      </c>
      <c r="E28" s="202">
        <v>0</v>
      </c>
      <c r="F28" s="202">
        <v>0</v>
      </c>
      <c r="G28" s="202">
        <v>0</v>
      </c>
      <c r="H28" s="202">
        <v>56049.39</v>
      </c>
      <c r="I28" s="202">
        <v>361773.02</v>
      </c>
    </row>
    <row r="29" spans="1:9" s="191" customFormat="1" ht="18.75" customHeight="1">
      <c r="A29" s="415"/>
      <c r="B29" s="193" t="s">
        <v>280</v>
      </c>
      <c r="C29" s="411"/>
      <c r="D29" s="195">
        <f>SUM(E29:I29)</f>
        <v>218610</v>
      </c>
      <c r="E29" s="196">
        <v>0</v>
      </c>
      <c r="F29" s="196">
        <v>0</v>
      </c>
      <c r="G29" s="196">
        <v>0</v>
      </c>
      <c r="H29" s="196">
        <v>11651</v>
      </c>
      <c r="I29" s="196">
        <f>97872+109087</f>
        <v>206959</v>
      </c>
    </row>
    <row r="30" spans="1:9" s="185" customFormat="1" ht="29.25" customHeight="1">
      <c r="A30" s="413" t="s">
        <v>73</v>
      </c>
      <c r="B30" s="184" t="s">
        <v>276</v>
      </c>
      <c r="C30" s="416" t="s">
        <v>286</v>
      </c>
      <c r="D30" s="417"/>
      <c r="E30" s="417"/>
      <c r="F30" s="417"/>
      <c r="G30" s="417"/>
      <c r="H30" s="417"/>
      <c r="I30" s="418"/>
    </row>
    <row r="31" spans="1:9" s="185" customFormat="1" ht="36" customHeight="1">
      <c r="A31" s="414"/>
      <c r="B31" s="184" t="s">
        <v>287</v>
      </c>
      <c r="C31" s="419"/>
      <c r="D31" s="420"/>
      <c r="E31" s="420"/>
      <c r="F31" s="420"/>
      <c r="G31" s="420"/>
      <c r="H31" s="420"/>
      <c r="I31" s="421"/>
    </row>
    <row r="32" spans="1:9" s="185" customFormat="1" ht="36" customHeight="1">
      <c r="A32" s="414"/>
      <c r="B32" s="192" t="s">
        <v>288</v>
      </c>
      <c r="C32" s="422"/>
      <c r="D32" s="423"/>
      <c r="E32" s="423"/>
      <c r="F32" s="423"/>
      <c r="G32" s="423"/>
      <c r="H32" s="423"/>
      <c r="I32" s="424"/>
    </row>
    <row r="33" spans="1:10" s="191" customFormat="1" ht="18.75" customHeight="1">
      <c r="A33" s="415"/>
      <c r="B33" s="193" t="s">
        <v>280</v>
      </c>
      <c r="C33" s="194">
        <v>80102</v>
      </c>
      <c r="D33" s="195">
        <f>SUM(E33:I33)</f>
        <v>96733</v>
      </c>
      <c r="E33" s="196"/>
      <c r="F33" s="196"/>
      <c r="G33" s="196"/>
      <c r="H33" s="196">
        <v>5524</v>
      </c>
      <c r="I33" s="196">
        <v>91209</v>
      </c>
    </row>
    <row r="34" spans="1:10" s="191" customFormat="1" ht="18.75" customHeight="1">
      <c r="A34" s="412" t="s">
        <v>72</v>
      </c>
      <c r="B34" s="184" t="s">
        <v>276</v>
      </c>
      <c r="C34" s="409" t="s">
        <v>277</v>
      </c>
      <c r="D34" s="409"/>
      <c r="E34" s="409"/>
      <c r="F34" s="409"/>
      <c r="G34" s="409"/>
      <c r="H34" s="409"/>
      <c r="I34" s="409"/>
    </row>
    <row r="35" spans="1:10" s="191" customFormat="1" ht="37.5" customHeight="1">
      <c r="A35" s="412"/>
      <c r="B35" s="184" t="s">
        <v>287</v>
      </c>
      <c r="C35" s="409"/>
      <c r="D35" s="409"/>
      <c r="E35" s="409"/>
      <c r="F35" s="409"/>
      <c r="G35" s="409"/>
      <c r="H35" s="409"/>
      <c r="I35" s="409"/>
    </row>
    <row r="36" spans="1:10" s="191" customFormat="1" ht="18.75" customHeight="1">
      <c r="A36" s="412"/>
      <c r="B36" s="192" t="s">
        <v>289</v>
      </c>
      <c r="C36" s="409"/>
      <c r="D36" s="409"/>
      <c r="E36" s="409"/>
      <c r="F36" s="409"/>
      <c r="G36" s="409"/>
      <c r="H36" s="409"/>
      <c r="I36" s="409"/>
    </row>
    <row r="37" spans="1:10" s="191" customFormat="1" ht="18.75" customHeight="1">
      <c r="A37" s="412"/>
      <c r="B37" s="193" t="s">
        <v>280</v>
      </c>
      <c r="C37" s="194">
        <v>80115</v>
      </c>
      <c r="D37" s="195">
        <f>SUM(E37:I37)</f>
        <v>204922</v>
      </c>
      <c r="E37" s="196"/>
      <c r="F37" s="196"/>
      <c r="G37" s="196"/>
      <c r="H37" s="196">
        <v>11701</v>
      </c>
      <c r="I37" s="196">
        <v>193221</v>
      </c>
      <c r="J37" s="197"/>
    </row>
    <row r="38" spans="1:10" s="191" customFormat="1" ht="18.75" customHeight="1">
      <c r="A38" s="413" t="s">
        <v>71</v>
      </c>
      <c r="B38" s="198" t="s">
        <v>290</v>
      </c>
      <c r="C38" s="416" t="s">
        <v>291</v>
      </c>
      <c r="D38" s="417"/>
      <c r="E38" s="417"/>
      <c r="F38" s="417"/>
      <c r="G38" s="417"/>
      <c r="H38" s="417"/>
      <c r="I38" s="418"/>
      <c r="J38" s="197"/>
    </row>
    <row r="39" spans="1:10" s="191" customFormat="1" ht="18.75" customHeight="1">
      <c r="A39" s="414"/>
      <c r="B39" s="199" t="s">
        <v>278</v>
      </c>
      <c r="C39" s="419"/>
      <c r="D39" s="420"/>
      <c r="E39" s="420"/>
      <c r="F39" s="420"/>
      <c r="G39" s="420"/>
      <c r="H39" s="420"/>
      <c r="I39" s="421"/>
      <c r="J39" s="197"/>
    </row>
    <row r="40" spans="1:10" s="191" customFormat="1" ht="27" customHeight="1">
      <c r="A40" s="414"/>
      <c r="B40" s="192" t="s">
        <v>292</v>
      </c>
      <c r="C40" s="422"/>
      <c r="D40" s="423"/>
      <c r="E40" s="423"/>
      <c r="F40" s="423"/>
      <c r="G40" s="423"/>
      <c r="H40" s="423"/>
      <c r="I40" s="424"/>
      <c r="J40" s="197"/>
    </row>
    <row r="41" spans="1:10" s="191" customFormat="1" ht="18.75" customHeight="1">
      <c r="A41" s="415"/>
      <c r="B41" s="193" t="s">
        <v>280</v>
      </c>
      <c r="C41" s="194">
        <v>80134</v>
      </c>
      <c r="D41" s="195">
        <f>SUM(E41:I41)</f>
        <v>104925</v>
      </c>
      <c r="E41" s="196"/>
      <c r="F41" s="196"/>
      <c r="G41" s="196"/>
      <c r="H41" s="196"/>
      <c r="I41" s="196">
        <v>104925</v>
      </c>
      <c r="J41" s="197"/>
    </row>
    <row r="42" spans="1:10" s="183" customFormat="1" ht="18.75" customHeight="1">
      <c r="A42" s="425" t="s">
        <v>70</v>
      </c>
      <c r="B42" s="278" t="s">
        <v>276</v>
      </c>
      <c r="C42" s="428" t="s">
        <v>293</v>
      </c>
      <c r="D42" s="428"/>
      <c r="E42" s="428"/>
      <c r="F42" s="428"/>
      <c r="G42" s="428"/>
      <c r="H42" s="428"/>
      <c r="I42" s="428"/>
    </row>
    <row r="43" spans="1:10" s="183" customFormat="1" ht="42.75" customHeight="1">
      <c r="A43" s="426"/>
      <c r="B43" s="278" t="s">
        <v>282</v>
      </c>
      <c r="C43" s="428"/>
      <c r="D43" s="428"/>
      <c r="E43" s="428"/>
      <c r="F43" s="428"/>
      <c r="G43" s="428"/>
      <c r="H43" s="428"/>
      <c r="I43" s="428"/>
    </row>
    <row r="44" spans="1:10" s="183" customFormat="1" ht="28.5" customHeight="1">
      <c r="A44" s="426"/>
      <c r="B44" s="279" t="s">
        <v>294</v>
      </c>
      <c r="C44" s="428"/>
      <c r="D44" s="428"/>
      <c r="E44" s="428"/>
      <c r="F44" s="428"/>
      <c r="G44" s="428"/>
      <c r="H44" s="428"/>
      <c r="I44" s="428"/>
    </row>
    <row r="45" spans="1:10" s="183" customFormat="1" ht="18.75" customHeight="1">
      <c r="A45" s="426"/>
      <c r="B45" s="275" t="s">
        <v>336</v>
      </c>
      <c r="C45" s="429" t="s">
        <v>295</v>
      </c>
      <c r="D45" s="276">
        <f>SUM(E45:I45)</f>
        <v>34154.979999999996</v>
      </c>
      <c r="E45" s="283">
        <v>10680</v>
      </c>
      <c r="F45" s="283"/>
      <c r="G45" s="283"/>
      <c r="H45" s="283"/>
      <c r="I45" s="283">
        <v>23474.98</v>
      </c>
    </row>
    <row r="46" spans="1:10" s="183" customFormat="1" ht="18.75" customHeight="1">
      <c r="A46" s="427"/>
      <c r="B46" s="275" t="s">
        <v>280</v>
      </c>
      <c r="C46" s="430"/>
      <c r="D46" s="276">
        <f>SUM(E46:I46)</f>
        <v>427583</v>
      </c>
      <c r="E46" s="277">
        <v>93400</v>
      </c>
      <c r="F46" s="277"/>
      <c r="G46" s="277"/>
      <c r="H46" s="277"/>
      <c r="I46" s="277">
        <f>331312+2871</f>
        <v>334183</v>
      </c>
    </row>
    <row r="47" spans="1:10" s="282" customFormat="1" ht="18.95" customHeight="1">
      <c r="A47" s="425" t="s">
        <v>68</v>
      </c>
      <c r="B47" s="278" t="s">
        <v>276</v>
      </c>
      <c r="C47" s="428" t="s">
        <v>293</v>
      </c>
      <c r="D47" s="428"/>
      <c r="E47" s="428"/>
      <c r="F47" s="428"/>
      <c r="G47" s="428"/>
      <c r="H47" s="428"/>
      <c r="I47" s="428"/>
    </row>
    <row r="48" spans="1:10" s="282" customFormat="1" ht="40.5" customHeight="1">
      <c r="A48" s="426"/>
      <c r="B48" s="278" t="s">
        <v>282</v>
      </c>
      <c r="C48" s="428"/>
      <c r="D48" s="428"/>
      <c r="E48" s="428"/>
      <c r="F48" s="428"/>
      <c r="G48" s="428"/>
      <c r="H48" s="428"/>
      <c r="I48" s="428"/>
    </row>
    <row r="49" spans="1:13" s="282" customFormat="1" ht="66.75" customHeight="1">
      <c r="A49" s="426"/>
      <c r="B49" s="278" t="s">
        <v>296</v>
      </c>
      <c r="C49" s="428"/>
      <c r="D49" s="428"/>
      <c r="E49" s="428"/>
      <c r="F49" s="428"/>
      <c r="G49" s="428"/>
      <c r="H49" s="428"/>
      <c r="I49" s="428"/>
    </row>
    <row r="50" spans="1:13" s="183" customFormat="1" ht="18.95" customHeight="1">
      <c r="A50" s="426"/>
      <c r="B50" s="280" t="s">
        <v>336</v>
      </c>
      <c r="C50" s="431">
        <v>85295</v>
      </c>
      <c r="D50" s="281">
        <f>SUM(E50:I50)</f>
        <v>986862.07000000007</v>
      </c>
      <c r="E50" s="277">
        <v>70574.740000000005</v>
      </c>
      <c r="F50" s="277">
        <v>0</v>
      </c>
      <c r="G50" s="277">
        <v>0</v>
      </c>
      <c r="H50" s="277">
        <v>125112.21</v>
      </c>
      <c r="I50" s="277">
        <f>791175.12</f>
        <v>791175.12</v>
      </c>
    </row>
    <row r="51" spans="1:13" s="183" customFormat="1" ht="18.95" customHeight="1">
      <c r="A51" s="427"/>
      <c r="B51" s="280" t="s">
        <v>280</v>
      </c>
      <c r="C51" s="432"/>
      <c r="D51" s="281">
        <f>SUM(E51:I51)</f>
        <v>1509422</v>
      </c>
      <c r="E51" s="277">
        <f>64200+126</f>
        <v>64326</v>
      </c>
      <c r="F51" s="277">
        <v>0</v>
      </c>
      <c r="G51" s="277">
        <v>0</v>
      </c>
      <c r="H51" s="277">
        <f>173777+23559</f>
        <v>197336</v>
      </c>
      <c r="I51" s="277">
        <f>957412+290348</f>
        <v>1247760</v>
      </c>
    </row>
    <row r="52" spans="1:13" s="207" customFormat="1" ht="23.25" customHeight="1">
      <c r="A52" s="408" t="s">
        <v>297</v>
      </c>
      <c r="B52" s="408"/>
      <c r="C52" s="408"/>
      <c r="D52" s="206">
        <f t="shared" ref="D52:I52" si="0">SUM(D10,D15,D19,D24,D29,D33,D37,D41,D46,D51)</f>
        <v>3442778</v>
      </c>
      <c r="E52" s="206">
        <f t="shared" si="0"/>
        <v>180496</v>
      </c>
      <c r="F52" s="206">
        <f t="shared" si="0"/>
        <v>0</v>
      </c>
      <c r="G52" s="206">
        <f t="shared" si="0"/>
        <v>0</v>
      </c>
      <c r="H52" s="206">
        <f t="shared" si="0"/>
        <v>246557</v>
      </c>
      <c r="I52" s="206">
        <f t="shared" si="0"/>
        <v>3015725</v>
      </c>
      <c r="M52" s="208"/>
    </row>
    <row r="53" spans="1:13" ht="15.75" customHeight="1"/>
    <row r="54" spans="1:13" ht="15.75" customHeight="1"/>
    <row r="55" spans="1:13" ht="15.75" customHeight="1">
      <c r="E55" s="209"/>
      <c r="G55" s="209"/>
    </row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heetProtection formatColumns="0" formatRows="0"/>
  <mergeCells count="35">
    <mergeCell ref="A2:I2"/>
    <mergeCell ref="A4:A5"/>
    <mergeCell ref="B4:B5"/>
    <mergeCell ref="C4:C5"/>
    <mergeCell ref="D4:D5"/>
    <mergeCell ref="E4:G4"/>
    <mergeCell ref="H4:H5"/>
    <mergeCell ref="I4:I5"/>
    <mergeCell ref="A30:A33"/>
    <mergeCell ref="C30:I32"/>
    <mergeCell ref="C34:I36"/>
    <mergeCell ref="A11:A15"/>
    <mergeCell ref="C11:I13"/>
    <mergeCell ref="C14:C15"/>
    <mergeCell ref="A16:A19"/>
    <mergeCell ref="C16:I18"/>
    <mergeCell ref="A20:A24"/>
    <mergeCell ref="C20:I22"/>
    <mergeCell ref="C23:C24"/>
    <mergeCell ref="A52:C52"/>
    <mergeCell ref="A7:A10"/>
    <mergeCell ref="C7:I8"/>
    <mergeCell ref="C9:C10"/>
    <mergeCell ref="A34:A37"/>
    <mergeCell ref="A38:A41"/>
    <mergeCell ref="C38:I40"/>
    <mergeCell ref="A42:A46"/>
    <mergeCell ref="C42:I44"/>
    <mergeCell ref="C45:C46"/>
    <mergeCell ref="A47:A51"/>
    <mergeCell ref="C47:I49"/>
    <mergeCell ref="C50:C51"/>
    <mergeCell ref="A25:A29"/>
    <mergeCell ref="C25:I27"/>
    <mergeCell ref="C28:C29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  <rowBreaks count="1" manualBreakCount="1">
    <brk id="3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76"/>
  <sheetViews>
    <sheetView zoomScaleNormal="100" workbookViewId="0">
      <pane ySplit="4" topLeftCell="A158" activePane="bottomLeft" state="frozen"/>
      <selection activeCell="A22" sqref="A22:XFD25"/>
      <selection pane="bottomLeft" activeCell="F89" sqref="F89"/>
    </sheetView>
  </sheetViews>
  <sheetFormatPr defaultColWidth="9.33203125" defaultRowHeight="12"/>
  <cols>
    <col min="1" max="1" width="6.33203125" style="124" customWidth="1"/>
    <col min="2" max="2" width="9.5" style="124" customWidth="1"/>
    <col min="3" max="3" width="10.1640625" style="125" customWidth="1"/>
    <col min="4" max="4" width="63.6640625" style="126" customWidth="1"/>
    <col min="5" max="6" width="17.83203125" style="127" customWidth="1"/>
    <col min="7" max="16384" width="9.33203125" style="128"/>
  </cols>
  <sheetData>
    <row r="1" spans="1:6" ht="12.75" customHeight="1"/>
    <row r="2" spans="1:6" ht="30.75" customHeight="1">
      <c r="A2" s="439" t="s">
        <v>262</v>
      </c>
      <c r="B2" s="439"/>
      <c r="C2" s="439"/>
      <c r="D2" s="439"/>
      <c r="E2" s="439"/>
      <c r="F2" s="439"/>
    </row>
    <row r="3" spans="1:6" ht="9.75" customHeight="1"/>
    <row r="4" spans="1:6" s="125" customFormat="1" ht="25.5" customHeight="1">
      <c r="A4" s="129" t="s">
        <v>0</v>
      </c>
      <c r="B4" s="129" t="s">
        <v>1</v>
      </c>
      <c r="C4" s="130" t="s">
        <v>26</v>
      </c>
      <c r="D4" s="131" t="s">
        <v>27</v>
      </c>
      <c r="E4" s="132" t="s">
        <v>28</v>
      </c>
      <c r="F4" s="132" t="s">
        <v>29</v>
      </c>
    </row>
    <row r="5" spans="1:6" s="137" customFormat="1" ht="17.25" customHeight="1">
      <c r="A5" s="133" t="s">
        <v>2</v>
      </c>
      <c r="B5" s="133"/>
      <c r="C5" s="134"/>
      <c r="D5" s="135" t="s">
        <v>198</v>
      </c>
      <c r="E5" s="136">
        <f>SUM(E6)</f>
        <v>11000</v>
      </c>
      <c r="F5" s="136">
        <f>SUM(F6)</f>
        <v>11000</v>
      </c>
    </row>
    <row r="6" spans="1:6" s="137" customFormat="1" ht="17.25" customHeight="1">
      <c r="A6" s="138"/>
      <c r="B6" s="138" t="s">
        <v>199</v>
      </c>
      <c r="C6" s="139"/>
      <c r="D6" s="140" t="s">
        <v>200</v>
      </c>
      <c r="E6" s="141">
        <f>SUM(E7)</f>
        <v>11000</v>
      </c>
      <c r="F6" s="141">
        <f>SUM(F8)</f>
        <v>11000</v>
      </c>
    </row>
    <row r="7" spans="1:6" s="137" customFormat="1" ht="42" customHeight="1">
      <c r="A7" s="142"/>
      <c r="B7" s="142"/>
      <c r="C7" s="143">
        <v>2110</v>
      </c>
      <c r="D7" s="144" t="s">
        <v>201</v>
      </c>
      <c r="E7" s="145">
        <v>11000</v>
      </c>
      <c r="F7" s="145"/>
    </row>
    <row r="8" spans="1:6" s="137" customFormat="1" ht="15.75" customHeight="1">
      <c r="A8" s="142"/>
      <c r="B8" s="142"/>
      <c r="C8" s="143">
        <v>4300</v>
      </c>
      <c r="D8" s="144" t="s">
        <v>202</v>
      </c>
      <c r="E8" s="145"/>
      <c r="F8" s="145">
        <v>11000</v>
      </c>
    </row>
    <row r="9" spans="1:6" s="137" customFormat="1" ht="17.25" customHeight="1">
      <c r="A9" s="133">
        <v>700</v>
      </c>
      <c r="B9" s="133"/>
      <c r="C9" s="134"/>
      <c r="D9" s="135" t="s">
        <v>203</v>
      </c>
      <c r="E9" s="136">
        <f>SUM(E10)</f>
        <v>280000</v>
      </c>
      <c r="F9" s="136">
        <f>SUM(F10)</f>
        <v>280000</v>
      </c>
    </row>
    <row r="10" spans="1:6" s="137" customFormat="1" ht="17.25" customHeight="1">
      <c r="A10" s="138"/>
      <c r="B10" s="138">
        <v>70005</v>
      </c>
      <c r="C10" s="139"/>
      <c r="D10" s="140" t="s">
        <v>204</v>
      </c>
      <c r="E10" s="141">
        <f>SUM(E11)</f>
        <v>280000</v>
      </c>
      <c r="F10" s="141">
        <f>SUM(F11:F26)</f>
        <v>280000</v>
      </c>
    </row>
    <row r="11" spans="1:6" s="137" customFormat="1" ht="42.75" customHeight="1">
      <c r="A11" s="142"/>
      <c r="B11" s="142"/>
      <c r="C11" s="143">
        <v>2110</v>
      </c>
      <c r="D11" s="144" t="s">
        <v>201</v>
      </c>
      <c r="E11" s="145">
        <v>280000</v>
      </c>
      <c r="F11" s="145"/>
    </row>
    <row r="12" spans="1:6" s="151" customFormat="1" ht="15.75" customHeight="1">
      <c r="A12" s="146"/>
      <c r="B12" s="146"/>
      <c r="C12" s="147">
        <v>4010</v>
      </c>
      <c r="D12" s="148" t="s">
        <v>205</v>
      </c>
      <c r="E12" s="149"/>
      <c r="F12" s="150">
        <v>43890</v>
      </c>
    </row>
    <row r="13" spans="1:6" s="151" customFormat="1" ht="15.75" customHeight="1">
      <c r="A13" s="146"/>
      <c r="B13" s="146"/>
      <c r="C13" s="147">
        <v>4110</v>
      </c>
      <c r="D13" s="148" t="s">
        <v>206</v>
      </c>
      <c r="E13" s="149"/>
      <c r="F13" s="150">
        <v>7545</v>
      </c>
    </row>
    <row r="14" spans="1:6" s="151" customFormat="1" ht="31.15" customHeight="1">
      <c r="A14" s="146"/>
      <c r="B14" s="146"/>
      <c r="C14" s="147">
        <v>4120</v>
      </c>
      <c r="D14" s="144" t="s">
        <v>207</v>
      </c>
      <c r="E14" s="149"/>
      <c r="F14" s="150">
        <v>1075</v>
      </c>
    </row>
    <row r="15" spans="1:6" s="151" customFormat="1" ht="15.75" customHeight="1">
      <c r="A15" s="146"/>
      <c r="B15" s="146"/>
      <c r="C15" s="147">
        <v>4170</v>
      </c>
      <c r="D15" s="148" t="s">
        <v>208</v>
      </c>
      <c r="E15" s="149"/>
      <c r="F15" s="149">
        <v>2000</v>
      </c>
    </row>
    <row r="16" spans="1:6" s="151" customFormat="1" ht="15.75" customHeight="1">
      <c r="A16" s="146"/>
      <c r="B16" s="146"/>
      <c r="C16" s="147">
        <v>4210</v>
      </c>
      <c r="D16" s="148" t="s">
        <v>209</v>
      </c>
      <c r="E16" s="149"/>
      <c r="F16" s="149">
        <v>435</v>
      </c>
    </row>
    <row r="17" spans="1:6" s="151" customFormat="1" ht="15.75" customHeight="1">
      <c r="A17" s="146"/>
      <c r="B17" s="146"/>
      <c r="C17" s="147">
        <v>4260</v>
      </c>
      <c r="D17" s="148" t="s">
        <v>210</v>
      </c>
      <c r="E17" s="149"/>
      <c r="F17" s="149">
        <v>10000</v>
      </c>
    </row>
    <row r="18" spans="1:6" s="151" customFormat="1" ht="15.75" customHeight="1">
      <c r="A18" s="146"/>
      <c r="B18" s="146"/>
      <c r="C18" s="147">
        <v>4270</v>
      </c>
      <c r="D18" s="148" t="s">
        <v>211</v>
      </c>
      <c r="E18" s="149"/>
      <c r="F18" s="149">
        <v>25000</v>
      </c>
    </row>
    <row r="19" spans="1:6" s="151" customFormat="1" ht="15.75" customHeight="1">
      <c r="A19" s="146"/>
      <c r="B19" s="146"/>
      <c r="C19" s="147">
        <v>4300</v>
      </c>
      <c r="D19" s="148" t="s">
        <v>202</v>
      </c>
      <c r="E19" s="149"/>
      <c r="F19" s="149">
        <v>60000</v>
      </c>
    </row>
    <row r="20" spans="1:6" s="151" customFormat="1" ht="15.75" customHeight="1">
      <c r="A20" s="146"/>
      <c r="B20" s="146"/>
      <c r="C20" s="147">
        <v>4390</v>
      </c>
      <c r="D20" s="148" t="s">
        <v>212</v>
      </c>
      <c r="E20" s="149"/>
      <c r="F20" s="149">
        <v>40000</v>
      </c>
    </row>
    <row r="21" spans="1:6" s="151" customFormat="1" ht="15.75" customHeight="1">
      <c r="A21" s="146"/>
      <c r="B21" s="146"/>
      <c r="C21" s="147">
        <v>4430</v>
      </c>
      <c r="D21" s="148" t="s">
        <v>213</v>
      </c>
      <c r="E21" s="149"/>
      <c r="F21" s="149">
        <v>4100</v>
      </c>
    </row>
    <row r="22" spans="1:6" s="151" customFormat="1" ht="15.75" customHeight="1">
      <c r="A22" s="146"/>
      <c r="B22" s="146"/>
      <c r="C22" s="147">
        <v>4480</v>
      </c>
      <c r="D22" s="148" t="s">
        <v>214</v>
      </c>
      <c r="E22" s="149"/>
      <c r="F22" s="149">
        <f>30000+16900</f>
        <v>46900</v>
      </c>
    </row>
    <row r="23" spans="1:6" s="151" customFormat="1" ht="15.75" customHeight="1">
      <c r="A23" s="146"/>
      <c r="B23" s="146"/>
      <c r="C23" s="147">
        <v>4520</v>
      </c>
      <c r="D23" s="148" t="s">
        <v>215</v>
      </c>
      <c r="E23" s="149"/>
      <c r="F23" s="149">
        <v>10000</v>
      </c>
    </row>
    <row r="24" spans="1:6" s="151" customFormat="1" ht="15.75" customHeight="1">
      <c r="A24" s="146"/>
      <c r="B24" s="146"/>
      <c r="C24" s="147">
        <v>4580</v>
      </c>
      <c r="D24" s="148" t="s">
        <v>216</v>
      </c>
      <c r="E24" s="149"/>
      <c r="F24" s="149">
        <v>3955</v>
      </c>
    </row>
    <row r="25" spans="1:6" s="151" customFormat="1" ht="15.75" customHeight="1">
      <c r="A25" s="146"/>
      <c r="B25" s="146"/>
      <c r="C25" s="147">
        <v>4590</v>
      </c>
      <c r="D25" s="148" t="s">
        <v>217</v>
      </c>
      <c r="E25" s="149"/>
      <c r="F25" s="149">
        <f>25000-16900</f>
        <v>8100</v>
      </c>
    </row>
    <row r="26" spans="1:6" s="151" customFormat="1" ht="15.75" customHeight="1">
      <c r="A26" s="146"/>
      <c r="B26" s="146"/>
      <c r="C26" s="147">
        <v>4610</v>
      </c>
      <c r="D26" s="148" t="s">
        <v>218</v>
      </c>
      <c r="E26" s="149"/>
      <c r="F26" s="149">
        <v>17000</v>
      </c>
    </row>
    <row r="27" spans="1:6" s="137" customFormat="1" ht="17.25" customHeight="1">
      <c r="A27" s="133">
        <v>710</v>
      </c>
      <c r="B27" s="133"/>
      <c r="C27" s="134"/>
      <c r="D27" s="135" t="s">
        <v>5</v>
      </c>
      <c r="E27" s="136">
        <f>SUM(E28,E34)</f>
        <v>1218000</v>
      </c>
      <c r="F27" s="136">
        <f>SUM(F28,F34)</f>
        <v>1218000</v>
      </c>
    </row>
    <row r="28" spans="1:6" s="137" customFormat="1" ht="17.25" customHeight="1">
      <c r="A28" s="138"/>
      <c r="B28" s="138" t="s">
        <v>219</v>
      </c>
      <c r="C28" s="139"/>
      <c r="D28" s="152" t="s">
        <v>220</v>
      </c>
      <c r="E28" s="141">
        <f>SUM(E29)</f>
        <v>365000</v>
      </c>
      <c r="F28" s="141">
        <f>SUM(F30:F33)</f>
        <v>365000</v>
      </c>
    </row>
    <row r="29" spans="1:6" s="137" customFormat="1" ht="42.75" customHeight="1">
      <c r="A29" s="142"/>
      <c r="B29" s="142"/>
      <c r="C29" s="143">
        <v>2110</v>
      </c>
      <c r="D29" s="144" t="s">
        <v>201</v>
      </c>
      <c r="E29" s="145">
        <v>365000</v>
      </c>
      <c r="F29" s="145"/>
    </row>
    <row r="30" spans="1:6" s="151" customFormat="1" ht="15.75" customHeight="1">
      <c r="A30" s="146"/>
      <c r="B30" s="146"/>
      <c r="C30" s="147">
        <v>4010</v>
      </c>
      <c r="D30" s="148" t="s">
        <v>205</v>
      </c>
      <c r="E30" s="149"/>
      <c r="F30" s="150">
        <v>226067</v>
      </c>
    </row>
    <row r="31" spans="1:6" s="151" customFormat="1" ht="15.75" customHeight="1">
      <c r="A31" s="146"/>
      <c r="B31" s="146"/>
      <c r="C31" s="147">
        <v>4110</v>
      </c>
      <c r="D31" s="148" t="s">
        <v>206</v>
      </c>
      <c r="E31" s="149"/>
      <c r="F31" s="150">
        <v>38860</v>
      </c>
    </row>
    <row r="32" spans="1:6" s="151" customFormat="1" ht="27.6" customHeight="1">
      <c r="A32" s="146"/>
      <c r="B32" s="146"/>
      <c r="C32" s="147">
        <v>4120</v>
      </c>
      <c r="D32" s="144" t="s">
        <v>207</v>
      </c>
      <c r="E32" s="149"/>
      <c r="F32" s="150">
        <v>5538</v>
      </c>
    </row>
    <row r="33" spans="1:6" s="151" customFormat="1" ht="15.75" customHeight="1">
      <c r="A33" s="146"/>
      <c r="B33" s="146"/>
      <c r="C33" s="147">
        <v>4300</v>
      </c>
      <c r="D33" s="148" t="s">
        <v>202</v>
      </c>
      <c r="E33" s="149"/>
      <c r="F33" s="149">
        <v>94535</v>
      </c>
    </row>
    <row r="34" spans="1:6" s="137" customFormat="1" ht="17.25" customHeight="1">
      <c r="A34" s="138"/>
      <c r="B34" s="138">
        <v>71015</v>
      </c>
      <c r="C34" s="139"/>
      <c r="D34" s="140" t="s">
        <v>221</v>
      </c>
      <c r="E34" s="141">
        <f>SUM(E35:E35)</f>
        <v>853000</v>
      </c>
      <c r="F34" s="141">
        <f>SUM(F36:F55)</f>
        <v>853000</v>
      </c>
    </row>
    <row r="35" spans="1:6" s="137" customFormat="1" ht="42.75" customHeight="1">
      <c r="A35" s="142"/>
      <c r="B35" s="142"/>
      <c r="C35" s="143">
        <v>2110</v>
      </c>
      <c r="D35" s="144" t="s">
        <v>201</v>
      </c>
      <c r="E35" s="145">
        <v>853000</v>
      </c>
      <c r="F35" s="145"/>
    </row>
    <row r="36" spans="1:6" s="137" customFormat="1" ht="15.75" customHeight="1">
      <c r="A36" s="142"/>
      <c r="B36" s="142"/>
      <c r="C36" s="143">
        <v>3020</v>
      </c>
      <c r="D36" s="144" t="s">
        <v>222</v>
      </c>
      <c r="E36" s="145"/>
      <c r="F36" s="145">
        <v>459</v>
      </c>
    </row>
    <row r="37" spans="1:6" s="137" customFormat="1" ht="15.75" customHeight="1">
      <c r="A37" s="142"/>
      <c r="B37" s="142"/>
      <c r="C37" s="143">
        <v>4010</v>
      </c>
      <c r="D37" s="144" t="s">
        <v>205</v>
      </c>
      <c r="E37" s="145"/>
      <c r="F37" s="145">
        <v>126224</v>
      </c>
    </row>
    <row r="38" spans="1:6" s="137" customFormat="1" ht="15.75" customHeight="1">
      <c r="A38" s="142"/>
      <c r="B38" s="142"/>
      <c r="C38" s="143">
        <v>4020</v>
      </c>
      <c r="D38" s="144" t="s">
        <v>223</v>
      </c>
      <c r="E38" s="145"/>
      <c r="F38" s="145">
        <v>415567</v>
      </c>
    </row>
    <row r="39" spans="1:6" s="137" customFormat="1" ht="15.75" customHeight="1">
      <c r="A39" s="142"/>
      <c r="B39" s="142"/>
      <c r="C39" s="143">
        <v>4040</v>
      </c>
      <c r="D39" s="144" t="s">
        <v>224</v>
      </c>
      <c r="E39" s="145"/>
      <c r="F39" s="145">
        <f>38215+475</f>
        <v>38690</v>
      </c>
    </row>
    <row r="40" spans="1:6" s="137" customFormat="1" ht="15.75" customHeight="1">
      <c r="A40" s="142"/>
      <c r="B40" s="142"/>
      <c r="C40" s="143">
        <v>4110</v>
      </c>
      <c r="D40" s="144" t="s">
        <v>206</v>
      </c>
      <c r="E40" s="145"/>
      <c r="F40" s="145">
        <v>99181</v>
      </c>
    </row>
    <row r="41" spans="1:6" s="137" customFormat="1" ht="25.5" customHeight="1">
      <c r="A41" s="142"/>
      <c r="B41" s="142"/>
      <c r="C41" s="143">
        <v>4120</v>
      </c>
      <c r="D41" s="144" t="s">
        <v>207</v>
      </c>
      <c r="E41" s="145"/>
      <c r="F41" s="145">
        <v>14210</v>
      </c>
    </row>
    <row r="42" spans="1:6" s="137" customFormat="1" ht="15.75" customHeight="1">
      <c r="A42" s="142"/>
      <c r="B42" s="142"/>
      <c r="C42" s="143">
        <v>4170</v>
      </c>
      <c r="D42" s="144" t="s">
        <v>208</v>
      </c>
      <c r="E42" s="145"/>
      <c r="F42" s="145">
        <v>8081</v>
      </c>
    </row>
    <row r="43" spans="1:6" s="137" customFormat="1" ht="15.75" customHeight="1">
      <c r="A43" s="142"/>
      <c r="B43" s="142"/>
      <c r="C43" s="143">
        <v>4210</v>
      </c>
      <c r="D43" s="144" t="s">
        <v>209</v>
      </c>
      <c r="E43" s="145"/>
      <c r="F43" s="145">
        <v>22583</v>
      </c>
    </row>
    <row r="44" spans="1:6" s="137" customFormat="1" ht="15.75" customHeight="1">
      <c r="A44" s="142"/>
      <c r="B44" s="142"/>
      <c r="C44" s="143">
        <v>4260</v>
      </c>
      <c r="D44" s="144" t="s">
        <v>210</v>
      </c>
      <c r="E44" s="145"/>
      <c r="F44" s="145">
        <v>14839</v>
      </c>
    </row>
    <row r="45" spans="1:6" s="137" customFormat="1" ht="15.75" customHeight="1">
      <c r="A45" s="142"/>
      <c r="B45" s="142"/>
      <c r="C45" s="143">
        <v>4270</v>
      </c>
      <c r="D45" s="144" t="s">
        <v>211</v>
      </c>
      <c r="E45" s="145"/>
      <c r="F45" s="145">
        <v>5822</v>
      </c>
    </row>
    <row r="46" spans="1:6" s="137" customFormat="1" ht="15.75" customHeight="1">
      <c r="A46" s="142"/>
      <c r="B46" s="142"/>
      <c r="C46" s="143">
        <v>4280</v>
      </c>
      <c r="D46" s="144" t="s">
        <v>225</v>
      </c>
      <c r="E46" s="145"/>
      <c r="F46" s="145">
        <v>924</v>
      </c>
    </row>
    <row r="47" spans="1:6" s="137" customFormat="1" ht="15.75" customHeight="1">
      <c r="A47" s="142"/>
      <c r="B47" s="142"/>
      <c r="C47" s="143">
        <v>4300</v>
      </c>
      <c r="D47" s="144" t="s">
        <v>202</v>
      </c>
      <c r="E47" s="145"/>
      <c r="F47" s="145">
        <v>73725</v>
      </c>
    </row>
    <row r="48" spans="1:6" s="137" customFormat="1" ht="15.75" customHeight="1">
      <c r="A48" s="142"/>
      <c r="B48" s="142"/>
      <c r="C48" s="143">
        <v>4360</v>
      </c>
      <c r="D48" s="144" t="s">
        <v>226</v>
      </c>
      <c r="E48" s="145"/>
      <c r="F48" s="145">
        <v>3288</v>
      </c>
    </row>
    <row r="49" spans="1:6" s="137" customFormat="1" ht="15.75" customHeight="1">
      <c r="A49" s="142"/>
      <c r="B49" s="142"/>
      <c r="C49" s="143">
        <v>4410</v>
      </c>
      <c r="D49" s="144" t="s">
        <v>227</v>
      </c>
      <c r="E49" s="145"/>
      <c r="F49" s="145">
        <v>3254</v>
      </c>
    </row>
    <row r="50" spans="1:6" s="137" customFormat="1" ht="15.75" customHeight="1">
      <c r="A50" s="142"/>
      <c r="B50" s="142"/>
      <c r="C50" s="143">
        <v>4430</v>
      </c>
      <c r="D50" s="144" t="s">
        <v>213</v>
      </c>
      <c r="E50" s="145"/>
      <c r="F50" s="145">
        <v>4596</v>
      </c>
    </row>
    <row r="51" spans="1:6" s="137" customFormat="1" ht="15.75" customHeight="1">
      <c r="A51" s="142"/>
      <c r="B51" s="142"/>
      <c r="C51" s="143">
        <v>4440</v>
      </c>
      <c r="D51" s="144" t="s">
        <v>228</v>
      </c>
      <c r="E51" s="145"/>
      <c r="F51" s="145">
        <v>13417</v>
      </c>
    </row>
    <row r="52" spans="1:6" s="137" customFormat="1" ht="15.75" customHeight="1">
      <c r="A52" s="142"/>
      <c r="B52" s="142"/>
      <c r="C52" s="143">
        <v>4480</v>
      </c>
      <c r="D52" s="144" t="s">
        <v>214</v>
      </c>
      <c r="E52" s="145"/>
      <c r="F52" s="145">
        <v>1271</v>
      </c>
    </row>
    <row r="53" spans="1:6" s="137" customFormat="1" ht="15.75" customHeight="1">
      <c r="A53" s="142"/>
      <c r="B53" s="142"/>
      <c r="C53" s="143">
        <v>4550</v>
      </c>
      <c r="D53" s="144" t="s">
        <v>229</v>
      </c>
      <c r="E53" s="145"/>
      <c r="F53" s="145">
        <v>1122</v>
      </c>
    </row>
    <row r="54" spans="1:6" s="137" customFormat="1" ht="15.75" customHeight="1">
      <c r="A54" s="142"/>
      <c r="B54" s="142"/>
      <c r="C54" s="143">
        <v>4610</v>
      </c>
      <c r="D54" s="144" t="s">
        <v>218</v>
      </c>
      <c r="E54" s="145"/>
      <c r="F54" s="145">
        <f>5100-475</f>
        <v>4625</v>
      </c>
    </row>
    <row r="55" spans="1:6" s="137" customFormat="1" ht="27.75" customHeight="1">
      <c r="A55" s="142"/>
      <c r="B55" s="142"/>
      <c r="C55" s="143">
        <v>4700</v>
      </c>
      <c r="D55" s="144" t="s">
        <v>230</v>
      </c>
      <c r="E55" s="145"/>
      <c r="F55" s="145">
        <v>1122</v>
      </c>
    </row>
    <row r="56" spans="1:6" s="137" customFormat="1" ht="16.5" customHeight="1">
      <c r="A56" s="133">
        <v>750</v>
      </c>
      <c r="B56" s="133"/>
      <c r="C56" s="134"/>
      <c r="D56" s="135" t="s">
        <v>231</v>
      </c>
      <c r="E56" s="136">
        <f>SUM(E57,E62)</f>
        <v>50708</v>
      </c>
      <c r="F56" s="136">
        <f>SUM(F57,F62)</f>
        <v>50708</v>
      </c>
    </row>
    <row r="57" spans="1:6" s="137" customFormat="1" ht="17.25" customHeight="1">
      <c r="A57" s="138"/>
      <c r="B57" s="138">
        <v>75011</v>
      </c>
      <c r="C57" s="139"/>
      <c r="D57" s="140" t="s">
        <v>232</v>
      </c>
      <c r="E57" s="141">
        <f>SUM(E58)</f>
        <v>32708</v>
      </c>
      <c r="F57" s="141">
        <f>SUM(F59:F61)</f>
        <v>32708</v>
      </c>
    </row>
    <row r="58" spans="1:6" s="137" customFormat="1" ht="42.75" customHeight="1">
      <c r="A58" s="142"/>
      <c r="B58" s="142"/>
      <c r="C58" s="143">
        <v>2110</v>
      </c>
      <c r="D58" s="144" t="s">
        <v>201</v>
      </c>
      <c r="E58" s="145">
        <v>32708</v>
      </c>
      <c r="F58" s="145"/>
    </row>
    <row r="59" spans="1:6" s="151" customFormat="1" ht="15.75" customHeight="1">
      <c r="A59" s="146"/>
      <c r="B59" s="146"/>
      <c r="C59" s="147">
        <v>4010</v>
      </c>
      <c r="D59" s="148" t="s">
        <v>205</v>
      </c>
      <c r="E59" s="149"/>
      <c r="F59" s="149">
        <v>27338</v>
      </c>
    </row>
    <row r="60" spans="1:6" s="151" customFormat="1" ht="15.75" customHeight="1">
      <c r="A60" s="146"/>
      <c r="B60" s="146"/>
      <c r="C60" s="147">
        <v>4110</v>
      </c>
      <c r="D60" s="148" t="s">
        <v>206</v>
      </c>
      <c r="E60" s="149"/>
      <c r="F60" s="149">
        <v>4700</v>
      </c>
    </row>
    <row r="61" spans="1:6" s="151" customFormat="1" ht="25.15" customHeight="1">
      <c r="A61" s="146"/>
      <c r="B61" s="146"/>
      <c r="C61" s="147">
        <v>4120</v>
      </c>
      <c r="D61" s="144" t="s">
        <v>207</v>
      </c>
      <c r="E61" s="149"/>
      <c r="F61" s="149">
        <v>670</v>
      </c>
    </row>
    <row r="62" spans="1:6" s="137" customFormat="1" ht="17.25" customHeight="1">
      <c r="A62" s="138"/>
      <c r="B62" s="138">
        <v>75045</v>
      </c>
      <c r="C62" s="139"/>
      <c r="D62" s="140" t="s">
        <v>233</v>
      </c>
      <c r="E62" s="141">
        <f>SUM(E63)</f>
        <v>18000</v>
      </c>
      <c r="F62" s="141">
        <f>SUM(F64:F68)</f>
        <v>18000</v>
      </c>
    </row>
    <row r="63" spans="1:6" s="137" customFormat="1" ht="42.75" customHeight="1">
      <c r="A63" s="142"/>
      <c r="B63" s="142"/>
      <c r="C63" s="143">
        <v>2110</v>
      </c>
      <c r="D63" s="144" t="s">
        <v>201</v>
      </c>
      <c r="E63" s="145">
        <v>18000</v>
      </c>
      <c r="F63" s="145"/>
    </row>
    <row r="64" spans="1:6" s="151" customFormat="1" ht="15.75" customHeight="1">
      <c r="A64" s="146"/>
      <c r="B64" s="146"/>
      <c r="C64" s="147">
        <v>4110</v>
      </c>
      <c r="D64" s="148" t="s">
        <v>206</v>
      </c>
      <c r="E64" s="149"/>
      <c r="F64" s="149">
        <v>2540</v>
      </c>
    </row>
    <row r="65" spans="1:6" s="151" customFormat="1" ht="25.9" customHeight="1">
      <c r="A65" s="146"/>
      <c r="B65" s="146"/>
      <c r="C65" s="147">
        <v>4120</v>
      </c>
      <c r="D65" s="144" t="s">
        <v>207</v>
      </c>
      <c r="E65" s="149"/>
      <c r="F65" s="149">
        <v>560</v>
      </c>
    </row>
    <row r="66" spans="1:6" s="151" customFormat="1" ht="15.75" customHeight="1">
      <c r="A66" s="146"/>
      <c r="B66" s="146"/>
      <c r="C66" s="147">
        <v>4170</v>
      </c>
      <c r="D66" s="148" t="s">
        <v>208</v>
      </c>
      <c r="E66" s="149"/>
      <c r="F66" s="149">
        <v>13200</v>
      </c>
    </row>
    <row r="67" spans="1:6" s="151" customFormat="1" ht="15.75" customHeight="1">
      <c r="A67" s="146"/>
      <c r="B67" s="146"/>
      <c r="C67" s="147">
        <v>4210</v>
      </c>
      <c r="D67" s="148" t="s">
        <v>209</v>
      </c>
      <c r="E67" s="149"/>
      <c r="F67" s="149">
        <v>1000</v>
      </c>
    </row>
    <row r="68" spans="1:6" s="151" customFormat="1" ht="15.75" customHeight="1">
      <c r="A68" s="146"/>
      <c r="B68" s="146"/>
      <c r="C68" s="147">
        <v>4300</v>
      </c>
      <c r="D68" s="148" t="s">
        <v>202</v>
      </c>
      <c r="E68" s="149"/>
      <c r="F68" s="149">
        <v>700</v>
      </c>
    </row>
    <row r="69" spans="1:6" s="151" customFormat="1" ht="15.75" customHeight="1">
      <c r="A69" s="133" t="s">
        <v>355</v>
      </c>
      <c r="B69" s="133"/>
      <c r="C69" s="133"/>
      <c r="D69" s="369" t="s">
        <v>356</v>
      </c>
      <c r="E69" s="372">
        <f>SUM(E70)</f>
        <v>84674</v>
      </c>
      <c r="F69" s="372">
        <f>SUM(F70)</f>
        <v>84674</v>
      </c>
    </row>
    <row r="70" spans="1:6" s="151" customFormat="1" ht="15.75" customHeight="1">
      <c r="A70" s="139"/>
      <c r="B70" s="139" t="s">
        <v>357</v>
      </c>
      <c r="C70" s="139"/>
      <c r="D70" s="370" t="s">
        <v>345</v>
      </c>
      <c r="E70" s="371">
        <f>SUM(E71)</f>
        <v>84674</v>
      </c>
      <c r="F70" s="371">
        <f>SUM(F71:F72)</f>
        <v>84674</v>
      </c>
    </row>
    <row r="71" spans="1:6" s="151" customFormat="1" ht="41.25" customHeight="1">
      <c r="A71" s="146"/>
      <c r="B71" s="146"/>
      <c r="C71" s="143">
        <v>2110</v>
      </c>
      <c r="D71" s="144" t="s">
        <v>201</v>
      </c>
      <c r="E71" s="149">
        <v>84674</v>
      </c>
      <c r="F71" s="149"/>
    </row>
    <row r="72" spans="1:6" s="151" customFormat="1" ht="15.75" customHeight="1">
      <c r="A72" s="146"/>
      <c r="B72" s="146"/>
      <c r="C72" s="147">
        <v>4210</v>
      </c>
      <c r="D72" s="148" t="s">
        <v>209</v>
      </c>
      <c r="E72" s="149"/>
      <c r="F72" s="149">
        <v>84674</v>
      </c>
    </row>
    <row r="73" spans="1:6" s="137" customFormat="1" ht="18" customHeight="1">
      <c r="A73" s="133">
        <v>754</v>
      </c>
      <c r="B73" s="133"/>
      <c r="C73" s="134"/>
      <c r="D73" s="135" t="s">
        <v>234</v>
      </c>
      <c r="E73" s="136">
        <f>SUM(E74)</f>
        <v>7561811</v>
      </c>
      <c r="F73" s="136">
        <f>SUM(F74)</f>
        <v>7561811</v>
      </c>
    </row>
    <row r="74" spans="1:6" s="137" customFormat="1" ht="17.25" customHeight="1">
      <c r="A74" s="138"/>
      <c r="B74" s="138">
        <v>75411</v>
      </c>
      <c r="C74" s="139"/>
      <c r="D74" s="140" t="s">
        <v>235</v>
      </c>
      <c r="E74" s="141">
        <f>SUM(E75,J77)</f>
        <v>7561811</v>
      </c>
      <c r="F74" s="141">
        <f>SUM(F76:F101)</f>
        <v>7561811</v>
      </c>
    </row>
    <row r="75" spans="1:6" s="137" customFormat="1" ht="42.75" customHeight="1">
      <c r="A75" s="142"/>
      <c r="B75" s="142"/>
      <c r="C75" s="143">
        <v>2110</v>
      </c>
      <c r="D75" s="144" t="s">
        <v>201</v>
      </c>
      <c r="E75" s="145">
        <f>7533110+28701</f>
        <v>7561811</v>
      </c>
      <c r="F75" s="145"/>
    </row>
    <row r="76" spans="1:6" s="137" customFormat="1" ht="28.5" customHeight="1">
      <c r="A76" s="142"/>
      <c r="B76" s="142"/>
      <c r="C76" s="143">
        <v>3070</v>
      </c>
      <c r="D76" s="144" t="s">
        <v>236</v>
      </c>
      <c r="E76" s="145"/>
      <c r="F76" s="145">
        <f>295529-21000</f>
        <v>274529</v>
      </c>
    </row>
    <row r="77" spans="1:6" s="137" customFormat="1" ht="15.75" customHeight="1">
      <c r="A77" s="142"/>
      <c r="B77" s="142"/>
      <c r="C77" s="143">
        <v>4010</v>
      </c>
      <c r="D77" s="144" t="s">
        <v>205</v>
      </c>
      <c r="E77" s="145"/>
      <c r="F77" s="145">
        <v>34324</v>
      </c>
    </row>
    <row r="78" spans="1:6" s="137" customFormat="1" ht="15.75" customHeight="1">
      <c r="A78" s="142"/>
      <c r="B78" s="142"/>
      <c r="C78" s="143">
        <v>4020</v>
      </c>
      <c r="D78" s="144" t="s">
        <v>223</v>
      </c>
      <c r="E78" s="145"/>
      <c r="F78" s="145">
        <v>121247</v>
      </c>
    </row>
    <row r="79" spans="1:6" s="137" customFormat="1" ht="15.75" customHeight="1">
      <c r="A79" s="142"/>
      <c r="B79" s="142"/>
      <c r="C79" s="143">
        <v>4040</v>
      </c>
      <c r="D79" s="144" t="s">
        <v>224</v>
      </c>
      <c r="E79" s="145"/>
      <c r="F79" s="145">
        <f>12713+1224</f>
        <v>13937</v>
      </c>
    </row>
    <row r="80" spans="1:6" s="137" customFormat="1" ht="15.75" customHeight="1">
      <c r="A80" s="142"/>
      <c r="B80" s="142"/>
      <c r="C80" s="143">
        <v>4050</v>
      </c>
      <c r="D80" s="144" t="s">
        <v>237</v>
      </c>
      <c r="E80" s="145"/>
      <c r="F80" s="145">
        <f>5642704-1997</f>
        <v>5640707</v>
      </c>
    </row>
    <row r="81" spans="1:6" s="137" customFormat="1" ht="29.25" customHeight="1">
      <c r="A81" s="142"/>
      <c r="B81" s="142"/>
      <c r="C81" s="143">
        <v>4060</v>
      </c>
      <c r="D81" s="144" t="s">
        <v>238</v>
      </c>
      <c r="E81" s="145"/>
      <c r="F81" s="145">
        <f>126961+1997</f>
        <v>128958</v>
      </c>
    </row>
    <row r="82" spans="1:6" s="137" customFormat="1" ht="29.25" customHeight="1">
      <c r="A82" s="142"/>
      <c r="B82" s="142"/>
      <c r="C82" s="143">
        <v>4070</v>
      </c>
      <c r="D82" s="144" t="s">
        <v>239</v>
      </c>
      <c r="E82" s="145"/>
      <c r="F82" s="145">
        <f>425889+27209</f>
        <v>453098</v>
      </c>
    </row>
    <row r="83" spans="1:6" s="137" customFormat="1" ht="15.75" customHeight="1">
      <c r="A83" s="142"/>
      <c r="B83" s="142"/>
      <c r="C83" s="143">
        <v>4110</v>
      </c>
      <c r="D83" s="144" t="s">
        <v>206</v>
      </c>
      <c r="E83" s="145"/>
      <c r="F83" s="145">
        <f>32294+229</f>
        <v>32523</v>
      </c>
    </row>
    <row r="84" spans="1:6" s="137" customFormat="1" ht="25.15" customHeight="1">
      <c r="A84" s="142"/>
      <c r="B84" s="142"/>
      <c r="C84" s="143">
        <v>4120</v>
      </c>
      <c r="D84" s="144" t="s">
        <v>207</v>
      </c>
      <c r="E84" s="145"/>
      <c r="F84" s="145">
        <f>4123+39</f>
        <v>4162</v>
      </c>
    </row>
    <row r="85" spans="1:6" s="137" customFormat="1" ht="15.75" customHeight="1">
      <c r="A85" s="142"/>
      <c r="B85" s="142"/>
      <c r="C85" s="143">
        <v>4170</v>
      </c>
      <c r="D85" s="144" t="s">
        <v>208</v>
      </c>
      <c r="E85" s="145"/>
      <c r="F85" s="145">
        <f>10842+16000</f>
        <v>26842</v>
      </c>
    </row>
    <row r="86" spans="1:6" s="137" customFormat="1" ht="29.25" customHeight="1">
      <c r="A86" s="142"/>
      <c r="B86" s="142"/>
      <c r="C86" s="143">
        <v>4180</v>
      </c>
      <c r="D86" s="144" t="s">
        <v>240</v>
      </c>
      <c r="E86" s="145"/>
      <c r="F86" s="145">
        <v>398510</v>
      </c>
    </row>
    <row r="87" spans="1:6" s="137" customFormat="1" ht="15.75" customHeight="1">
      <c r="A87" s="142"/>
      <c r="B87" s="142"/>
      <c r="C87" s="143">
        <v>4210</v>
      </c>
      <c r="D87" s="144" t="s">
        <v>209</v>
      </c>
      <c r="E87" s="145"/>
      <c r="F87" s="145">
        <v>123000</v>
      </c>
    </row>
    <row r="88" spans="1:6" s="137" customFormat="1" ht="15.75" customHeight="1">
      <c r="A88" s="142"/>
      <c r="B88" s="142"/>
      <c r="C88" s="143">
        <v>4220</v>
      </c>
      <c r="D88" s="144" t="s">
        <v>241</v>
      </c>
      <c r="E88" s="145"/>
      <c r="F88" s="145">
        <v>11000</v>
      </c>
    </row>
    <row r="89" spans="1:6" s="137" customFormat="1" ht="15.75" customHeight="1">
      <c r="A89" s="142"/>
      <c r="B89" s="142"/>
      <c r="C89" s="143">
        <v>4230</v>
      </c>
      <c r="D89" s="144" t="s">
        <v>242</v>
      </c>
      <c r="E89" s="145"/>
      <c r="F89" s="145">
        <v>8000</v>
      </c>
    </row>
    <row r="90" spans="1:6" s="137" customFormat="1" ht="15.75" customHeight="1">
      <c r="A90" s="142"/>
      <c r="B90" s="142"/>
      <c r="C90" s="143">
        <v>4250</v>
      </c>
      <c r="D90" s="144" t="s">
        <v>243</v>
      </c>
      <c r="E90" s="145"/>
      <c r="F90" s="145">
        <v>12000</v>
      </c>
    </row>
    <row r="91" spans="1:6" s="137" customFormat="1" ht="15.75" customHeight="1">
      <c r="A91" s="142"/>
      <c r="B91" s="142"/>
      <c r="C91" s="143">
        <v>4260</v>
      </c>
      <c r="D91" s="144" t="s">
        <v>210</v>
      </c>
      <c r="E91" s="145"/>
      <c r="F91" s="145">
        <v>64486</v>
      </c>
    </row>
    <row r="92" spans="1:6" s="137" customFormat="1" ht="15.75" customHeight="1">
      <c r="A92" s="142"/>
      <c r="B92" s="142"/>
      <c r="C92" s="143">
        <v>4270</v>
      </c>
      <c r="D92" s="144" t="s">
        <v>211</v>
      </c>
      <c r="E92" s="145"/>
      <c r="F92" s="145">
        <v>60200</v>
      </c>
    </row>
    <row r="93" spans="1:6" s="137" customFormat="1" ht="15.75" customHeight="1">
      <c r="A93" s="142"/>
      <c r="B93" s="142"/>
      <c r="C93" s="143">
        <v>4280</v>
      </c>
      <c r="D93" s="144" t="s">
        <v>225</v>
      </c>
      <c r="E93" s="145"/>
      <c r="F93" s="145">
        <v>29300</v>
      </c>
    </row>
    <row r="94" spans="1:6" s="137" customFormat="1" ht="15.75" customHeight="1">
      <c r="A94" s="142"/>
      <c r="B94" s="142"/>
      <c r="C94" s="143">
        <v>4300</v>
      </c>
      <c r="D94" s="144" t="s">
        <v>202</v>
      </c>
      <c r="E94" s="145"/>
      <c r="F94" s="145">
        <v>61000</v>
      </c>
    </row>
    <row r="95" spans="1:6" s="137" customFormat="1" ht="15.75" customHeight="1">
      <c r="A95" s="142"/>
      <c r="B95" s="142"/>
      <c r="C95" s="143">
        <v>4360</v>
      </c>
      <c r="D95" s="144" t="s">
        <v>226</v>
      </c>
      <c r="E95" s="145"/>
      <c r="F95" s="145">
        <v>8562</v>
      </c>
    </row>
    <row r="96" spans="1:6" s="137" customFormat="1" ht="15.75" customHeight="1">
      <c r="A96" s="142"/>
      <c r="B96" s="142"/>
      <c r="C96" s="143">
        <v>4410</v>
      </c>
      <c r="D96" s="144" t="s">
        <v>227</v>
      </c>
      <c r="E96" s="145"/>
      <c r="F96" s="145">
        <f>5000+5000</f>
        <v>10000</v>
      </c>
    </row>
    <row r="97" spans="1:9" s="137" customFormat="1" ht="15.75" customHeight="1">
      <c r="A97" s="142"/>
      <c r="B97" s="142"/>
      <c r="C97" s="143">
        <v>4430</v>
      </c>
      <c r="D97" s="144" t="s">
        <v>213</v>
      </c>
      <c r="E97" s="145"/>
      <c r="F97" s="145">
        <v>5700</v>
      </c>
    </row>
    <row r="98" spans="1:9" s="137" customFormat="1" ht="15.75" customHeight="1">
      <c r="A98" s="142"/>
      <c r="B98" s="142"/>
      <c r="C98" s="143">
        <v>4440</v>
      </c>
      <c r="D98" s="144" t="s">
        <v>228</v>
      </c>
      <c r="E98" s="145"/>
      <c r="F98" s="145">
        <v>6201</v>
      </c>
    </row>
    <row r="99" spans="1:9" s="137" customFormat="1" ht="15.75" customHeight="1">
      <c r="A99" s="142"/>
      <c r="B99" s="142"/>
      <c r="C99" s="143">
        <v>4480</v>
      </c>
      <c r="D99" s="144" t="s">
        <v>214</v>
      </c>
      <c r="E99" s="145"/>
      <c r="F99" s="145">
        <v>24325</v>
      </c>
    </row>
    <row r="100" spans="1:9" s="137" customFormat="1" ht="15.75" customHeight="1">
      <c r="A100" s="142"/>
      <c r="B100" s="142"/>
      <c r="C100" s="143">
        <v>4550</v>
      </c>
      <c r="D100" s="144" t="s">
        <v>229</v>
      </c>
      <c r="E100" s="145"/>
      <c r="F100" s="145">
        <v>3700</v>
      </c>
    </row>
    <row r="101" spans="1:9" s="137" customFormat="1" ht="28.5" customHeight="1">
      <c r="A101" s="142"/>
      <c r="B101" s="142"/>
      <c r="C101" s="143">
        <v>4700</v>
      </c>
      <c r="D101" s="144" t="s">
        <v>230</v>
      </c>
      <c r="E101" s="145"/>
      <c r="F101" s="145">
        <v>5500</v>
      </c>
    </row>
    <row r="102" spans="1:9" s="137" customFormat="1" ht="17.25" customHeight="1">
      <c r="A102" s="133" t="s">
        <v>244</v>
      </c>
      <c r="B102" s="133"/>
      <c r="C102" s="134"/>
      <c r="D102" s="135" t="s">
        <v>245</v>
      </c>
      <c r="E102" s="136">
        <f>AVERAGE(E103)</f>
        <v>330000</v>
      </c>
      <c r="F102" s="136">
        <f>AVERAGE(F103)</f>
        <v>330000</v>
      </c>
    </row>
    <row r="103" spans="1:9" s="137" customFormat="1" ht="17.25" customHeight="1">
      <c r="A103" s="138"/>
      <c r="B103" s="138" t="s">
        <v>246</v>
      </c>
      <c r="C103" s="139"/>
      <c r="D103" s="140" t="s">
        <v>247</v>
      </c>
      <c r="E103" s="141">
        <f>SUM(E104)</f>
        <v>330000</v>
      </c>
      <c r="F103" s="141">
        <f>SUM(F105:F109)</f>
        <v>330000</v>
      </c>
    </row>
    <row r="104" spans="1:9" s="137" customFormat="1" ht="47.25" customHeight="1">
      <c r="A104" s="142"/>
      <c r="B104" s="142"/>
      <c r="C104" s="143">
        <v>2110</v>
      </c>
      <c r="D104" s="153" t="s">
        <v>201</v>
      </c>
      <c r="E104" s="145">
        <v>330000</v>
      </c>
      <c r="F104" s="145"/>
    </row>
    <row r="105" spans="1:9" s="151" customFormat="1" ht="15.75" customHeight="1">
      <c r="A105" s="146"/>
      <c r="B105" s="146"/>
      <c r="C105" s="154">
        <v>4010</v>
      </c>
      <c r="D105" s="148" t="s">
        <v>205</v>
      </c>
      <c r="E105" s="155"/>
      <c r="F105" s="149">
        <v>5400</v>
      </c>
    </row>
    <row r="106" spans="1:9" s="151" customFormat="1" ht="15.75" customHeight="1">
      <c r="A106" s="146"/>
      <c r="B106" s="146"/>
      <c r="C106" s="154">
        <v>4110</v>
      </c>
      <c r="D106" s="148" t="s">
        <v>206</v>
      </c>
      <c r="E106" s="155"/>
      <c r="F106" s="149">
        <v>924</v>
      </c>
    </row>
    <row r="107" spans="1:9" s="151" customFormat="1" ht="23.45" customHeight="1">
      <c r="A107" s="146"/>
      <c r="B107" s="146"/>
      <c r="C107" s="154">
        <v>4120</v>
      </c>
      <c r="D107" s="144" t="s">
        <v>207</v>
      </c>
      <c r="E107" s="155"/>
      <c r="F107" s="149">
        <v>132</v>
      </c>
    </row>
    <row r="108" spans="1:9" s="151" customFormat="1" ht="15.75" customHeight="1">
      <c r="A108" s="146"/>
      <c r="B108" s="146"/>
      <c r="C108" s="147">
        <v>4210</v>
      </c>
      <c r="D108" s="156" t="s">
        <v>209</v>
      </c>
      <c r="E108" s="149"/>
      <c r="F108" s="149">
        <v>5964</v>
      </c>
    </row>
    <row r="109" spans="1:9" s="151" customFormat="1" ht="15.75" customHeight="1">
      <c r="A109" s="146"/>
      <c r="B109" s="146"/>
      <c r="C109" s="147">
        <v>4300</v>
      </c>
      <c r="D109" s="148" t="s">
        <v>202</v>
      </c>
      <c r="E109" s="149"/>
      <c r="F109" s="149">
        <v>317580</v>
      </c>
      <c r="I109" s="157"/>
    </row>
    <row r="110" spans="1:9" s="137" customFormat="1" ht="17.25" customHeight="1">
      <c r="A110" s="133">
        <v>851</v>
      </c>
      <c r="B110" s="133"/>
      <c r="C110" s="134"/>
      <c r="D110" s="135" t="s">
        <v>248</v>
      </c>
      <c r="E110" s="136">
        <f>SUM(E111)</f>
        <v>1123600</v>
      </c>
      <c r="F110" s="136">
        <f>SUM(F111)</f>
        <v>1123600</v>
      </c>
    </row>
    <row r="111" spans="1:9" s="137" customFormat="1" ht="33.75" customHeight="1">
      <c r="A111" s="138"/>
      <c r="B111" s="138">
        <v>85156</v>
      </c>
      <c r="C111" s="139"/>
      <c r="D111" s="140" t="s">
        <v>249</v>
      </c>
      <c r="E111" s="141">
        <f>E112</f>
        <v>1123600</v>
      </c>
      <c r="F111" s="141">
        <f>F113</f>
        <v>1123600</v>
      </c>
    </row>
    <row r="112" spans="1:9" s="137" customFormat="1" ht="42.75" customHeight="1">
      <c r="A112" s="142"/>
      <c r="B112" s="142"/>
      <c r="C112" s="143">
        <v>2110</v>
      </c>
      <c r="D112" s="144" t="s">
        <v>201</v>
      </c>
      <c r="E112" s="145">
        <v>1123600</v>
      </c>
      <c r="F112" s="145"/>
    </row>
    <row r="113" spans="1:6" s="137" customFormat="1" ht="15.75" customHeight="1">
      <c r="A113" s="142"/>
      <c r="B113" s="142"/>
      <c r="C113" s="143">
        <v>4130</v>
      </c>
      <c r="D113" s="144" t="s">
        <v>250</v>
      </c>
      <c r="E113" s="145"/>
      <c r="F113" s="145">
        <v>1123600</v>
      </c>
    </row>
    <row r="114" spans="1:6" s="137" customFormat="1" ht="17.25" customHeight="1">
      <c r="A114" s="133" t="s">
        <v>251</v>
      </c>
      <c r="B114" s="133"/>
      <c r="C114" s="134"/>
      <c r="D114" s="135" t="s">
        <v>252</v>
      </c>
      <c r="E114" s="136">
        <f>E115</f>
        <v>846165</v>
      </c>
      <c r="F114" s="136">
        <f>F115</f>
        <v>846165</v>
      </c>
    </row>
    <row r="115" spans="1:6" s="137" customFormat="1" ht="17.25" customHeight="1">
      <c r="A115" s="138"/>
      <c r="B115" s="138">
        <v>85203</v>
      </c>
      <c r="C115" s="139"/>
      <c r="D115" s="140" t="s">
        <v>253</v>
      </c>
      <c r="E115" s="141">
        <f>SUM(E116,)</f>
        <v>846165</v>
      </c>
      <c r="F115" s="141">
        <f>SUM(F117:F135)</f>
        <v>846165</v>
      </c>
    </row>
    <row r="116" spans="1:6" s="137" customFormat="1" ht="43.5" customHeight="1">
      <c r="A116" s="142"/>
      <c r="B116" s="142"/>
      <c r="C116" s="143">
        <v>2110</v>
      </c>
      <c r="D116" s="144" t="s">
        <v>201</v>
      </c>
      <c r="E116" s="145">
        <v>846165</v>
      </c>
      <c r="F116" s="145"/>
    </row>
    <row r="117" spans="1:6" s="137" customFormat="1" ht="15.75" customHeight="1">
      <c r="A117" s="142"/>
      <c r="B117" s="142"/>
      <c r="C117" s="147">
        <v>3020</v>
      </c>
      <c r="D117" s="144" t="s">
        <v>222</v>
      </c>
      <c r="E117" s="149"/>
      <c r="F117" s="149">
        <v>321</v>
      </c>
    </row>
    <row r="118" spans="1:6" s="151" customFormat="1" ht="15.75" customHeight="1">
      <c r="A118" s="146"/>
      <c r="B118" s="146"/>
      <c r="C118" s="147">
        <v>4010</v>
      </c>
      <c r="D118" s="148" t="s">
        <v>205</v>
      </c>
      <c r="E118" s="149"/>
      <c r="F118" s="149">
        <v>517571</v>
      </c>
    </row>
    <row r="119" spans="1:6" s="151" customFormat="1" ht="15.75" customHeight="1">
      <c r="A119" s="146"/>
      <c r="B119" s="146"/>
      <c r="C119" s="147">
        <v>4040</v>
      </c>
      <c r="D119" s="148" t="s">
        <v>224</v>
      </c>
      <c r="E119" s="149"/>
      <c r="F119" s="149">
        <v>36745</v>
      </c>
    </row>
    <row r="120" spans="1:6" s="151" customFormat="1" ht="15.75" customHeight="1">
      <c r="A120" s="146"/>
      <c r="B120" s="146"/>
      <c r="C120" s="147">
        <v>4110</v>
      </c>
      <c r="D120" s="148" t="s">
        <v>206</v>
      </c>
      <c r="E120" s="149"/>
      <c r="F120" s="149">
        <v>93970</v>
      </c>
    </row>
    <row r="121" spans="1:6" s="151" customFormat="1" ht="30.6" customHeight="1">
      <c r="A121" s="146"/>
      <c r="B121" s="146"/>
      <c r="C121" s="147">
        <v>4120</v>
      </c>
      <c r="D121" s="144" t="s">
        <v>207</v>
      </c>
      <c r="E121" s="149"/>
      <c r="F121" s="149">
        <v>10650</v>
      </c>
    </row>
    <row r="122" spans="1:6" s="151" customFormat="1" ht="15.75" customHeight="1">
      <c r="A122" s="146"/>
      <c r="B122" s="146"/>
      <c r="C122" s="147">
        <v>4170</v>
      </c>
      <c r="D122" s="148" t="s">
        <v>208</v>
      </c>
      <c r="E122" s="149"/>
      <c r="F122" s="149">
        <v>6780</v>
      </c>
    </row>
    <row r="123" spans="1:6" s="151" customFormat="1" ht="15.75" customHeight="1">
      <c r="A123" s="146"/>
      <c r="B123" s="146"/>
      <c r="C123" s="147">
        <v>4210</v>
      </c>
      <c r="D123" s="148" t="s">
        <v>209</v>
      </c>
      <c r="E123" s="149"/>
      <c r="F123" s="149">
        <v>23901</v>
      </c>
    </row>
    <row r="124" spans="1:6" s="151" customFormat="1" ht="15.75" customHeight="1">
      <c r="A124" s="146"/>
      <c r="B124" s="146"/>
      <c r="C124" s="147">
        <v>4220</v>
      </c>
      <c r="D124" s="148" t="s">
        <v>241</v>
      </c>
      <c r="E124" s="149"/>
      <c r="F124" s="149">
        <v>19380</v>
      </c>
    </row>
    <row r="125" spans="1:6" s="151" customFormat="1" ht="15.75" customHeight="1">
      <c r="A125" s="146"/>
      <c r="B125" s="146"/>
      <c r="C125" s="147">
        <v>4260</v>
      </c>
      <c r="D125" s="148" t="s">
        <v>210</v>
      </c>
      <c r="E125" s="149"/>
      <c r="F125" s="149">
        <v>9600</v>
      </c>
    </row>
    <row r="126" spans="1:6" s="151" customFormat="1" ht="15.75" customHeight="1">
      <c r="A126" s="146"/>
      <c r="B126" s="146"/>
      <c r="C126" s="147">
        <v>4270</v>
      </c>
      <c r="D126" s="148" t="s">
        <v>211</v>
      </c>
      <c r="E126" s="149"/>
      <c r="F126" s="149">
        <v>10984</v>
      </c>
    </row>
    <row r="127" spans="1:6" s="151" customFormat="1" ht="15.75" customHeight="1">
      <c r="A127" s="146"/>
      <c r="B127" s="146"/>
      <c r="C127" s="147">
        <v>4280</v>
      </c>
      <c r="D127" s="148" t="s">
        <v>225</v>
      </c>
      <c r="E127" s="149"/>
      <c r="F127" s="149">
        <v>450</v>
      </c>
    </row>
    <row r="128" spans="1:6" s="151" customFormat="1" ht="15.75" customHeight="1">
      <c r="A128" s="146"/>
      <c r="B128" s="146"/>
      <c r="C128" s="147">
        <v>4300</v>
      </c>
      <c r="D128" s="148" t="s">
        <v>202</v>
      </c>
      <c r="E128" s="149"/>
      <c r="F128" s="149">
        <v>78656</v>
      </c>
    </row>
    <row r="129" spans="1:6" s="151" customFormat="1" ht="15.75" customHeight="1">
      <c r="A129" s="146"/>
      <c r="B129" s="146"/>
      <c r="C129" s="147">
        <v>4360</v>
      </c>
      <c r="D129" s="148" t="s">
        <v>226</v>
      </c>
      <c r="E129" s="149"/>
      <c r="F129" s="149">
        <v>3927</v>
      </c>
    </row>
    <row r="130" spans="1:6" s="151" customFormat="1" ht="15.75" customHeight="1">
      <c r="A130" s="146"/>
      <c r="B130" s="146"/>
      <c r="C130" s="147">
        <v>4410</v>
      </c>
      <c r="D130" s="148" t="s">
        <v>227</v>
      </c>
      <c r="E130" s="149"/>
      <c r="F130" s="149">
        <v>2006</v>
      </c>
    </row>
    <row r="131" spans="1:6" s="151" customFormat="1" ht="15.75" customHeight="1">
      <c r="A131" s="146"/>
      <c r="B131" s="146"/>
      <c r="C131" s="147">
        <v>4430</v>
      </c>
      <c r="D131" s="148" t="s">
        <v>213</v>
      </c>
      <c r="E131" s="149"/>
      <c r="F131" s="149">
        <v>1200</v>
      </c>
    </row>
    <row r="132" spans="1:6" s="151" customFormat="1" ht="15.75" customHeight="1">
      <c r="A132" s="146"/>
      <c r="B132" s="146"/>
      <c r="C132" s="147">
        <v>4440</v>
      </c>
      <c r="D132" s="148" t="s">
        <v>228</v>
      </c>
      <c r="E132" s="149"/>
      <c r="F132" s="149">
        <v>12217</v>
      </c>
    </row>
    <row r="133" spans="1:6" s="151" customFormat="1" ht="15.75" customHeight="1">
      <c r="A133" s="146"/>
      <c r="B133" s="146"/>
      <c r="C133" s="147">
        <v>4480</v>
      </c>
      <c r="D133" s="148" t="s">
        <v>214</v>
      </c>
      <c r="E133" s="149"/>
      <c r="F133" s="149">
        <v>3750</v>
      </c>
    </row>
    <row r="134" spans="1:6" s="151" customFormat="1" ht="15.75" customHeight="1">
      <c r="A134" s="146"/>
      <c r="B134" s="146"/>
      <c r="C134" s="147">
        <v>4520</v>
      </c>
      <c r="D134" s="148" t="s">
        <v>215</v>
      </c>
      <c r="E134" s="149"/>
      <c r="F134" s="149">
        <v>3057</v>
      </c>
    </row>
    <row r="135" spans="1:6" s="151" customFormat="1" ht="31.5" customHeight="1">
      <c r="A135" s="146"/>
      <c r="B135" s="146"/>
      <c r="C135" s="147">
        <v>4700</v>
      </c>
      <c r="D135" s="148" t="s">
        <v>230</v>
      </c>
      <c r="E135" s="149"/>
      <c r="F135" s="149">
        <v>11000</v>
      </c>
    </row>
    <row r="136" spans="1:6" s="137" customFormat="1" ht="17.25" customHeight="1">
      <c r="A136" s="133">
        <v>853</v>
      </c>
      <c r="B136" s="133"/>
      <c r="C136" s="134"/>
      <c r="D136" s="135" t="s">
        <v>4</v>
      </c>
      <c r="E136" s="136">
        <f>SUM(E137)</f>
        <v>136000</v>
      </c>
      <c r="F136" s="136">
        <f>SUM(F137)</f>
        <v>136000</v>
      </c>
    </row>
    <row r="137" spans="1:6" s="137" customFormat="1" ht="17.25" customHeight="1">
      <c r="A137" s="138"/>
      <c r="B137" s="138">
        <v>85321</v>
      </c>
      <c r="C137" s="139"/>
      <c r="D137" s="140" t="s">
        <v>254</v>
      </c>
      <c r="E137" s="141">
        <f>SUM(E138)</f>
        <v>136000</v>
      </c>
      <c r="F137" s="141">
        <f>SUM(F138:F148)</f>
        <v>136000</v>
      </c>
    </row>
    <row r="138" spans="1:6" s="137" customFormat="1" ht="42.75" customHeight="1">
      <c r="A138" s="142"/>
      <c r="B138" s="142"/>
      <c r="C138" s="143">
        <v>2110</v>
      </c>
      <c r="D138" s="144" t="s">
        <v>201</v>
      </c>
      <c r="E138" s="145">
        <v>136000</v>
      </c>
      <c r="F138" s="145"/>
    </row>
    <row r="139" spans="1:6" s="137" customFormat="1" ht="15.75" customHeight="1">
      <c r="A139" s="142"/>
      <c r="B139" s="142"/>
      <c r="C139" s="143">
        <v>3020</v>
      </c>
      <c r="D139" s="144" t="s">
        <v>222</v>
      </c>
      <c r="E139" s="145"/>
      <c r="F139" s="145">
        <v>50</v>
      </c>
    </row>
    <row r="140" spans="1:6" s="151" customFormat="1" ht="15.75" customHeight="1">
      <c r="A140" s="146"/>
      <c r="B140" s="146"/>
      <c r="C140" s="147">
        <v>4010</v>
      </c>
      <c r="D140" s="148" t="s">
        <v>205</v>
      </c>
      <c r="E140" s="149"/>
      <c r="F140" s="149">
        <v>58885</v>
      </c>
    </row>
    <row r="141" spans="1:6" s="151" customFormat="1" ht="15.75" customHeight="1">
      <c r="A141" s="146"/>
      <c r="B141" s="146"/>
      <c r="C141" s="147">
        <v>4040</v>
      </c>
      <c r="D141" s="148" t="s">
        <v>224</v>
      </c>
      <c r="E141" s="149"/>
      <c r="F141" s="149">
        <v>4677</v>
      </c>
    </row>
    <row r="142" spans="1:6" s="151" customFormat="1" ht="15.75" customHeight="1">
      <c r="A142" s="146"/>
      <c r="B142" s="146"/>
      <c r="C142" s="147">
        <v>4110</v>
      </c>
      <c r="D142" s="148" t="s">
        <v>206</v>
      </c>
      <c r="E142" s="149"/>
      <c r="F142" s="149">
        <v>17065</v>
      </c>
    </row>
    <row r="143" spans="1:6" s="151" customFormat="1" ht="26.45" customHeight="1">
      <c r="A143" s="146"/>
      <c r="B143" s="146"/>
      <c r="C143" s="147">
        <v>4120</v>
      </c>
      <c r="D143" s="144" t="s">
        <v>207</v>
      </c>
      <c r="E143" s="149"/>
      <c r="F143" s="149">
        <v>2428</v>
      </c>
    </row>
    <row r="144" spans="1:6" s="151" customFormat="1" ht="15.75" customHeight="1">
      <c r="A144" s="146"/>
      <c r="B144" s="146"/>
      <c r="C144" s="147">
        <v>4170</v>
      </c>
      <c r="D144" s="148" t="s">
        <v>208</v>
      </c>
      <c r="E144" s="149"/>
      <c r="F144" s="149">
        <v>20535</v>
      </c>
    </row>
    <row r="145" spans="1:6" s="151" customFormat="1" ht="15.75" customHeight="1">
      <c r="A145" s="146"/>
      <c r="B145" s="146"/>
      <c r="C145" s="147">
        <v>4210</v>
      </c>
      <c r="D145" s="148" t="s">
        <v>209</v>
      </c>
      <c r="E145" s="149"/>
      <c r="F145" s="149">
        <v>3105</v>
      </c>
    </row>
    <row r="146" spans="1:6" s="151" customFormat="1" ht="15.75" customHeight="1">
      <c r="A146" s="146"/>
      <c r="B146" s="146"/>
      <c r="C146" s="147">
        <v>4280</v>
      </c>
      <c r="D146" s="148" t="s">
        <v>225</v>
      </c>
      <c r="E146" s="149"/>
      <c r="F146" s="149">
        <v>100</v>
      </c>
    </row>
    <row r="147" spans="1:6" s="151" customFormat="1" ht="15.75" customHeight="1">
      <c r="A147" s="146"/>
      <c r="B147" s="146"/>
      <c r="C147" s="147">
        <v>4300</v>
      </c>
      <c r="D147" s="148" t="s">
        <v>202</v>
      </c>
      <c r="E147" s="149"/>
      <c r="F147" s="149">
        <v>27846</v>
      </c>
    </row>
    <row r="148" spans="1:6" s="151" customFormat="1" ht="15.75" customHeight="1">
      <c r="A148" s="146"/>
      <c r="B148" s="146"/>
      <c r="C148" s="147">
        <v>4440</v>
      </c>
      <c r="D148" s="148" t="s">
        <v>228</v>
      </c>
      <c r="E148" s="149"/>
      <c r="F148" s="149">
        <v>1309</v>
      </c>
    </row>
    <row r="149" spans="1:6" s="151" customFormat="1" ht="15.75" customHeight="1">
      <c r="A149" s="133" t="s">
        <v>255</v>
      </c>
      <c r="B149" s="133"/>
      <c r="C149" s="134"/>
      <c r="D149" s="135" t="s">
        <v>37</v>
      </c>
      <c r="E149" s="136">
        <f>SUM(E150,E156,E160)</f>
        <v>810000</v>
      </c>
      <c r="F149" s="136">
        <f>SUM(F150,F156,F160)</f>
        <v>810000</v>
      </c>
    </row>
    <row r="150" spans="1:6" s="162" customFormat="1" ht="15.75" customHeight="1">
      <c r="A150" s="158"/>
      <c r="B150" s="158" t="s">
        <v>256</v>
      </c>
      <c r="C150" s="159"/>
      <c r="D150" s="160" t="s">
        <v>257</v>
      </c>
      <c r="E150" s="161">
        <f>E151</f>
        <v>30000</v>
      </c>
      <c r="F150" s="161">
        <f>SUM(F152:F155)</f>
        <v>30000</v>
      </c>
    </row>
    <row r="151" spans="1:6" s="151" customFormat="1" ht="42" customHeight="1">
      <c r="A151" s="146"/>
      <c r="B151" s="146"/>
      <c r="C151" s="147">
        <v>2110</v>
      </c>
      <c r="D151" s="163" t="s">
        <v>201</v>
      </c>
      <c r="E151" s="149">
        <v>30000</v>
      </c>
      <c r="F151" s="149"/>
    </row>
    <row r="152" spans="1:6" s="151" customFormat="1" ht="15.75" customHeight="1">
      <c r="A152" s="146"/>
      <c r="B152" s="146"/>
      <c r="C152" s="147">
        <v>3110</v>
      </c>
      <c r="D152" s="144" t="s">
        <v>222</v>
      </c>
      <c r="E152" s="149"/>
      <c r="F152" s="149">
        <v>29100</v>
      </c>
    </row>
    <row r="153" spans="1:6" s="151" customFormat="1" ht="15.75" customHeight="1">
      <c r="A153" s="146"/>
      <c r="B153" s="146"/>
      <c r="C153" s="147">
        <v>4010</v>
      </c>
      <c r="D153" s="148" t="s">
        <v>205</v>
      </c>
      <c r="E153" s="149"/>
      <c r="F153" s="149">
        <v>752</v>
      </c>
    </row>
    <row r="154" spans="1:6" s="151" customFormat="1" ht="15.75" customHeight="1">
      <c r="A154" s="146"/>
      <c r="B154" s="146"/>
      <c r="C154" s="147">
        <v>4110</v>
      </c>
      <c r="D154" s="148" t="s">
        <v>206</v>
      </c>
      <c r="E154" s="149"/>
      <c r="F154" s="149">
        <v>130</v>
      </c>
    </row>
    <row r="155" spans="1:6" s="151" customFormat="1" ht="23.45" customHeight="1">
      <c r="A155" s="146"/>
      <c r="B155" s="146"/>
      <c r="C155" s="147">
        <v>4120</v>
      </c>
      <c r="D155" s="144" t="s">
        <v>207</v>
      </c>
      <c r="E155" s="149"/>
      <c r="F155" s="149">
        <v>18</v>
      </c>
    </row>
    <row r="156" spans="1:6" s="137" customFormat="1" ht="17.25" customHeight="1">
      <c r="A156" s="138"/>
      <c r="B156" s="138" t="s">
        <v>258</v>
      </c>
      <c r="C156" s="139"/>
      <c r="D156" s="140" t="s">
        <v>3</v>
      </c>
      <c r="E156" s="141">
        <f>SUM(E157)</f>
        <v>416000</v>
      </c>
      <c r="F156" s="141">
        <f>SUM(F157:F159)</f>
        <v>416000</v>
      </c>
    </row>
    <row r="157" spans="1:6" s="151" customFormat="1" ht="60" customHeight="1">
      <c r="A157" s="146"/>
      <c r="B157" s="146"/>
      <c r="C157" s="147">
        <v>2160</v>
      </c>
      <c r="D157" s="164" t="s">
        <v>259</v>
      </c>
      <c r="E157" s="149">
        <v>416000</v>
      </c>
      <c r="F157" s="149"/>
    </row>
    <row r="158" spans="1:6" s="151" customFormat="1" ht="15.75" customHeight="1">
      <c r="A158" s="146"/>
      <c r="B158" s="146"/>
      <c r="C158" s="147">
        <v>3110</v>
      </c>
      <c r="D158" s="148" t="s">
        <v>260</v>
      </c>
      <c r="E158" s="149"/>
      <c r="F158" s="149">
        <v>411881</v>
      </c>
    </row>
    <row r="159" spans="1:6" s="151" customFormat="1" ht="15.75" customHeight="1">
      <c r="A159" s="146"/>
      <c r="B159" s="146"/>
      <c r="C159" s="147">
        <v>4010</v>
      </c>
      <c r="D159" s="148" t="s">
        <v>205</v>
      </c>
      <c r="E159" s="149"/>
      <c r="F159" s="149">
        <v>4119</v>
      </c>
    </row>
    <row r="160" spans="1:6" s="137" customFormat="1" ht="17.25" customHeight="1">
      <c r="A160" s="138"/>
      <c r="B160" s="138" t="s">
        <v>261</v>
      </c>
      <c r="C160" s="139"/>
      <c r="D160" s="140" t="s">
        <v>38</v>
      </c>
      <c r="E160" s="141">
        <f>SUM(E161:E162)</f>
        <v>364000</v>
      </c>
      <c r="F160" s="141">
        <f>SUM(F163:F164)</f>
        <v>364000</v>
      </c>
    </row>
    <row r="161" spans="1:6" s="168" customFormat="1" ht="52.9" customHeight="1">
      <c r="A161" s="165"/>
      <c r="B161" s="165"/>
      <c r="C161" s="166">
        <v>2110</v>
      </c>
      <c r="D161" s="163" t="s">
        <v>201</v>
      </c>
      <c r="E161" s="167">
        <v>5000</v>
      </c>
      <c r="F161" s="167"/>
    </row>
    <row r="162" spans="1:6" s="151" customFormat="1" ht="61.5" customHeight="1">
      <c r="A162" s="146"/>
      <c r="B162" s="146"/>
      <c r="C162" s="147">
        <v>2160</v>
      </c>
      <c r="D162" s="164" t="s">
        <v>259</v>
      </c>
      <c r="E162" s="149">
        <v>359000</v>
      </c>
      <c r="F162" s="149"/>
    </row>
    <row r="163" spans="1:6" s="151" customFormat="1" ht="15.75" customHeight="1">
      <c r="A163" s="146"/>
      <c r="B163" s="146"/>
      <c r="C163" s="147">
        <v>3110</v>
      </c>
      <c r="D163" s="148" t="s">
        <v>260</v>
      </c>
      <c r="E163" s="149"/>
      <c r="F163" s="149">
        <v>360445</v>
      </c>
    </row>
    <row r="164" spans="1:6" s="151" customFormat="1" ht="15.75" customHeight="1">
      <c r="A164" s="146"/>
      <c r="B164" s="146"/>
      <c r="C164" s="147">
        <v>4010</v>
      </c>
      <c r="D164" s="148" t="s">
        <v>205</v>
      </c>
      <c r="E164" s="149"/>
      <c r="F164" s="149">
        <v>3555</v>
      </c>
    </row>
    <row r="165" spans="1:6" s="137" customFormat="1" ht="20.25" customHeight="1">
      <c r="A165" s="440" t="s">
        <v>30</v>
      </c>
      <c r="B165" s="441"/>
      <c r="C165" s="441"/>
      <c r="D165" s="442"/>
      <c r="E165" s="169">
        <f>SUM(E5,E9,E27,E56,E69,E73,E102,E110,E114,E136,E149,)</f>
        <v>12451958</v>
      </c>
      <c r="F165" s="169">
        <f>SUM(F5,F9,F27,F56,F69,F73,F102,F110,F114,F136,F149,)</f>
        <v>12451958</v>
      </c>
    </row>
    <row r="166" spans="1:6" ht="15.75" customHeight="1"/>
    <row r="167" spans="1:6" ht="15.75" customHeight="1"/>
    <row r="168" spans="1:6" s="31" customFormat="1" ht="15.75" customHeight="1">
      <c r="E168" s="170"/>
      <c r="F168" s="171"/>
    </row>
    <row r="169" spans="1:6" s="31" customFormat="1" ht="15.75" customHeight="1">
      <c r="E169" s="171"/>
      <c r="F169" s="171"/>
    </row>
    <row r="170" spans="1:6" s="31" customFormat="1" ht="15.75" customHeight="1">
      <c r="E170" s="172"/>
      <c r="F170" s="172"/>
    </row>
    <row r="171" spans="1:6" ht="15.75" customHeight="1"/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</sheetData>
  <sheetProtection formatColumns="0" formatRows="0"/>
  <autoFilter ref="C1:C176"/>
  <mergeCells count="2">
    <mergeCell ref="A2:F2"/>
    <mergeCell ref="A165:D165"/>
  </mergeCells>
  <pageMargins left="0.86614173228346458" right="0.23622047244094491" top="1.1023622047244095" bottom="1.299212598425197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38"/>
  <sheetViews>
    <sheetView zoomScaleNormal="100" workbookViewId="0">
      <pane ySplit="4" topLeftCell="A5" activePane="bottomLeft" state="frozen"/>
      <selection activeCell="A22" sqref="A22:XFD25"/>
      <selection pane="bottomLeft" activeCell="A13" sqref="A13:XFD13"/>
    </sheetView>
  </sheetViews>
  <sheetFormatPr defaultColWidth="9.33203125" defaultRowHeight="12"/>
  <cols>
    <col min="1" max="1" width="3.6640625" style="339" customWidth="1"/>
    <col min="2" max="2" width="6.33203125" style="336" customWidth="1"/>
    <col min="3" max="4" width="10" style="336" customWidth="1"/>
    <col min="5" max="5" width="63.5" style="337" customWidth="1"/>
    <col min="6" max="7" width="16.6640625" style="338" customWidth="1"/>
    <col min="8" max="16384" width="9.33203125" style="339"/>
  </cols>
  <sheetData>
    <row r="1" spans="2:8" ht="16.5" customHeight="1"/>
    <row r="2" spans="2:8" ht="29.25" customHeight="1">
      <c r="B2" s="443" t="s">
        <v>339</v>
      </c>
      <c r="C2" s="443"/>
      <c r="D2" s="443"/>
      <c r="E2" s="443"/>
      <c r="F2" s="443"/>
      <c r="G2" s="443"/>
    </row>
    <row r="3" spans="2:8" ht="15.75" customHeight="1">
      <c r="B3" s="340"/>
      <c r="C3" s="340"/>
      <c r="D3" s="340"/>
      <c r="E3" s="340"/>
      <c r="F3" s="340"/>
      <c r="G3" s="340"/>
    </row>
    <row r="4" spans="2:8" s="344" customFormat="1" ht="42" customHeight="1">
      <c r="B4" s="341" t="s">
        <v>0</v>
      </c>
      <c r="C4" s="341" t="s">
        <v>1</v>
      </c>
      <c r="D4" s="341" t="s">
        <v>26</v>
      </c>
      <c r="E4" s="342" t="s">
        <v>27</v>
      </c>
      <c r="F4" s="343" t="s">
        <v>28</v>
      </c>
      <c r="G4" s="343" t="s">
        <v>29</v>
      </c>
    </row>
    <row r="5" spans="2:8" s="344" customFormat="1" ht="17.25" customHeight="1">
      <c r="B5" s="345">
        <v>600</v>
      </c>
      <c r="C5" s="345"/>
      <c r="D5" s="345"/>
      <c r="E5" s="346" t="s">
        <v>340</v>
      </c>
      <c r="F5" s="347">
        <f>SUM(F6,F8,)</f>
        <v>1314500</v>
      </c>
      <c r="G5" s="347">
        <f>SUM(G6,G8,)</f>
        <v>750000</v>
      </c>
    </row>
    <row r="6" spans="2:8" s="351" customFormat="1" ht="17.25" customHeight="1">
      <c r="B6" s="348"/>
      <c r="C6" s="348">
        <v>60004</v>
      </c>
      <c r="D6" s="348"/>
      <c r="E6" s="349" t="s">
        <v>341</v>
      </c>
      <c r="F6" s="350"/>
      <c r="G6" s="350">
        <f>SUM(G7)</f>
        <v>250000</v>
      </c>
    </row>
    <row r="7" spans="2:8" s="354" customFormat="1" ht="46.5" customHeight="1">
      <c r="B7" s="352"/>
      <c r="C7" s="352"/>
      <c r="D7" s="352">
        <v>2310</v>
      </c>
      <c r="E7" s="214" t="s">
        <v>303</v>
      </c>
      <c r="F7" s="353"/>
      <c r="G7" s="353">
        <v>250000</v>
      </c>
    </row>
    <row r="8" spans="2:8" s="351" customFormat="1" ht="17.25" customHeight="1">
      <c r="B8" s="348"/>
      <c r="C8" s="348">
        <v>60014</v>
      </c>
      <c r="D8" s="348"/>
      <c r="E8" s="349" t="s">
        <v>342</v>
      </c>
      <c r="F8" s="350">
        <f>SUM(F9:F10)</f>
        <v>1314500</v>
      </c>
      <c r="G8" s="350">
        <f>SUM(G9:G10)</f>
        <v>500000</v>
      </c>
    </row>
    <row r="9" spans="2:8" s="359" customFormat="1" ht="47.25" customHeight="1">
      <c r="B9" s="355"/>
      <c r="C9" s="355"/>
      <c r="D9" s="355">
        <v>6300</v>
      </c>
      <c r="E9" s="356" t="s">
        <v>343</v>
      </c>
      <c r="F9" s="357">
        <f>644500+280000-10000+400000</f>
        <v>1314500</v>
      </c>
      <c r="G9" s="357"/>
      <c r="H9" s="358"/>
    </row>
    <row r="10" spans="2:8" s="351" customFormat="1" ht="46.5" customHeight="1">
      <c r="B10" s="360"/>
      <c r="C10" s="360"/>
      <c r="D10" s="360">
        <v>6610</v>
      </c>
      <c r="E10" s="361" t="s">
        <v>344</v>
      </c>
      <c r="F10" s="362"/>
      <c r="G10" s="362">
        <v>500000</v>
      </c>
      <c r="H10" s="363"/>
    </row>
    <row r="11" spans="2:8" s="344" customFormat="1" ht="17.25" customHeight="1">
      <c r="B11" s="345">
        <v>710</v>
      </c>
      <c r="C11" s="345"/>
      <c r="D11" s="345"/>
      <c r="E11" s="346" t="s">
        <v>5</v>
      </c>
      <c r="F11" s="347"/>
      <c r="G11" s="347">
        <f>SUM(G12)</f>
        <v>22770</v>
      </c>
    </row>
    <row r="12" spans="2:8" s="351" customFormat="1" ht="17.25" customHeight="1">
      <c r="B12" s="348"/>
      <c r="C12" s="348">
        <v>71095</v>
      </c>
      <c r="D12" s="348"/>
      <c r="E12" s="349" t="s">
        <v>345</v>
      </c>
      <c r="F12" s="350"/>
      <c r="G12" s="350">
        <f>SUM(G13)</f>
        <v>22770</v>
      </c>
    </row>
    <row r="13" spans="2:8" s="351" customFormat="1" ht="57" customHeight="1">
      <c r="B13" s="364"/>
      <c r="C13" s="364"/>
      <c r="D13" s="364">
        <v>6639</v>
      </c>
      <c r="E13" s="365" t="s">
        <v>331</v>
      </c>
      <c r="F13" s="353"/>
      <c r="G13" s="353">
        <v>22770</v>
      </c>
    </row>
    <row r="14" spans="2:8" s="344" customFormat="1" ht="17.25" customHeight="1">
      <c r="B14" s="345">
        <v>750</v>
      </c>
      <c r="C14" s="345"/>
      <c r="D14" s="345"/>
      <c r="E14" s="346" t="s">
        <v>5</v>
      </c>
      <c r="F14" s="347">
        <f>F15</f>
        <v>73387</v>
      </c>
      <c r="G14" s="347">
        <f>SUM(G15)</f>
        <v>0</v>
      </c>
    </row>
    <row r="15" spans="2:8" s="351" customFormat="1" ht="17.25" customHeight="1">
      <c r="B15" s="348"/>
      <c r="C15" s="348">
        <v>75020</v>
      </c>
      <c r="D15" s="348"/>
      <c r="E15" s="349" t="s">
        <v>345</v>
      </c>
      <c r="F15" s="350">
        <f>F16</f>
        <v>73387</v>
      </c>
      <c r="G15" s="350">
        <f>SUM(G16)</f>
        <v>0</v>
      </c>
    </row>
    <row r="16" spans="2:8" s="351" customFormat="1" ht="51" customHeight="1">
      <c r="B16" s="364"/>
      <c r="C16" s="364"/>
      <c r="D16" s="364">
        <v>2710</v>
      </c>
      <c r="E16" s="365" t="s">
        <v>346</v>
      </c>
      <c r="F16" s="353">
        <v>73387</v>
      </c>
      <c r="G16" s="353"/>
    </row>
    <row r="17" spans="2:7" s="344" customFormat="1" ht="17.25" customHeight="1">
      <c r="B17" s="345">
        <v>853</v>
      </c>
      <c r="C17" s="345"/>
      <c r="D17" s="345"/>
      <c r="E17" s="346" t="s">
        <v>4</v>
      </c>
      <c r="F17" s="347">
        <f>SUM(F18)</f>
        <v>11387</v>
      </c>
      <c r="G17" s="347">
        <f>SUM(G18)</f>
        <v>2300</v>
      </c>
    </row>
    <row r="18" spans="2:7" s="351" customFormat="1" ht="19.5" customHeight="1">
      <c r="B18" s="348"/>
      <c r="C18" s="348">
        <v>85311</v>
      </c>
      <c r="D18" s="348"/>
      <c r="E18" s="349" t="s">
        <v>347</v>
      </c>
      <c r="F18" s="350">
        <f>SUM(F19)</f>
        <v>11387</v>
      </c>
      <c r="G18" s="350">
        <f>SUM(G19:G20)</f>
        <v>2300</v>
      </c>
    </row>
    <row r="19" spans="2:7" s="354" customFormat="1" ht="47.25" customHeight="1">
      <c r="B19" s="352"/>
      <c r="C19" s="352"/>
      <c r="D19" s="352">
        <v>2320</v>
      </c>
      <c r="E19" s="214" t="s">
        <v>348</v>
      </c>
      <c r="F19" s="353">
        <v>11387</v>
      </c>
      <c r="G19" s="353"/>
    </row>
    <row r="20" spans="2:7" s="354" customFormat="1" ht="48" customHeight="1">
      <c r="B20" s="352"/>
      <c r="C20" s="352"/>
      <c r="D20" s="352">
        <v>2320</v>
      </c>
      <c r="E20" s="214" t="s">
        <v>304</v>
      </c>
      <c r="F20" s="353"/>
      <c r="G20" s="353">
        <v>2300</v>
      </c>
    </row>
    <row r="21" spans="2:7" s="344" customFormat="1" ht="17.25" customHeight="1">
      <c r="B21" s="345">
        <v>855</v>
      </c>
      <c r="C21" s="345"/>
      <c r="D21" s="345"/>
      <c r="E21" s="346" t="s">
        <v>37</v>
      </c>
      <c r="F21" s="347">
        <f>SUM(F22,F25,F27)</f>
        <v>397464</v>
      </c>
      <c r="G21" s="347">
        <f>SUM(G22,G25,G27)</f>
        <v>712832</v>
      </c>
    </row>
    <row r="22" spans="2:7" s="351" customFormat="1" ht="17.25" customHeight="1">
      <c r="B22" s="348"/>
      <c r="C22" s="348">
        <v>85508</v>
      </c>
      <c r="D22" s="348"/>
      <c r="E22" s="349" t="s">
        <v>3</v>
      </c>
      <c r="F22" s="350">
        <f>SUM(F23)</f>
        <v>226061</v>
      </c>
      <c r="G22" s="350">
        <f>SUM(G23:G24)</f>
        <v>467314</v>
      </c>
    </row>
    <row r="23" spans="2:7" s="354" customFormat="1" ht="50.25" customHeight="1">
      <c r="B23" s="352"/>
      <c r="C23" s="352"/>
      <c r="D23" s="352">
        <v>2320</v>
      </c>
      <c r="E23" s="214" t="s">
        <v>348</v>
      </c>
      <c r="F23" s="353">
        <v>226061</v>
      </c>
      <c r="G23" s="353"/>
    </row>
    <row r="24" spans="2:7" s="354" customFormat="1" ht="47.25" customHeight="1">
      <c r="B24" s="352"/>
      <c r="C24" s="352"/>
      <c r="D24" s="352">
        <v>2320</v>
      </c>
      <c r="E24" s="214" t="s">
        <v>304</v>
      </c>
      <c r="F24" s="353"/>
      <c r="G24" s="353">
        <v>467314</v>
      </c>
    </row>
    <row r="25" spans="2:7" s="351" customFormat="1" ht="17.25" customHeight="1">
      <c r="B25" s="348"/>
      <c r="C25" s="348">
        <v>85509</v>
      </c>
      <c r="D25" s="348"/>
      <c r="E25" s="349" t="s">
        <v>349</v>
      </c>
      <c r="F25" s="350"/>
      <c r="G25" s="350">
        <f>SUM(G26)</f>
        <v>112000</v>
      </c>
    </row>
    <row r="26" spans="2:7" s="354" customFormat="1" ht="52.5" customHeight="1">
      <c r="B26" s="352"/>
      <c r="C26" s="352"/>
      <c r="D26" s="352">
        <v>2330</v>
      </c>
      <c r="E26" s="214" t="s">
        <v>305</v>
      </c>
      <c r="F26" s="353"/>
      <c r="G26" s="353">
        <v>112000</v>
      </c>
    </row>
    <row r="27" spans="2:7" s="351" customFormat="1" ht="17.25" customHeight="1">
      <c r="B27" s="348"/>
      <c r="C27" s="348">
        <v>85510</v>
      </c>
      <c r="D27" s="348"/>
      <c r="E27" s="349" t="s">
        <v>38</v>
      </c>
      <c r="F27" s="350">
        <f>SUM(F28)</f>
        <v>171403</v>
      </c>
      <c r="G27" s="350">
        <f>SUM(G29:G29)</f>
        <v>133518</v>
      </c>
    </row>
    <row r="28" spans="2:7" s="354" customFormat="1" ht="48" customHeight="1">
      <c r="B28" s="352"/>
      <c r="C28" s="352"/>
      <c r="D28" s="352">
        <v>2320</v>
      </c>
      <c r="E28" s="214" t="s">
        <v>348</v>
      </c>
      <c r="F28" s="353">
        <v>171403</v>
      </c>
      <c r="G28" s="353"/>
    </row>
    <row r="29" spans="2:7" s="354" customFormat="1" ht="48.75" customHeight="1">
      <c r="B29" s="352"/>
      <c r="C29" s="352"/>
      <c r="D29" s="352">
        <v>2320</v>
      </c>
      <c r="E29" s="214" t="s">
        <v>304</v>
      </c>
      <c r="F29" s="353"/>
      <c r="G29" s="353">
        <v>133518</v>
      </c>
    </row>
    <row r="30" spans="2:7" s="344" customFormat="1" ht="17.25" customHeight="1">
      <c r="B30" s="345">
        <v>900</v>
      </c>
      <c r="C30" s="345"/>
      <c r="D30" s="345"/>
      <c r="E30" s="346" t="s">
        <v>350</v>
      </c>
      <c r="F30" s="347"/>
      <c r="G30" s="347">
        <f>SUM(G31)</f>
        <v>10000</v>
      </c>
    </row>
    <row r="31" spans="2:7" s="351" customFormat="1" ht="17.25" customHeight="1">
      <c r="B31" s="348"/>
      <c r="C31" s="348">
        <v>90095</v>
      </c>
      <c r="D31" s="348"/>
      <c r="E31" s="349" t="s">
        <v>345</v>
      </c>
      <c r="F31" s="350"/>
      <c r="G31" s="350">
        <f>SUM(G32)</f>
        <v>10000</v>
      </c>
    </row>
    <row r="32" spans="2:7" s="351" customFormat="1" ht="49.5" customHeight="1">
      <c r="B32" s="364"/>
      <c r="C32" s="364"/>
      <c r="D32" s="364">
        <v>2710</v>
      </c>
      <c r="E32" s="365" t="s">
        <v>306</v>
      </c>
      <c r="F32" s="366"/>
      <c r="G32" s="353">
        <v>10000</v>
      </c>
    </row>
    <row r="33" spans="2:7" s="344" customFormat="1" ht="17.25" customHeight="1">
      <c r="B33" s="345">
        <v>921</v>
      </c>
      <c r="C33" s="345"/>
      <c r="D33" s="345"/>
      <c r="E33" s="346" t="s">
        <v>351</v>
      </c>
      <c r="F33" s="347">
        <f>SUM(F34,F36)</f>
        <v>140000</v>
      </c>
      <c r="G33" s="347">
        <f>SUM(G34,G36)</f>
        <v>10000</v>
      </c>
    </row>
    <row r="34" spans="2:7" s="351" customFormat="1" ht="17.25" customHeight="1">
      <c r="B34" s="348"/>
      <c r="C34" s="348">
        <v>92105</v>
      </c>
      <c r="D34" s="348"/>
      <c r="E34" s="349" t="s">
        <v>352</v>
      </c>
      <c r="F34" s="350"/>
      <c r="G34" s="350">
        <f>SUM(G35)</f>
        <v>10000</v>
      </c>
    </row>
    <row r="35" spans="2:7" s="354" customFormat="1" ht="48" customHeight="1">
      <c r="B35" s="367"/>
      <c r="C35" s="367"/>
      <c r="D35" s="352">
        <v>2710</v>
      </c>
      <c r="E35" s="214" t="s">
        <v>306</v>
      </c>
      <c r="F35" s="353"/>
      <c r="G35" s="353">
        <f>15000-5000</f>
        <v>10000</v>
      </c>
    </row>
    <row r="36" spans="2:7" s="351" customFormat="1" ht="17.25" customHeight="1">
      <c r="B36" s="348"/>
      <c r="C36" s="348">
        <v>92116</v>
      </c>
      <c r="D36" s="348"/>
      <c r="E36" s="349" t="s">
        <v>353</v>
      </c>
      <c r="F36" s="350">
        <f>SUM(F37)</f>
        <v>140000</v>
      </c>
      <c r="G36" s="350"/>
    </row>
    <row r="37" spans="2:7" s="354" customFormat="1" ht="48.75" customHeight="1">
      <c r="B37" s="352"/>
      <c r="C37" s="352"/>
      <c r="D37" s="352">
        <v>2710</v>
      </c>
      <c r="E37" s="214" t="s">
        <v>354</v>
      </c>
      <c r="F37" s="353">
        <v>140000</v>
      </c>
      <c r="G37" s="353"/>
    </row>
    <row r="38" spans="2:7" s="351" customFormat="1" ht="24.75" customHeight="1">
      <c r="B38" s="444" t="s">
        <v>30</v>
      </c>
      <c r="C38" s="445"/>
      <c r="D38" s="445"/>
      <c r="E38" s="446"/>
      <c r="F38" s="368">
        <f>SUM(F5,F11,F14,F17,F21,F30,F33)</f>
        <v>1936738</v>
      </c>
      <c r="G38" s="368">
        <f>SUM(G5,G11,G14,G17,G21,G30,G33)</f>
        <v>1507902</v>
      </c>
    </row>
  </sheetData>
  <sheetProtection formatColumns="0" formatRows="0"/>
  <mergeCells count="2">
    <mergeCell ref="B2:G2"/>
    <mergeCell ref="B38:E38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6"/>
  <sheetViews>
    <sheetView tabSelected="1" zoomScaleNormal="100" workbookViewId="0">
      <pane ySplit="5" topLeftCell="A9" activePane="bottomLeft" state="frozen"/>
      <selection activeCell="A22" sqref="A22:XFD25"/>
      <selection pane="bottomLeft" activeCell="H16" sqref="H16"/>
    </sheetView>
  </sheetViews>
  <sheetFormatPr defaultColWidth="9.33203125" defaultRowHeight="12"/>
  <cols>
    <col min="1" max="1" width="6.5" style="215" customWidth="1"/>
    <col min="2" max="2" width="10.83203125" style="215" customWidth="1"/>
    <col min="3" max="3" width="7.33203125" style="215" customWidth="1"/>
    <col min="4" max="4" width="61.33203125" style="31" customWidth="1"/>
    <col min="5" max="7" width="15.6640625" style="31" customWidth="1"/>
    <col min="8" max="8" width="20.5" style="31" customWidth="1"/>
    <col min="9" max="10" width="9.33203125" style="31"/>
    <col min="11" max="11" width="10.33203125" style="31" bestFit="1" customWidth="1"/>
    <col min="12" max="16384" width="9.33203125" style="31"/>
  </cols>
  <sheetData>
    <row r="1" spans="1:12" ht="9" customHeight="1">
      <c r="F1" s="216"/>
      <c r="G1" s="216"/>
    </row>
    <row r="2" spans="1:12" s="218" customFormat="1" ht="33" customHeight="1">
      <c r="A2" s="447" t="s">
        <v>307</v>
      </c>
      <c r="B2" s="447"/>
      <c r="C2" s="447"/>
      <c r="D2" s="447"/>
      <c r="E2" s="447"/>
      <c r="F2" s="447"/>
      <c r="G2" s="447"/>
      <c r="H2" s="217"/>
    </row>
    <row r="3" spans="1:12" ht="10.5" customHeight="1"/>
    <row r="4" spans="1:12" ht="24" customHeight="1">
      <c r="A4" s="448" t="s">
        <v>0</v>
      </c>
      <c r="B4" s="448" t="s">
        <v>1</v>
      </c>
      <c r="C4" s="448" t="s">
        <v>43</v>
      </c>
      <c r="D4" s="448" t="s">
        <v>12</v>
      </c>
      <c r="E4" s="448" t="s">
        <v>308</v>
      </c>
      <c r="F4" s="448"/>
      <c r="G4" s="448"/>
    </row>
    <row r="5" spans="1:12" ht="24" customHeight="1">
      <c r="A5" s="448"/>
      <c r="B5" s="448"/>
      <c r="C5" s="448"/>
      <c r="D5" s="448"/>
      <c r="E5" s="219" t="s">
        <v>309</v>
      </c>
      <c r="F5" s="219" t="s">
        <v>310</v>
      </c>
      <c r="G5" s="219" t="s">
        <v>311</v>
      </c>
    </row>
    <row r="6" spans="1:12" s="221" customFormat="1" ht="12.75" customHeight="1">
      <c r="A6" s="220">
        <v>1</v>
      </c>
      <c r="B6" s="220">
        <v>2</v>
      </c>
      <c r="C6" s="220">
        <v>3</v>
      </c>
      <c r="D6" s="220">
        <v>4</v>
      </c>
      <c r="E6" s="220">
        <v>5</v>
      </c>
      <c r="F6" s="220">
        <v>6</v>
      </c>
      <c r="G6" s="220">
        <v>7</v>
      </c>
    </row>
    <row r="7" spans="1:12" ht="39" customHeight="1">
      <c r="A7" s="449" t="s">
        <v>312</v>
      </c>
      <c r="B7" s="449"/>
      <c r="C7" s="449"/>
      <c r="D7" s="222" t="s">
        <v>44</v>
      </c>
      <c r="E7" s="223" t="s">
        <v>313</v>
      </c>
      <c r="F7" s="223" t="s">
        <v>313</v>
      </c>
      <c r="G7" s="223" t="s">
        <v>313</v>
      </c>
    </row>
    <row r="8" spans="1:12" s="228" customFormat="1" ht="52.5" customHeight="1">
      <c r="A8" s="224">
        <v>600</v>
      </c>
      <c r="B8" s="225">
        <v>60004</v>
      </c>
      <c r="C8" s="224">
        <v>2310</v>
      </c>
      <c r="D8" s="214" t="s">
        <v>303</v>
      </c>
      <c r="E8" s="226"/>
      <c r="F8" s="226"/>
      <c r="G8" s="227">
        <v>250000</v>
      </c>
    </row>
    <row r="9" spans="1:12" s="228" customFormat="1" ht="57" customHeight="1">
      <c r="A9" s="229">
        <v>600</v>
      </c>
      <c r="B9" s="230">
        <v>60014</v>
      </c>
      <c r="C9" s="229">
        <v>6610</v>
      </c>
      <c r="D9" s="214" t="s">
        <v>314</v>
      </c>
      <c r="E9" s="231"/>
      <c r="F9" s="231"/>
      <c r="G9" s="232">
        <v>500000</v>
      </c>
    </row>
    <row r="10" spans="1:12" s="228" customFormat="1" ht="57" customHeight="1">
      <c r="A10" s="229">
        <v>710</v>
      </c>
      <c r="B10" s="230">
        <v>71095</v>
      </c>
      <c r="C10" s="229">
        <v>6639</v>
      </c>
      <c r="D10" s="233" t="s">
        <v>331</v>
      </c>
      <c r="E10" s="271"/>
      <c r="F10" s="271"/>
      <c r="G10" s="232">
        <v>22770</v>
      </c>
    </row>
    <row r="11" spans="1:12" s="228" customFormat="1" ht="45" customHeight="1">
      <c r="A11" s="229">
        <v>754</v>
      </c>
      <c r="B11" s="230">
        <v>75404</v>
      </c>
      <c r="C11" s="229">
        <v>2300</v>
      </c>
      <c r="D11" s="233" t="s">
        <v>315</v>
      </c>
      <c r="E11" s="231"/>
      <c r="F11" s="231"/>
      <c r="G11" s="232">
        <v>10000</v>
      </c>
    </row>
    <row r="12" spans="1:12" s="228" customFormat="1" ht="38.25" customHeight="1">
      <c r="A12" s="229">
        <v>754</v>
      </c>
      <c r="B12" s="230">
        <v>75404</v>
      </c>
      <c r="C12" s="229">
        <v>6170</v>
      </c>
      <c r="D12" s="234" t="s">
        <v>316</v>
      </c>
      <c r="E12" s="231"/>
      <c r="F12" s="231"/>
      <c r="G12" s="232">
        <f>403000+5000</f>
        <v>408000</v>
      </c>
    </row>
    <row r="13" spans="1:12" s="228" customFormat="1" ht="51.75" customHeight="1">
      <c r="A13" s="229">
        <v>853</v>
      </c>
      <c r="B13" s="230">
        <v>85311</v>
      </c>
      <c r="C13" s="229">
        <v>2320</v>
      </c>
      <c r="D13" s="234" t="s">
        <v>304</v>
      </c>
      <c r="E13" s="235"/>
      <c r="F13" s="235"/>
      <c r="G13" s="236">
        <v>2300</v>
      </c>
      <c r="H13" s="237"/>
      <c r="I13" s="237"/>
      <c r="J13" s="237"/>
      <c r="K13" s="237"/>
      <c r="L13" s="237"/>
    </row>
    <row r="14" spans="1:12" s="228" customFormat="1" ht="51.75" customHeight="1">
      <c r="A14" s="229">
        <v>855</v>
      </c>
      <c r="B14" s="230">
        <v>85508</v>
      </c>
      <c r="C14" s="229">
        <v>2320</v>
      </c>
      <c r="D14" s="234" t="s">
        <v>304</v>
      </c>
      <c r="E14" s="235"/>
      <c r="F14" s="235"/>
      <c r="G14" s="236">
        <v>467314</v>
      </c>
      <c r="H14" s="237"/>
      <c r="I14" s="237"/>
      <c r="J14" s="237"/>
      <c r="K14" s="237"/>
      <c r="L14" s="237"/>
    </row>
    <row r="15" spans="1:12" s="228" customFormat="1" ht="47.25" customHeight="1">
      <c r="A15" s="229">
        <v>855</v>
      </c>
      <c r="B15" s="230">
        <v>85509</v>
      </c>
      <c r="C15" s="229">
        <v>2330</v>
      </c>
      <c r="D15" s="234" t="s">
        <v>305</v>
      </c>
      <c r="E15" s="235"/>
      <c r="F15" s="235"/>
      <c r="G15" s="236">
        <v>112000</v>
      </c>
      <c r="H15" s="237"/>
      <c r="I15" s="237"/>
      <c r="J15" s="237"/>
      <c r="K15" s="237"/>
      <c r="L15" s="237"/>
    </row>
    <row r="16" spans="1:12" s="228" customFormat="1" ht="51.75" customHeight="1">
      <c r="A16" s="229">
        <v>855</v>
      </c>
      <c r="B16" s="230">
        <v>85510</v>
      </c>
      <c r="C16" s="229">
        <v>2320</v>
      </c>
      <c r="D16" s="234" t="s">
        <v>304</v>
      </c>
      <c r="E16" s="235"/>
      <c r="F16" s="235"/>
      <c r="G16" s="236">
        <v>133518</v>
      </c>
      <c r="H16" s="381"/>
      <c r="I16" s="237"/>
      <c r="J16" s="237"/>
      <c r="K16" s="237"/>
      <c r="L16" s="237"/>
    </row>
    <row r="17" spans="1:12" s="228" customFormat="1" ht="48" customHeight="1">
      <c r="A17" s="229">
        <v>900</v>
      </c>
      <c r="B17" s="230">
        <v>90095</v>
      </c>
      <c r="C17" s="229">
        <v>2710</v>
      </c>
      <c r="D17" s="234" t="s">
        <v>306</v>
      </c>
      <c r="E17" s="235"/>
      <c r="F17" s="235"/>
      <c r="G17" s="236">
        <v>10000</v>
      </c>
      <c r="H17" s="237"/>
      <c r="I17" s="237"/>
      <c r="J17" s="237"/>
      <c r="K17" s="237"/>
      <c r="L17" s="237"/>
    </row>
    <row r="18" spans="1:12" s="228" customFormat="1" ht="48" customHeight="1">
      <c r="A18" s="229">
        <v>921</v>
      </c>
      <c r="B18" s="230">
        <v>92105</v>
      </c>
      <c r="C18" s="229">
        <v>2710</v>
      </c>
      <c r="D18" s="234" t="s">
        <v>306</v>
      </c>
      <c r="E18" s="235"/>
      <c r="F18" s="235"/>
      <c r="G18" s="236">
        <f>15000-5000</f>
        <v>10000</v>
      </c>
      <c r="H18" s="237"/>
      <c r="I18" s="237"/>
      <c r="J18" s="237"/>
      <c r="K18" s="237"/>
      <c r="L18" s="237"/>
    </row>
    <row r="19" spans="1:12" s="228" customFormat="1" ht="25.5" customHeight="1">
      <c r="A19" s="229">
        <v>921</v>
      </c>
      <c r="B19" s="230">
        <v>92116</v>
      </c>
      <c r="C19" s="229">
        <v>2480</v>
      </c>
      <c r="D19" s="234" t="s">
        <v>317</v>
      </c>
      <c r="E19" s="241">
        <v>670000</v>
      </c>
      <c r="F19" s="235"/>
      <c r="G19" s="242"/>
      <c r="H19" s="237"/>
      <c r="I19" s="237"/>
      <c r="J19" s="237"/>
      <c r="K19" s="237"/>
      <c r="L19" s="237"/>
    </row>
    <row r="20" spans="1:12" s="244" customFormat="1" ht="27" customHeight="1">
      <c r="A20" s="448" t="s">
        <v>318</v>
      </c>
      <c r="B20" s="448"/>
      <c r="C20" s="448"/>
      <c r="D20" s="448"/>
      <c r="E20" s="243">
        <f>SUM(E8:E19)</f>
        <v>670000</v>
      </c>
      <c r="F20" s="243">
        <f>SUM(F8:F19)</f>
        <v>0</v>
      </c>
      <c r="G20" s="243">
        <f>SUM(G8:G19)</f>
        <v>1925902</v>
      </c>
      <c r="I20" s="245"/>
    </row>
    <row r="21" spans="1:12" s="244" customFormat="1" ht="47.25" customHeight="1">
      <c r="A21" s="449" t="s">
        <v>319</v>
      </c>
      <c r="B21" s="449"/>
      <c r="C21" s="449"/>
      <c r="D21" s="222" t="s">
        <v>44</v>
      </c>
      <c r="E21" s="222" t="s">
        <v>313</v>
      </c>
      <c r="F21" s="222" t="s">
        <v>313</v>
      </c>
      <c r="G21" s="222" t="s">
        <v>313</v>
      </c>
      <c r="I21" s="245"/>
      <c r="K21" s="246"/>
    </row>
    <row r="22" spans="1:12" s="228" customFormat="1" ht="54" customHeight="1">
      <c r="A22" s="247" t="s">
        <v>2</v>
      </c>
      <c r="B22" s="248" t="s">
        <v>320</v>
      </c>
      <c r="C22" s="247" t="s">
        <v>321</v>
      </c>
      <c r="D22" s="234" t="s">
        <v>322</v>
      </c>
      <c r="E22" s="231"/>
      <c r="F22" s="231"/>
      <c r="G22" s="232">
        <v>70000</v>
      </c>
      <c r="I22" s="249"/>
      <c r="K22" s="215"/>
    </row>
    <row r="23" spans="1:12" s="228" customFormat="1" ht="59.25" customHeight="1">
      <c r="A23" s="229">
        <v>630</v>
      </c>
      <c r="B23" s="230">
        <v>63003</v>
      </c>
      <c r="C23" s="229">
        <v>2360</v>
      </c>
      <c r="D23" s="234" t="s">
        <v>323</v>
      </c>
      <c r="E23" s="231"/>
      <c r="F23" s="231"/>
      <c r="G23" s="232">
        <v>11000</v>
      </c>
      <c r="I23" s="249"/>
      <c r="K23" s="215"/>
    </row>
    <row r="24" spans="1:12" s="228" customFormat="1" ht="63.75" customHeight="1">
      <c r="A24" s="229">
        <v>754</v>
      </c>
      <c r="B24" s="230">
        <v>75495</v>
      </c>
      <c r="C24" s="229">
        <v>2360</v>
      </c>
      <c r="D24" s="234" t="s">
        <v>323</v>
      </c>
      <c r="E24" s="231"/>
      <c r="F24" s="231"/>
      <c r="G24" s="232">
        <v>10000</v>
      </c>
      <c r="I24" s="249"/>
      <c r="K24" s="215"/>
    </row>
    <row r="25" spans="1:12" s="228" customFormat="1" ht="24.95" customHeight="1">
      <c r="A25" s="229">
        <v>801</v>
      </c>
      <c r="B25" s="230">
        <v>80102</v>
      </c>
      <c r="C25" s="229">
        <v>2540</v>
      </c>
      <c r="D25" s="234" t="s">
        <v>324</v>
      </c>
      <c r="E25" s="241">
        <v>1569670</v>
      </c>
      <c r="F25" s="231"/>
      <c r="G25" s="250"/>
      <c r="I25" s="249"/>
      <c r="K25" s="215"/>
    </row>
    <row r="26" spans="1:12" s="228" customFormat="1" ht="24.95" customHeight="1">
      <c r="A26" s="229">
        <v>801</v>
      </c>
      <c r="B26" s="230">
        <v>80105</v>
      </c>
      <c r="C26" s="229">
        <v>2540</v>
      </c>
      <c r="D26" s="234" t="s">
        <v>324</v>
      </c>
      <c r="E26" s="241">
        <v>826367</v>
      </c>
      <c r="F26" s="231"/>
      <c r="G26" s="250"/>
      <c r="I26" s="249"/>
      <c r="K26" s="215"/>
    </row>
    <row r="27" spans="1:12" s="228" customFormat="1" ht="24.95" customHeight="1">
      <c r="A27" s="229">
        <v>801</v>
      </c>
      <c r="B27" s="230">
        <v>80116</v>
      </c>
      <c r="C27" s="229">
        <v>2540</v>
      </c>
      <c r="D27" s="234" t="s">
        <v>324</v>
      </c>
      <c r="E27" s="241">
        <v>988232</v>
      </c>
      <c r="F27" s="231"/>
      <c r="G27" s="250"/>
      <c r="I27" s="249"/>
      <c r="K27" s="215"/>
    </row>
    <row r="28" spans="1:12" s="228" customFormat="1" ht="24.95" customHeight="1">
      <c r="A28" s="229">
        <v>801</v>
      </c>
      <c r="B28" s="230">
        <v>80120</v>
      </c>
      <c r="C28" s="229">
        <v>2540</v>
      </c>
      <c r="D28" s="234" t="s">
        <v>324</v>
      </c>
      <c r="E28" s="241">
        <v>1608287</v>
      </c>
      <c r="F28" s="235"/>
      <c r="G28" s="251"/>
    </row>
    <row r="29" spans="1:12" s="228" customFormat="1" ht="24.95" customHeight="1">
      <c r="A29" s="229">
        <v>801</v>
      </c>
      <c r="B29" s="230">
        <v>80151</v>
      </c>
      <c r="C29" s="229">
        <v>2540</v>
      </c>
      <c r="D29" s="234" t="s">
        <v>324</v>
      </c>
      <c r="E29" s="241">
        <v>10000</v>
      </c>
      <c r="F29" s="235"/>
      <c r="G29" s="251"/>
    </row>
    <row r="30" spans="1:12" s="228" customFormat="1" ht="24.95" customHeight="1">
      <c r="A30" s="229">
        <v>801</v>
      </c>
      <c r="B30" s="230">
        <v>80152</v>
      </c>
      <c r="C30" s="229">
        <v>2540</v>
      </c>
      <c r="D30" s="234" t="s">
        <v>324</v>
      </c>
      <c r="E30" s="241">
        <v>499051</v>
      </c>
      <c r="F30" s="235"/>
      <c r="G30" s="251"/>
    </row>
    <row r="31" spans="1:12" s="240" customFormat="1" ht="52.15" customHeight="1">
      <c r="A31" s="238">
        <v>851</v>
      </c>
      <c r="B31" s="239">
        <v>85111</v>
      </c>
      <c r="C31" s="238">
        <v>6230</v>
      </c>
      <c r="D31" s="261" t="s">
        <v>325</v>
      </c>
      <c r="E31" s="262"/>
      <c r="F31" s="263"/>
      <c r="G31" s="262">
        <v>527000</v>
      </c>
    </row>
    <row r="32" spans="1:12" s="228" customFormat="1" ht="52.15" customHeight="1">
      <c r="A32" s="229">
        <v>851</v>
      </c>
      <c r="B32" s="230">
        <v>85195</v>
      </c>
      <c r="C32" s="229">
        <v>2830</v>
      </c>
      <c r="D32" s="234" t="s">
        <v>326</v>
      </c>
      <c r="E32" s="241"/>
      <c r="F32" s="235"/>
      <c r="G32" s="241">
        <v>10000</v>
      </c>
    </row>
    <row r="33" spans="1:11" s="228" customFormat="1" ht="36.75" customHeight="1">
      <c r="A33" s="229">
        <v>852</v>
      </c>
      <c r="B33" s="230">
        <v>85202</v>
      </c>
      <c r="C33" s="229">
        <v>2820</v>
      </c>
      <c r="D33" s="234" t="s">
        <v>327</v>
      </c>
      <c r="E33" s="235"/>
      <c r="F33" s="235"/>
      <c r="G33" s="241">
        <v>295488</v>
      </c>
    </row>
    <row r="34" spans="1:11" s="228" customFormat="1" ht="36.75" customHeight="1">
      <c r="A34" s="229">
        <v>852</v>
      </c>
      <c r="B34" s="230">
        <v>85220</v>
      </c>
      <c r="C34" s="229">
        <v>2820</v>
      </c>
      <c r="D34" s="234" t="s">
        <v>327</v>
      </c>
      <c r="E34" s="235"/>
      <c r="F34" s="235"/>
      <c r="G34" s="241">
        <f>100000+50000</f>
        <v>150000</v>
      </c>
    </row>
    <row r="35" spans="1:11" s="228" customFormat="1" ht="36.75" customHeight="1">
      <c r="A35" s="229">
        <v>852</v>
      </c>
      <c r="B35" s="230">
        <v>85295</v>
      </c>
      <c r="C35" s="229">
        <v>2827</v>
      </c>
      <c r="D35" s="234" t="s">
        <v>327</v>
      </c>
      <c r="E35" s="235"/>
      <c r="F35" s="235"/>
      <c r="G35" s="241">
        <v>32365</v>
      </c>
    </row>
    <row r="36" spans="1:11" s="228" customFormat="1" ht="34.5" customHeight="1">
      <c r="A36" s="229">
        <v>853</v>
      </c>
      <c r="B36" s="230">
        <v>85311</v>
      </c>
      <c r="C36" s="229">
        <v>2580</v>
      </c>
      <c r="D36" s="234" t="s">
        <v>328</v>
      </c>
      <c r="E36" s="241">
        <v>252785</v>
      </c>
      <c r="F36" s="235"/>
      <c r="G36" s="251"/>
    </row>
    <row r="37" spans="1:11" s="228" customFormat="1" ht="25.5" customHeight="1">
      <c r="A37" s="229">
        <v>854</v>
      </c>
      <c r="B37" s="230">
        <v>85404</v>
      </c>
      <c r="C37" s="229">
        <v>2540</v>
      </c>
      <c r="D37" s="234" t="s">
        <v>324</v>
      </c>
      <c r="E37" s="241">
        <v>394594</v>
      </c>
      <c r="F37" s="235"/>
      <c r="G37" s="251"/>
    </row>
    <row r="38" spans="1:11" s="228" customFormat="1" ht="25.5" customHeight="1">
      <c r="A38" s="229">
        <v>854</v>
      </c>
      <c r="B38" s="230">
        <v>85410</v>
      </c>
      <c r="C38" s="229">
        <v>2540</v>
      </c>
      <c r="D38" s="234" t="s">
        <v>324</v>
      </c>
      <c r="E38" s="241">
        <v>104571</v>
      </c>
      <c r="F38" s="235"/>
      <c r="G38" s="251"/>
    </row>
    <row r="39" spans="1:11" s="228" customFormat="1" ht="60.75" customHeight="1">
      <c r="A39" s="229">
        <v>921</v>
      </c>
      <c r="B39" s="230">
        <v>92105</v>
      </c>
      <c r="C39" s="229">
        <v>2360</v>
      </c>
      <c r="D39" s="234" t="s">
        <v>323</v>
      </c>
      <c r="E39" s="251"/>
      <c r="F39" s="235"/>
      <c r="G39" s="241">
        <v>90000</v>
      </c>
    </row>
    <row r="40" spans="1:11" s="228" customFormat="1" ht="60.75" customHeight="1">
      <c r="A40" s="229">
        <v>926</v>
      </c>
      <c r="B40" s="230">
        <v>92605</v>
      </c>
      <c r="C40" s="229">
        <v>2360</v>
      </c>
      <c r="D40" s="234" t="s">
        <v>323</v>
      </c>
      <c r="E40" s="252"/>
      <c r="F40" s="235"/>
      <c r="G40" s="241">
        <v>40000</v>
      </c>
      <c r="I40" s="249"/>
      <c r="K40" s="249"/>
    </row>
    <row r="41" spans="1:11" s="228" customFormat="1" ht="22.5" customHeight="1">
      <c r="A41" s="450" t="s">
        <v>329</v>
      </c>
      <c r="B41" s="450"/>
      <c r="C41" s="450"/>
      <c r="D41" s="450"/>
      <c r="E41" s="243">
        <f>SUM(E22:E40)</f>
        <v>6253557</v>
      </c>
      <c r="F41" s="243">
        <f>SUM(F22:F40)</f>
        <v>0</v>
      </c>
      <c r="G41" s="243">
        <f>SUM(G22:G40)</f>
        <v>1235853</v>
      </c>
    </row>
    <row r="42" spans="1:11" s="254" customFormat="1" ht="26.25" customHeight="1">
      <c r="A42" s="451" t="s">
        <v>330</v>
      </c>
      <c r="B42" s="451"/>
      <c r="C42" s="451"/>
      <c r="D42" s="451"/>
      <c r="E42" s="451"/>
      <c r="F42" s="451"/>
      <c r="G42" s="253">
        <f>SUM(E20,G20,E41,G41)</f>
        <v>10085312</v>
      </c>
    </row>
    <row r="43" spans="1:11" ht="15.75" customHeight="1"/>
    <row r="44" spans="1:11" ht="15.75" customHeight="1"/>
    <row r="45" spans="1:11" ht="15.75" customHeight="1"/>
    <row r="46" spans="1:11" ht="15.75" customHeight="1">
      <c r="A46" s="31"/>
      <c r="B46" s="31"/>
      <c r="C46" s="31"/>
    </row>
    <row r="47" spans="1:11" ht="15.75" customHeight="1">
      <c r="A47" s="31"/>
      <c r="B47" s="31"/>
      <c r="C47" s="31"/>
    </row>
    <row r="48" spans="1:11" ht="15.75" customHeight="1">
      <c r="A48" s="31"/>
      <c r="B48" s="31"/>
      <c r="C48" s="31"/>
    </row>
    <row r="49" spans="4:12" ht="15.75" customHeight="1"/>
    <row r="50" spans="4:12" s="215" customFormat="1" ht="15.75" customHeight="1">
      <c r="D50" s="31"/>
      <c r="E50" s="31"/>
      <c r="F50" s="31"/>
      <c r="G50" s="31"/>
      <c r="H50" s="31"/>
      <c r="I50" s="31"/>
      <c r="J50" s="31"/>
      <c r="K50" s="31"/>
      <c r="L50" s="31"/>
    </row>
    <row r="51" spans="4:12" s="215" customFormat="1" ht="15.75" customHeight="1">
      <c r="D51" s="31"/>
      <c r="E51" s="31"/>
      <c r="F51" s="31"/>
      <c r="G51" s="31"/>
      <c r="H51" s="31"/>
      <c r="I51" s="31"/>
      <c r="J51" s="31"/>
      <c r="K51" s="31"/>
      <c r="L51" s="31"/>
    </row>
    <row r="52" spans="4:12" s="215" customFormat="1" ht="15.75" customHeight="1">
      <c r="D52" s="31"/>
      <c r="E52" s="31"/>
      <c r="F52" s="31"/>
      <c r="G52" s="31"/>
      <c r="H52" s="31"/>
      <c r="I52" s="31"/>
      <c r="J52" s="31"/>
      <c r="K52" s="31"/>
      <c r="L52" s="31"/>
    </row>
    <row r="53" spans="4:12" s="215" customFormat="1" ht="15.75" customHeight="1">
      <c r="D53" s="31"/>
      <c r="E53" s="31"/>
      <c r="F53" s="31"/>
      <c r="G53" s="31"/>
      <c r="H53" s="31"/>
      <c r="I53" s="31"/>
      <c r="J53" s="31"/>
      <c r="K53" s="31"/>
      <c r="L53" s="31"/>
    </row>
    <row r="54" spans="4:12" s="215" customFormat="1" ht="15.75" customHeight="1">
      <c r="D54" s="31"/>
      <c r="E54" s="31"/>
      <c r="F54" s="31"/>
      <c r="G54" s="31"/>
      <c r="H54" s="31"/>
      <c r="I54" s="31"/>
      <c r="J54" s="31"/>
      <c r="K54" s="31"/>
      <c r="L54" s="31"/>
    </row>
    <row r="55" spans="4:12" s="215" customFormat="1" ht="15.75" customHeight="1">
      <c r="D55" s="31"/>
      <c r="E55" s="31"/>
      <c r="F55" s="31"/>
      <c r="G55" s="31"/>
      <c r="H55" s="31"/>
      <c r="I55" s="31"/>
      <c r="J55" s="31"/>
      <c r="K55" s="31"/>
      <c r="L55" s="31"/>
    </row>
    <row r="56" spans="4:12" s="215" customFormat="1" ht="15.75" customHeight="1">
      <c r="D56" s="31"/>
      <c r="E56" s="31"/>
      <c r="F56" s="31"/>
      <c r="G56" s="31"/>
      <c r="H56" s="31"/>
      <c r="I56" s="31"/>
      <c r="J56" s="31"/>
      <c r="K56" s="31"/>
      <c r="L56" s="31"/>
    </row>
  </sheetData>
  <sheetProtection formatColumns="0" formatRows="0"/>
  <mergeCells count="11">
    <mergeCell ref="A7:C7"/>
    <mergeCell ref="A20:D20"/>
    <mergeCell ref="A21:C21"/>
    <mergeCell ref="A41:D41"/>
    <mergeCell ref="A42:F42"/>
    <mergeCell ref="A2:G2"/>
    <mergeCell ref="A4:A5"/>
    <mergeCell ref="B4:B5"/>
    <mergeCell ref="C4:C5"/>
    <mergeCell ref="D4:D5"/>
    <mergeCell ref="E4:G4"/>
  </mergeCells>
  <pageMargins left="0.86614173228346458" right="0.23622047244094491" top="1.2204724409448819" bottom="1.0236220472440944" header="0.59055118110236227" footer="0.47244094488188981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Tab.2a</vt:lpstr>
      <vt:lpstr>Tab.3</vt:lpstr>
      <vt:lpstr>Tab.4</vt:lpstr>
      <vt:lpstr>Tab.5 </vt:lpstr>
      <vt:lpstr>Tab.7</vt:lpstr>
      <vt:lpstr>Zał.1</vt:lpstr>
      <vt:lpstr>Tab.2a!Obszar_wydruku</vt:lpstr>
      <vt:lpstr>Tab.3!Obszar_wydruku</vt:lpstr>
      <vt:lpstr>Tab.4!Obszar_wydruku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2020-04-20T12:49:45Z</cp:lastPrinted>
  <dcterms:created xsi:type="dcterms:W3CDTF">2015-10-09T11:05:37Z</dcterms:created>
  <dcterms:modified xsi:type="dcterms:W3CDTF">2020-04-20T12:51:29Z</dcterms:modified>
</cp:coreProperties>
</file>