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en_skoroszyt" defaultThemeVersion="124226"/>
  <bookViews>
    <workbookView xWindow="240" yWindow="105" windowWidth="14805" windowHeight="8010" activeTab="1"/>
  </bookViews>
  <sheets>
    <sheet name="Zał.1" sheetId="17" r:id="rId1"/>
    <sheet name="Zał.2" sheetId="13" r:id="rId2"/>
  </sheets>
  <externalReferences>
    <externalReference r:id="rId3"/>
    <externalReference r:id="rId4"/>
  </externalReferences>
  <definedNames>
    <definedName name="KwartalRb">[1]definicja!$B$5</definedName>
    <definedName name="_xlnm.Print_Area" localSheetId="0">Zał.1!$A$1:$T$102</definedName>
    <definedName name="_xlnm.Print_Area" localSheetId="1">Zał.2!$A$1:$P$84</definedName>
    <definedName name="Ostatni_rok_analizy" localSheetId="0">[2]WPF_Analiza!$M$1</definedName>
    <definedName name="Ostatni_rok_analizy">[2]WPF_Analiza!$L$1</definedName>
    <definedName name="Rok_bazowy">[1]DaneZrodlowe!$O$1</definedName>
    <definedName name="RokBazowy">[2]DaneZrodlowe!$N$1</definedName>
    <definedName name="RokMaxProg">[2]DaneZrodlowe!$Q$1</definedName>
    <definedName name="RokRb">[1]definicja!$B$4</definedName>
    <definedName name="_xlnm.Print_Titles" localSheetId="0">Zał.1!$A:$B,Zał.1!$2:$3</definedName>
    <definedName name="version">[2]definicja!$D$1</definedName>
    <definedName name="WydatkiPar">[1]definicja!$H$5</definedName>
    <definedName name="Z_9360F695_77C0_4418_82C5_829A762C44E9_.wvu.Cols" localSheetId="0" hidden="1">Zał.1!#REF!,Zał.1!#REF!</definedName>
    <definedName name="Z_9360F695_77C0_4418_82C5_829A762C44E9_.wvu.FilterData" localSheetId="0" hidden="1">Zał.1!#REF!</definedName>
    <definedName name="Z_9360F695_77C0_4418_82C5_829A762C44E9_.wvu.PrintArea" localSheetId="0" hidden="1">Zał.1!$A$2:$T$102</definedName>
    <definedName name="Z_9360F695_77C0_4418_82C5_829A762C44E9_.wvu.PrintTitles" localSheetId="0" hidden="1">Zał.1!$A:$B,Zał.1!$2:$3</definedName>
  </definedNames>
  <calcPr calcId="152511"/>
</workbook>
</file>

<file path=xl/calcChain.xml><?xml version="1.0" encoding="utf-8"?>
<calcChain xmlns="http://schemas.openxmlformats.org/spreadsheetml/2006/main">
  <c r="G2" i="17" l="1"/>
  <c r="G3" i="17"/>
  <c r="F3" i="17" s="1"/>
  <c r="E3" i="17" s="1"/>
  <c r="D3" i="17" s="1"/>
  <c r="C3" i="17" s="1"/>
  <c r="C4" i="17"/>
  <c r="D4" i="17"/>
  <c r="E4" i="17"/>
  <c r="F4" i="17"/>
  <c r="G4" i="17"/>
  <c r="H4" i="17"/>
  <c r="I4" i="17"/>
  <c r="J4" i="17"/>
  <c r="K4" i="17"/>
  <c r="L4" i="17"/>
  <c r="M4" i="17"/>
  <c r="N4" i="17"/>
  <c r="O4" i="17"/>
  <c r="P4" i="17"/>
  <c r="Q4" i="17"/>
  <c r="R4" i="17"/>
  <c r="S4" i="17"/>
  <c r="T4" i="17"/>
  <c r="C5" i="17"/>
  <c r="D5" i="17"/>
  <c r="E5" i="17"/>
  <c r="F5" i="17"/>
  <c r="G5" i="17"/>
  <c r="H5" i="17"/>
  <c r="I5" i="17"/>
  <c r="J5" i="17"/>
  <c r="K5" i="17"/>
  <c r="L5" i="17"/>
  <c r="M5" i="17"/>
  <c r="N5" i="17"/>
  <c r="O5" i="17"/>
  <c r="P5" i="17"/>
  <c r="Q5" i="17"/>
  <c r="R5" i="17"/>
  <c r="S5" i="17"/>
  <c r="T5" i="17"/>
  <c r="C6" i="17"/>
  <c r="D6" i="17"/>
  <c r="E6" i="17"/>
  <c r="F6" i="17"/>
  <c r="G6" i="17"/>
  <c r="H6" i="17"/>
  <c r="I6" i="17"/>
  <c r="J6" i="17"/>
  <c r="K6" i="17"/>
  <c r="L6" i="17"/>
  <c r="M6" i="17"/>
  <c r="N6" i="17"/>
  <c r="O6" i="17"/>
  <c r="P6" i="17"/>
  <c r="Q6" i="17"/>
  <c r="R6" i="17"/>
  <c r="S6" i="17"/>
  <c r="T6" i="17"/>
  <c r="C7" i="17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C9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C14" i="17"/>
  <c r="D14" i="17"/>
  <c r="E14" i="17"/>
  <c r="F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C26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C28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C42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C43" i="17"/>
  <c r="D43" i="17"/>
  <c r="E43" i="17"/>
  <c r="F43" i="17"/>
  <c r="G43" i="17"/>
  <c r="H43" i="17"/>
  <c r="I43" i="17"/>
  <c r="J43" i="17"/>
  <c r="K43" i="17"/>
  <c r="L43" i="17"/>
  <c r="M43" i="17"/>
  <c r="N43" i="17"/>
  <c r="O43" i="17"/>
  <c r="P43" i="17"/>
  <c r="Q43" i="17"/>
  <c r="R43" i="17"/>
  <c r="S43" i="17"/>
  <c r="T43" i="17"/>
  <c r="C44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C45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C49" i="17"/>
  <c r="D49" i="17"/>
  <c r="E49" i="17"/>
  <c r="F49" i="17"/>
  <c r="G49" i="17"/>
  <c r="H49" i="17"/>
  <c r="I49" i="17"/>
  <c r="J49" i="17"/>
  <c r="K49" i="17"/>
  <c r="L49" i="17"/>
  <c r="M49" i="17"/>
  <c r="N49" i="17"/>
  <c r="O49" i="17"/>
  <c r="P49" i="17"/>
  <c r="Q49" i="17"/>
  <c r="R49" i="17"/>
  <c r="S49" i="17"/>
  <c r="T49" i="17"/>
  <c r="C50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C52" i="17"/>
  <c r="D52" i="17"/>
  <c r="E52" i="17"/>
  <c r="F52" i="17"/>
  <c r="G52" i="17"/>
  <c r="H52" i="17"/>
  <c r="I52" i="17"/>
  <c r="J52" i="17"/>
  <c r="K52" i="17"/>
  <c r="L52" i="17"/>
  <c r="M52" i="17"/>
  <c r="N52" i="17"/>
  <c r="O52" i="17"/>
  <c r="P52" i="17"/>
  <c r="Q52" i="17"/>
  <c r="R52" i="17"/>
  <c r="S52" i="17"/>
  <c r="T52" i="17"/>
  <c r="C53" i="17"/>
  <c r="D53" i="17"/>
  <c r="E53" i="17"/>
  <c r="F53" i="17"/>
  <c r="G53" i="17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G55" i="17"/>
  <c r="H55" i="17"/>
  <c r="I55" i="17"/>
  <c r="I64" i="17" s="1"/>
  <c r="J55" i="17"/>
  <c r="K55" i="17"/>
  <c r="L55" i="17"/>
  <c r="M55" i="17"/>
  <c r="M64" i="17" s="1"/>
  <c r="N55" i="17"/>
  <c r="O55" i="17"/>
  <c r="P55" i="17"/>
  <c r="Q55" i="17"/>
  <c r="Q64" i="17" s="1"/>
  <c r="R55" i="17"/>
  <c r="S55" i="17"/>
  <c r="T55" i="17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C58" i="17"/>
  <c r="D58" i="17"/>
  <c r="E58" i="17"/>
  <c r="F58" i="17"/>
  <c r="G58" i="17"/>
  <c r="H58" i="17"/>
  <c r="I58" i="17"/>
  <c r="J58" i="17"/>
  <c r="K58" i="17"/>
  <c r="L58" i="17"/>
  <c r="M58" i="17"/>
  <c r="N58" i="17"/>
  <c r="O58" i="17"/>
  <c r="P58" i="17"/>
  <c r="Q58" i="17"/>
  <c r="R58" i="17"/>
  <c r="S58" i="17"/>
  <c r="T58" i="17"/>
  <c r="C59" i="17"/>
  <c r="D59" i="17"/>
  <c r="E59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S59" i="17"/>
  <c r="T59" i="17"/>
  <c r="C60" i="17"/>
  <c r="D60" i="17"/>
  <c r="E60" i="17"/>
  <c r="F60" i="17"/>
  <c r="G60" i="17"/>
  <c r="H60" i="17"/>
  <c r="I60" i="17"/>
  <c r="J60" i="17"/>
  <c r="K60" i="17"/>
  <c r="L60" i="17"/>
  <c r="M60" i="17"/>
  <c r="N60" i="17"/>
  <c r="O60" i="17"/>
  <c r="P60" i="17"/>
  <c r="Q60" i="17"/>
  <c r="R60" i="17"/>
  <c r="S60" i="17"/>
  <c r="T60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1" i="17"/>
  <c r="T61" i="17"/>
  <c r="G62" i="17"/>
  <c r="H62" i="17"/>
  <c r="I62" i="17"/>
  <c r="J62" i="17"/>
  <c r="K62" i="17"/>
  <c r="K64" i="17" s="1"/>
  <c r="L62" i="17"/>
  <c r="M62" i="17"/>
  <c r="N62" i="17"/>
  <c r="O62" i="17"/>
  <c r="P62" i="17"/>
  <c r="Q62" i="17"/>
  <c r="R62" i="17"/>
  <c r="S62" i="17"/>
  <c r="S64" i="17" s="1"/>
  <c r="T62" i="17"/>
  <c r="G63" i="17"/>
  <c r="H63" i="17"/>
  <c r="I63" i="17"/>
  <c r="J63" i="17"/>
  <c r="K63" i="17"/>
  <c r="L63" i="17"/>
  <c r="M63" i="17"/>
  <c r="N63" i="17"/>
  <c r="O63" i="17"/>
  <c r="P63" i="17"/>
  <c r="Q63" i="17"/>
  <c r="R63" i="17"/>
  <c r="S63" i="17"/>
  <c r="T63" i="17"/>
  <c r="G64" i="17"/>
  <c r="H64" i="17"/>
  <c r="L64" i="17"/>
  <c r="O64" i="17"/>
  <c r="P64" i="17"/>
  <c r="T64" i="17"/>
  <c r="C66" i="17"/>
  <c r="D66" i="17"/>
  <c r="E66" i="17"/>
  <c r="F66" i="17"/>
  <c r="G66" i="17"/>
  <c r="H66" i="17"/>
  <c r="I66" i="17"/>
  <c r="J66" i="17"/>
  <c r="K66" i="17"/>
  <c r="L66" i="17"/>
  <c r="M66" i="17"/>
  <c r="N66" i="17"/>
  <c r="O66" i="17"/>
  <c r="P66" i="17"/>
  <c r="Q66" i="17"/>
  <c r="R66" i="17"/>
  <c r="S66" i="17"/>
  <c r="T66" i="17"/>
  <c r="C67" i="17"/>
  <c r="D67" i="17"/>
  <c r="E67" i="17"/>
  <c r="F67" i="17"/>
  <c r="G67" i="17"/>
  <c r="H67" i="17"/>
  <c r="I67" i="17"/>
  <c r="J67" i="17"/>
  <c r="K67" i="17"/>
  <c r="L67" i="17"/>
  <c r="M67" i="17"/>
  <c r="N67" i="17"/>
  <c r="O67" i="17"/>
  <c r="P67" i="17"/>
  <c r="Q67" i="17"/>
  <c r="R67" i="17"/>
  <c r="S67" i="17"/>
  <c r="T67" i="17"/>
  <c r="C68" i="17"/>
  <c r="D68" i="17"/>
  <c r="E68" i="17"/>
  <c r="F68" i="17"/>
  <c r="G68" i="17"/>
  <c r="H68" i="17"/>
  <c r="I68" i="17"/>
  <c r="J68" i="17"/>
  <c r="K68" i="17"/>
  <c r="L68" i="17"/>
  <c r="M68" i="17"/>
  <c r="N68" i="17"/>
  <c r="O68" i="17"/>
  <c r="P68" i="17"/>
  <c r="Q68" i="17"/>
  <c r="R68" i="17"/>
  <c r="S68" i="17"/>
  <c r="T68" i="17"/>
  <c r="C69" i="17"/>
  <c r="D69" i="17"/>
  <c r="E69" i="17"/>
  <c r="F69" i="17"/>
  <c r="G69" i="17"/>
  <c r="H69" i="17"/>
  <c r="I69" i="17"/>
  <c r="J69" i="17"/>
  <c r="K69" i="17"/>
  <c r="L69" i="17"/>
  <c r="M69" i="17"/>
  <c r="N69" i="17"/>
  <c r="O69" i="17"/>
  <c r="P69" i="17"/>
  <c r="Q69" i="17"/>
  <c r="R69" i="17"/>
  <c r="S69" i="17"/>
  <c r="T69" i="17"/>
  <c r="C70" i="17"/>
  <c r="D70" i="17"/>
  <c r="E70" i="17"/>
  <c r="F70" i="17"/>
  <c r="G70" i="17"/>
  <c r="H70" i="17"/>
  <c r="I70" i="17"/>
  <c r="J70" i="17"/>
  <c r="K70" i="17"/>
  <c r="L70" i="17"/>
  <c r="M70" i="17"/>
  <c r="N70" i="17"/>
  <c r="O70" i="17"/>
  <c r="P70" i="17"/>
  <c r="Q70" i="17"/>
  <c r="R70" i="17"/>
  <c r="S70" i="17"/>
  <c r="T70" i="17"/>
  <c r="C71" i="17"/>
  <c r="D71" i="17"/>
  <c r="E71" i="17"/>
  <c r="F71" i="17"/>
  <c r="G71" i="17"/>
  <c r="H71" i="17"/>
  <c r="I71" i="17"/>
  <c r="J71" i="17"/>
  <c r="K71" i="17"/>
  <c r="L71" i="17"/>
  <c r="M71" i="17"/>
  <c r="N71" i="17"/>
  <c r="O71" i="17"/>
  <c r="P71" i="17"/>
  <c r="Q71" i="17"/>
  <c r="R71" i="17"/>
  <c r="S71" i="17"/>
  <c r="T71" i="17"/>
  <c r="C72" i="17"/>
  <c r="D72" i="17"/>
  <c r="E72" i="17"/>
  <c r="F72" i="17"/>
  <c r="G72" i="17"/>
  <c r="H72" i="17"/>
  <c r="I72" i="17"/>
  <c r="J72" i="17"/>
  <c r="K72" i="17"/>
  <c r="L72" i="17"/>
  <c r="M72" i="17"/>
  <c r="N72" i="17"/>
  <c r="O72" i="17"/>
  <c r="P72" i="17"/>
  <c r="Q72" i="17"/>
  <c r="R72" i="17"/>
  <c r="S72" i="17"/>
  <c r="T72" i="17"/>
  <c r="C73" i="17"/>
  <c r="D73" i="17"/>
  <c r="E73" i="17"/>
  <c r="F73" i="17"/>
  <c r="G73" i="17"/>
  <c r="H73" i="17"/>
  <c r="I73" i="17"/>
  <c r="J73" i="17"/>
  <c r="K73" i="17"/>
  <c r="L73" i="17"/>
  <c r="M73" i="17"/>
  <c r="N73" i="17"/>
  <c r="O73" i="17"/>
  <c r="P73" i="17"/>
  <c r="Q73" i="17"/>
  <c r="R73" i="17"/>
  <c r="S73" i="17"/>
  <c r="T73" i="17"/>
  <c r="C74" i="17"/>
  <c r="D74" i="17"/>
  <c r="E74" i="17"/>
  <c r="F74" i="17"/>
  <c r="G74" i="17"/>
  <c r="H74" i="17"/>
  <c r="I74" i="17"/>
  <c r="J74" i="17"/>
  <c r="K74" i="17"/>
  <c r="L74" i="17"/>
  <c r="M74" i="17"/>
  <c r="N74" i="17"/>
  <c r="O74" i="17"/>
  <c r="P74" i="17"/>
  <c r="Q74" i="17"/>
  <c r="R74" i="17"/>
  <c r="S74" i="17"/>
  <c r="T74" i="17"/>
  <c r="C75" i="17"/>
  <c r="D75" i="17"/>
  <c r="E75" i="17"/>
  <c r="F75" i="17"/>
  <c r="G75" i="17"/>
  <c r="H75" i="17"/>
  <c r="I75" i="17"/>
  <c r="J75" i="17"/>
  <c r="K75" i="17"/>
  <c r="L75" i="17"/>
  <c r="M75" i="17"/>
  <c r="N75" i="17"/>
  <c r="O75" i="17"/>
  <c r="P75" i="17"/>
  <c r="Q75" i="17"/>
  <c r="R75" i="17"/>
  <c r="S75" i="17"/>
  <c r="T75" i="17"/>
  <c r="C76" i="17"/>
  <c r="D76" i="17"/>
  <c r="E76" i="17"/>
  <c r="F76" i="17"/>
  <c r="G76" i="17"/>
  <c r="H76" i="17"/>
  <c r="I76" i="17"/>
  <c r="J76" i="17"/>
  <c r="K76" i="17"/>
  <c r="L76" i="17"/>
  <c r="M76" i="17"/>
  <c r="N76" i="17"/>
  <c r="O76" i="17"/>
  <c r="P76" i="17"/>
  <c r="Q76" i="17"/>
  <c r="R76" i="17"/>
  <c r="S76" i="17"/>
  <c r="T76" i="17"/>
  <c r="C77" i="17"/>
  <c r="D77" i="17"/>
  <c r="E77" i="17"/>
  <c r="F77" i="17"/>
  <c r="G77" i="17"/>
  <c r="H77" i="17"/>
  <c r="I77" i="17"/>
  <c r="J77" i="17"/>
  <c r="K77" i="17"/>
  <c r="L77" i="17"/>
  <c r="M77" i="17"/>
  <c r="N77" i="17"/>
  <c r="O77" i="17"/>
  <c r="P77" i="17"/>
  <c r="Q77" i="17"/>
  <c r="R77" i="17"/>
  <c r="S77" i="17"/>
  <c r="T77" i="17"/>
  <c r="C79" i="17"/>
  <c r="D79" i="17"/>
  <c r="E79" i="17"/>
  <c r="F79" i="17"/>
  <c r="G79" i="17"/>
  <c r="H79" i="17"/>
  <c r="I79" i="17"/>
  <c r="J79" i="17"/>
  <c r="K79" i="17"/>
  <c r="L79" i="17"/>
  <c r="M79" i="17"/>
  <c r="N79" i="17"/>
  <c r="O79" i="17"/>
  <c r="P79" i="17"/>
  <c r="Q79" i="17"/>
  <c r="R79" i="17"/>
  <c r="S79" i="17"/>
  <c r="T79" i="17"/>
  <c r="C80" i="17"/>
  <c r="D80" i="17"/>
  <c r="E80" i="17"/>
  <c r="F80" i="17"/>
  <c r="G80" i="17"/>
  <c r="H80" i="17"/>
  <c r="I80" i="17"/>
  <c r="J80" i="17"/>
  <c r="K80" i="17"/>
  <c r="L80" i="17"/>
  <c r="M80" i="17"/>
  <c r="N80" i="17"/>
  <c r="O80" i="17"/>
  <c r="P80" i="17"/>
  <c r="Q80" i="17"/>
  <c r="R80" i="17"/>
  <c r="S80" i="17"/>
  <c r="T80" i="17"/>
  <c r="C81" i="17"/>
  <c r="D81" i="17"/>
  <c r="E81" i="17"/>
  <c r="F81" i="17"/>
  <c r="G81" i="17"/>
  <c r="H81" i="17"/>
  <c r="I81" i="17"/>
  <c r="J81" i="17"/>
  <c r="K81" i="17"/>
  <c r="L81" i="17"/>
  <c r="M81" i="17"/>
  <c r="N81" i="17"/>
  <c r="O81" i="17"/>
  <c r="P81" i="17"/>
  <c r="Q81" i="17"/>
  <c r="R81" i="17"/>
  <c r="S81" i="17"/>
  <c r="T81" i="17"/>
  <c r="C82" i="17"/>
  <c r="D82" i="17"/>
  <c r="E82" i="17"/>
  <c r="F82" i="17"/>
  <c r="G82" i="17"/>
  <c r="H82" i="17"/>
  <c r="I82" i="17"/>
  <c r="J82" i="17"/>
  <c r="K82" i="17"/>
  <c r="L82" i="17"/>
  <c r="M82" i="17"/>
  <c r="N82" i="17"/>
  <c r="O82" i="17"/>
  <c r="P82" i="17"/>
  <c r="Q82" i="17"/>
  <c r="R82" i="17"/>
  <c r="S82" i="17"/>
  <c r="T82" i="17"/>
  <c r="C83" i="17"/>
  <c r="D83" i="17"/>
  <c r="E83" i="17"/>
  <c r="F83" i="17"/>
  <c r="G83" i="17"/>
  <c r="H83" i="17"/>
  <c r="I83" i="17"/>
  <c r="J83" i="17"/>
  <c r="K83" i="17"/>
  <c r="L83" i="17"/>
  <c r="M83" i="17"/>
  <c r="N83" i="17"/>
  <c r="O83" i="17"/>
  <c r="P83" i="17"/>
  <c r="Q83" i="17"/>
  <c r="R83" i="17"/>
  <c r="S83" i="17"/>
  <c r="T83" i="17"/>
  <c r="C84" i="17"/>
  <c r="D84" i="17"/>
  <c r="E84" i="17"/>
  <c r="F84" i="17"/>
  <c r="G84" i="17"/>
  <c r="H84" i="17"/>
  <c r="I84" i="17"/>
  <c r="J84" i="17"/>
  <c r="K84" i="17"/>
  <c r="L84" i="17"/>
  <c r="M84" i="17"/>
  <c r="N84" i="17"/>
  <c r="O84" i="17"/>
  <c r="P84" i="17"/>
  <c r="Q84" i="17"/>
  <c r="R84" i="17"/>
  <c r="S84" i="17"/>
  <c r="T84" i="17"/>
  <c r="C85" i="17"/>
  <c r="D85" i="17"/>
  <c r="E85" i="17"/>
  <c r="F85" i="17"/>
  <c r="G85" i="17"/>
  <c r="H85" i="17"/>
  <c r="I85" i="17"/>
  <c r="J85" i="17"/>
  <c r="K85" i="17"/>
  <c r="L85" i="17"/>
  <c r="M85" i="17"/>
  <c r="N85" i="17"/>
  <c r="O85" i="17"/>
  <c r="P85" i="17"/>
  <c r="Q85" i="17"/>
  <c r="R85" i="17"/>
  <c r="S85" i="17"/>
  <c r="T85" i="17"/>
  <c r="C86" i="17"/>
  <c r="D86" i="17"/>
  <c r="E86" i="17"/>
  <c r="F86" i="17"/>
  <c r="G86" i="17"/>
  <c r="H86" i="17"/>
  <c r="I86" i="17"/>
  <c r="J86" i="17"/>
  <c r="K86" i="17"/>
  <c r="L86" i="17"/>
  <c r="M86" i="17"/>
  <c r="N86" i="17"/>
  <c r="O86" i="17"/>
  <c r="P86" i="17"/>
  <c r="Q86" i="17"/>
  <c r="R86" i="17"/>
  <c r="S86" i="17"/>
  <c r="T86" i="17"/>
  <c r="C87" i="17"/>
  <c r="D87" i="17"/>
  <c r="E87" i="17"/>
  <c r="F87" i="17"/>
  <c r="G87" i="17"/>
  <c r="H87" i="17"/>
  <c r="I87" i="17"/>
  <c r="J87" i="17"/>
  <c r="K87" i="17"/>
  <c r="L87" i="17"/>
  <c r="M87" i="17"/>
  <c r="N87" i="17"/>
  <c r="O87" i="17"/>
  <c r="P87" i="17"/>
  <c r="Q87" i="17"/>
  <c r="R87" i="17"/>
  <c r="S87" i="17"/>
  <c r="T87" i="17"/>
  <c r="C88" i="17"/>
  <c r="D88" i="17"/>
  <c r="E88" i="17"/>
  <c r="F88" i="17"/>
  <c r="G88" i="17"/>
  <c r="H88" i="17"/>
  <c r="I88" i="17"/>
  <c r="J88" i="17"/>
  <c r="K88" i="17"/>
  <c r="L88" i="17"/>
  <c r="M88" i="17"/>
  <c r="N88" i="17"/>
  <c r="O88" i="17"/>
  <c r="P88" i="17"/>
  <c r="Q88" i="17"/>
  <c r="R88" i="17"/>
  <c r="S88" i="17"/>
  <c r="T88" i="17"/>
  <c r="C89" i="17"/>
  <c r="D89" i="17"/>
  <c r="E89" i="17"/>
  <c r="F89" i="17"/>
  <c r="G89" i="17"/>
  <c r="H89" i="17"/>
  <c r="I89" i="17"/>
  <c r="J89" i="17"/>
  <c r="K89" i="17"/>
  <c r="L89" i="17"/>
  <c r="M89" i="17"/>
  <c r="N89" i="17"/>
  <c r="O89" i="17"/>
  <c r="P89" i="17"/>
  <c r="Q89" i="17"/>
  <c r="R89" i="17"/>
  <c r="S89" i="17"/>
  <c r="T89" i="17"/>
  <c r="C90" i="17"/>
  <c r="D90" i="17"/>
  <c r="E90" i="17"/>
  <c r="F90" i="17"/>
  <c r="G90" i="17"/>
  <c r="H90" i="17"/>
  <c r="I90" i="17"/>
  <c r="J90" i="17"/>
  <c r="K90" i="17"/>
  <c r="L90" i="17"/>
  <c r="M90" i="17"/>
  <c r="N90" i="17"/>
  <c r="O90" i="17"/>
  <c r="P90" i="17"/>
  <c r="Q90" i="17"/>
  <c r="R90" i="17"/>
  <c r="S90" i="17"/>
  <c r="T90" i="17"/>
  <c r="C91" i="17"/>
  <c r="D91" i="17"/>
  <c r="E91" i="17"/>
  <c r="F91" i="17"/>
  <c r="G91" i="17"/>
  <c r="H91" i="17"/>
  <c r="I91" i="17"/>
  <c r="J91" i="17"/>
  <c r="K91" i="17"/>
  <c r="L91" i="17"/>
  <c r="M91" i="17"/>
  <c r="N91" i="17"/>
  <c r="O91" i="17"/>
  <c r="P91" i="17"/>
  <c r="Q91" i="17"/>
  <c r="R91" i="17"/>
  <c r="S91" i="17"/>
  <c r="T91" i="17"/>
  <c r="C92" i="17"/>
  <c r="D92" i="17"/>
  <c r="E92" i="17"/>
  <c r="F92" i="17"/>
  <c r="G92" i="17"/>
  <c r="H92" i="17"/>
  <c r="I92" i="17"/>
  <c r="J92" i="17"/>
  <c r="K92" i="17"/>
  <c r="L92" i="17"/>
  <c r="M92" i="17"/>
  <c r="N92" i="17"/>
  <c r="O92" i="17"/>
  <c r="P92" i="17"/>
  <c r="Q92" i="17"/>
  <c r="R92" i="17"/>
  <c r="S92" i="17"/>
  <c r="T92" i="17"/>
  <c r="C93" i="17"/>
  <c r="D93" i="17"/>
  <c r="E93" i="17"/>
  <c r="F93" i="17"/>
  <c r="G93" i="17"/>
  <c r="H93" i="17"/>
  <c r="I93" i="17"/>
  <c r="J93" i="17"/>
  <c r="K93" i="17"/>
  <c r="L93" i="17"/>
  <c r="M93" i="17"/>
  <c r="N93" i="17"/>
  <c r="O93" i="17"/>
  <c r="P93" i="17"/>
  <c r="Q93" i="17"/>
  <c r="R93" i="17"/>
  <c r="S93" i="17"/>
  <c r="T93" i="17"/>
  <c r="C94" i="17"/>
  <c r="D94" i="17"/>
  <c r="E94" i="17"/>
  <c r="F94" i="17"/>
  <c r="G94" i="17"/>
  <c r="H94" i="17"/>
  <c r="I94" i="17"/>
  <c r="J94" i="17"/>
  <c r="K94" i="17"/>
  <c r="L94" i="17"/>
  <c r="M94" i="17"/>
  <c r="N94" i="17"/>
  <c r="O94" i="17"/>
  <c r="P94" i="17"/>
  <c r="Q94" i="17"/>
  <c r="R94" i="17"/>
  <c r="S94" i="17"/>
  <c r="T94" i="17"/>
  <c r="C96" i="17"/>
  <c r="D96" i="17"/>
  <c r="E96" i="17"/>
  <c r="F96" i="17"/>
  <c r="G96" i="17"/>
  <c r="H96" i="17"/>
  <c r="I96" i="17"/>
  <c r="J96" i="17"/>
  <c r="K96" i="17"/>
  <c r="L96" i="17"/>
  <c r="M96" i="17"/>
  <c r="N96" i="17"/>
  <c r="O96" i="17"/>
  <c r="P96" i="17"/>
  <c r="Q96" i="17"/>
  <c r="R96" i="17"/>
  <c r="S96" i="17"/>
  <c r="T96" i="17"/>
  <c r="C97" i="17"/>
  <c r="D97" i="17"/>
  <c r="E97" i="17"/>
  <c r="F97" i="17"/>
  <c r="G97" i="17"/>
  <c r="H97" i="17"/>
  <c r="I97" i="17"/>
  <c r="J97" i="17"/>
  <c r="K97" i="17"/>
  <c r="L97" i="17"/>
  <c r="M97" i="17"/>
  <c r="N97" i="17"/>
  <c r="O97" i="17"/>
  <c r="P97" i="17"/>
  <c r="Q97" i="17"/>
  <c r="R97" i="17"/>
  <c r="S97" i="17"/>
  <c r="T97" i="17"/>
  <c r="C98" i="17"/>
  <c r="D98" i="17"/>
  <c r="E98" i="17"/>
  <c r="F98" i="17"/>
  <c r="G98" i="17"/>
  <c r="H98" i="17"/>
  <c r="I98" i="17"/>
  <c r="J98" i="17"/>
  <c r="K98" i="17"/>
  <c r="L98" i="17"/>
  <c r="M98" i="17"/>
  <c r="N98" i="17"/>
  <c r="O98" i="17"/>
  <c r="P98" i="17"/>
  <c r="Q98" i="17"/>
  <c r="R98" i="17"/>
  <c r="S98" i="17"/>
  <c r="T98" i="17"/>
  <c r="C100" i="17"/>
  <c r="D100" i="17"/>
  <c r="E100" i="17"/>
  <c r="F100" i="17"/>
  <c r="G100" i="17"/>
  <c r="H100" i="17"/>
  <c r="I100" i="17"/>
  <c r="J100" i="17"/>
  <c r="K100" i="17"/>
  <c r="L100" i="17"/>
  <c r="M100" i="17"/>
  <c r="N100" i="17"/>
  <c r="O100" i="17"/>
  <c r="P100" i="17"/>
  <c r="Q100" i="17"/>
  <c r="R100" i="17"/>
  <c r="S100" i="17"/>
  <c r="T100" i="17"/>
  <c r="G101" i="17"/>
  <c r="H101" i="17"/>
  <c r="I101" i="17"/>
  <c r="J101" i="17"/>
  <c r="K101" i="17"/>
  <c r="L101" i="17"/>
  <c r="M101" i="17"/>
  <c r="N101" i="17"/>
  <c r="O101" i="17"/>
  <c r="P101" i="17"/>
  <c r="Q101" i="17"/>
  <c r="R101" i="17"/>
  <c r="S101" i="17"/>
  <c r="T101" i="17"/>
  <c r="G102" i="17"/>
  <c r="H102" i="17"/>
  <c r="I102" i="17"/>
  <c r="J102" i="17"/>
  <c r="K102" i="17"/>
  <c r="L102" i="17"/>
  <c r="M102" i="17"/>
  <c r="N102" i="17"/>
  <c r="O102" i="17"/>
  <c r="P102" i="17"/>
  <c r="Q102" i="17"/>
  <c r="R102" i="17"/>
  <c r="S102" i="17"/>
  <c r="T102" i="17"/>
  <c r="R64" i="17" l="1"/>
  <c r="N64" i="17"/>
  <c r="J64" i="17"/>
  <c r="H3" i="17"/>
  <c r="I3" i="17" s="1"/>
  <c r="J3" i="17" s="1"/>
  <c r="K3" i="17" s="1"/>
  <c r="L3" i="17" s="1"/>
  <c r="M3" i="17" s="1"/>
  <c r="N3" i="17" s="1"/>
  <c r="O3" i="17" s="1"/>
  <c r="P3" i="17" s="1"/>
  <c r="Q3" i="17" s="1"/>
  <c r="R3" i="17" s="1"/>
  <c r="S3" i="17" s="1"/>
  <c r="T3" i="17" s="1"/>
  <c r="F48" i="13" l="1"/>
  <c r="F64" i="13" l="1"/>
  <c r="F30" i="13"/>
  <c r="F33" i="13"/>
  <c r="G33" i="13"/>
  <c r="F42" i="13"/>
  <c r="F40" i="13"/>
  <c r="F35" i="13"/>
  <c r="G35" i="13"/>
  <c r="G64" i="13"/>
  <c r="F54" i="13" l="1"/>
  <c r="F36" i="13"/>
  <c r="P17" i="13"/>
  <c r="F51" i="13" l="1"/>
  <c r="G51" i="13"/>
  <c r="I30" i="13" l="1"/>
  <c r="K30" i="13"/>
  <c r="L30" i="13"/>
  <c r="M30" i="13"/>
  <c r="M25" i="13" s="1"/>
  <c r="N30" i="13"/>
  <c r="O30" i="13"/>
  <c r="P83" i="13"/>
  <c r="P50" i="13"/>
  <c r="P32" i="13"/>
  <c r="P34" i="13"/>
  <c r="P35" i="13"/>
  <c r="P36" i="13"/>
  <c r="P37" i="13"/>
  <c r="P38" i="13"/>
  <c r="P39" i="13"/>
  <c r="P40" i="13"/>
  <c r="P41" i="13"/>
  <c r="P44" i="13"/>
  <c r="P45" i="13"/>
  <c r="P46" i="13"/>
  <c r="P47" i="13"/>
  <c r="P48" i="13"/>
  <c r="P49" i="13"/>
  <c r="P51" i="13"/>
  <c r="P52" i="13"/>
  <c r="P53" i="13"/>
  <c r="P54" i="13"/>
  <c r="P55" i="13"/>
  <c r="P56" i="13"/>
  <c r="P57" i="13"/>
  <c r="P58" i="13"/>
  <c r="P59" i="13"/>
  <c r="P60" i="13"/>
  <c r="P61" i="13"/>
  <c r="P65" i="13"/>
  <c r="P66" i="13"/>
  <c r="P67" i="13"/>
  <c r="P68" i="13"/>
  <c r="P69" i="13"/>
  <c r="P70" i="13"/>
  <c r="P71" i="13"/>
  <c r="P72" i="13"/>
  <c r="P73" i="13"/>
  <c r="P74" i="13"/>
  <c r="P75" i="13"/>
  <c r="P76" i="13"/>
  <c r="P77" i="13"/>
  <c r="P78" i="13"/>
  <c r="P79" i="13"/>
  <c r="P80" i="13"/>
  <c r="P81" i="13"/>
  <c r="P82" i="13"/>
  <c r="P31" i="13"/>
  <c r="P19" i="13"/>
  <c r="H11" i="13"/>
  <c r="H10" i="13" s="1"/>
  <c r="I11" i="13"/>
  <c r="I10" i="13" s="1"/>
  <c r="J11" i="13"/>
  <c r="J10" i="13" s="1"/>
  <c r="K11" i="13"/>
  <c r="K10" i="13" s="1"/>
  <c r="L11" i="13"/>
  <c r="L10" i="13" s="1"/>
  <c r="M11" i="13"/>
  <c r="M10" i="13" s="1"/>
  <c r="N11" i="13"/>
  <c r="N10" i="13" s="1"/>
  <c r="O11" i="13"/>
  <c r="O10" i="13" s="1"/>
  <c r="G26" i="13"/>
  <c r="H26" i="13"/>
  <c r="I26" i="13"/>
  <c r="J26" i="13"/>
  <c r="K26" i="13"/>
  <c r="L26" i="13"/>
  <c r="L25" i="13" s="1"/>
  <c r="M26" i="13"/>
  <c r="N26" i="13"/>
  <c r="N25" i="13" s="1"/>
  <c r="O26" i="13"/>
  <c r="J42" i="13"/>
  <c r="J30" i="13" s="1"/>
  <c r="H42" i="13"/>
  <c r="H30" i="13" s="1"/>
  <c r="I25" i="13" l="1"/>
  <c r="P42" i="13"/>
  <c r="J25" i="13"/>
  <c r="H25" i="13"/>
  <c r="O25" i="13"/>
  <c r="K25" i="13"/>
  <c r="P64" i="13" l="1"/>
  <c r="G63" i="13"/>
  <c r="P63" i="13" s="1"/>
  <c r="F63" i="13"/>
  <c r="G62" i="13"/>
  <c r="P62" i="13" s="1"/>
  <c r="F62" i="13"/>
  <c r="F50" i="13"/>
  <c r="F49" i="13"/>
  <c r="F46" i="13"/>
  <c r="G43" i="13"/>
  <c r="P43" i="13" s="1"/>
  <c r="F43" i="13"/>
  <c r="F34" i="13"/>
  <c r="F32" i="13"/>
  <c r="F31" i="13"/>
  <c r="O9" i="13"/>
  <c r="K9" i="13"/>
  <c r="J9" i="13"/>
  <c r="I9" i="13"/>
  <c r="H9" i="13"/>
  <c r="P29" i="13"/>
  <c r="P28" i="13"/>
  <c r="P27" i="13"/>
  <c r="F27" i="13"/>
  <c r="F26" i="13" s="1"/>
  <c r="P22" i="13"/>
  <c r="O22" i="13"/>
  <c r="N22" i="13"/>
  <c r="M22" i="13"/>
  <c r="L22" i="13"/>
  <c r="K22" i="13"/>
  <c r="J22" i="13"/>
  <c r="I22" i="13"/>
  <c r="H22" i="13"/>
  <c r="G22" i="13"/>
  <c r="F22" i="13"/>
  <c r="P20" i="13"/>
  <c r="F11" i="13"/>
  <c r="F10" i="13" s="1"/>
  <c r="G18" i="13"/>
  <c r="G11" i="13" s="1"/>
  <c r="P16" i="13"/>
  <c r="P15" i="13"/>
  <c r="P14" i="13"/>
  <c r="P13" i="13"/>
  <c r="P12" i="13"/>
  <c r="L8" i="13"/>
  <c r="H8" i="13"/>
  <c r="N9" i="13"/>
  <c r="M9" i="13"/>
  <c r="L9" i="13"/>
  <c r="O8" i="13"/>
  <c r="K8" i="13"/>
  <c r="I8" i="13"/>
  <c r="P33" i="13" l="1"/>
  <c r="P30" i="13" s="1"/>
  <c r="G30" i="13"/>
  <c r="G25" i="13" s="1"/>
  <c r="F25" i="13"/>
  <c r="F7" i="13" s="1"/>
  <c r="P18" i="13"/>
  <c r="P11" i="13" s="1"/>
  <c r="G10" i="13"/>
  <c r="P26" i="13"/>
  <c r="M7" i="13"/>
  <c r="K7" i="13"/>
  <c r="O7" i="13"/>
  <c r="M8" i="13"/>
  <c r="J7" i="13"/>
  <c r="N7" i="13"/>
  <c r="I7" i="13"/>
  <c r="F8" i="13"/>
  <c r="J8" i="13"/>
  <c r="N8" i="13"/>
  <c r="H7" i="13"/>
  <c r="L7" i="13"/>
  <c r="P25" i="13" l="1"/>
  <c r="F9" i="13"/>
  <c r="P10" i="13"/>
  <c r="P8" i="13"/>
  <c r="P9" i="13"/>
  <c r="G9" i="13"/>
  <c r="G8" i="13"/>
  <c r="P7" i="13" l="1"/>
  <c r="G7" i="13"/>
</calcChain>
</file>

<file path=xl/sharedStrings.xml><?xml version="1.0" encoding="utf-8"?>
<sst xmlns="http://schemas.openxmlformats.org/spreadsheetml/2006/main" count="565" uniqueCount="350">
  <si>
    <t>Wykaz przedsięwzięć wieloletnich</t>
  </si>
  <si>
    <t>Lp.</t>
  </si>
  <si>
    <t>Nazwa i cel przedsięwzięcia</t>
  </si>
  <si>
    <t>Jednostka odpowiedzialna                                          lub koordynująca program</t>
  </si>
  <si>
    <t>Okres realizacji programu</t>
  </si>
  <si>
    <t>Łączne nakłady finansowe</t>
  </si>
  <si>
    <t>Limit zobowiązań</t>
  </si>
  <si>
    <t>od</t>
  </si>
  <si>
    <t>do</t>
  </si>
  <si>
    <t>1.</t>
  </si>
  <si>
    <t>Wydatki na przedsięwzięcia - ogółem (1.1.+1.2.+1.3.), z tego:</t>
  </si>
  <si>
    <t>1.a</t>
  </si>
  <si>
    <t>wydatki bieżące</t>
  </si>
  <si>
    <t>1.b</t>
  </si>
  <si>
    <t>wydatki majątkowe</t>
  </si>
  <si>
    <t>1.1.</t>
  </si>
  <si>
    <t>1.1.1.</t>
  </si>
  <si>
    <t>Powiatowe Centrum Pomocy Rodzinie</t>
  </si>
  <si>
    <t>Zespół Szkół Ekonomiczno-Gastronomicznych</t>
  </si>
  <si>
    <t>1.1.1.4</t>
  </si>
  <si>
    <t>1.1.1.5</t>
  </si>
  <si>
    <t>Poprawa funkcjonowania osób niesamodzielnych z terenu powiatu otwockiego poprzez uruchomienie usług socjalnych świadczonych w formie wsparcia dziennego</t>
  </si>
  <si>
    <t>Poznawanie europejskiego rynku pracy</t>
  </si>
  <si>
    <t>1.1.2.</t>
  </si>
  <si>
    <t>Starostwo Powiatowe</t>
  </si>
  <si>
    <t>1.2.</t>
  </si>
  <si>
    <t>Wydatki na programy, projekty lub zadania związane z umowami partnerstwa publiczno-prywatnego, z tego:</t>
  </si>
  <si>
    <t>1.2.1.</t>
  </si>
  <si>
    <t>1.2.2.</t>
  </si>
  <si>
    <t>1.3.</t>
  </si>
  <si>
    <t>Wydatki na programy, projekty lub zadania pozostałe (inne niż wymienione w pkt 1.1, 1.2), z tego:</t>
  </si>
  <si>
    <t>1.3.1.</t>
  </si>
  <si>
    <t>1.3.1.1</t>
  </si>
  <si>
    <t>Dotacja na zadania z zakresu prowadzenia centrum interwencji kryzysowej</t>
  </si>
  <si>
    <t>1.3.1.2</t>
  </si>
  <si>
    <t>Ośrodek koordynacyjno-rehabilitacyjno-opiekuńczy w ramach programu "Za życiem"</t>
  </si>
  <si>
    <t>Specjalny Ośrodek Szkolno-Wychowawczy Nr 2</t>
  </si>
  <si>
    <t>1.3.2.</t>
  </si>
  <si>
    <t>1.3.2.1</t>
  </si>
  <si>
    <t>Budowa chodnika przy drodze powiatowej Nr 2709W w Czarnówce od skrzyżowania w Gliniance</t>
  </si>
  <si>
    <t>Zarząd Dróg Powiatowych</t>
  </si>
  <si>
    <t>1.3.2.2</t>
  </si>
  <si>
    <t>1.3.2.3</t>
  </si>
  <si>
    <t>Przebudowa i rozbudowa budynku w Otwocku przy ul. Komunardów wraz z towarzyszącą infrastrukturą na potrzeby siedziby Starostwa i jednostek organizacyjnych powiatu</t>
  </si>
  <si>
    <t>1.3.2.5</t>
  </si>
  <si>
    <t>1.3.2.6</t>
  </si>
  <si>
    <t>1.3.2.7</t>
  </si>
  <si>
    <t>1.3.2.8</t>
  </si>
  <si>
    <t>Przebudowa sygnalizacji świetlnej na skrzyżowaniu dróg powiatowych Nr 2765W - ul. Kołłątaja i Nr 2763W - ul. Majowej w Otwocku</t>
  </si>
  <si>
    <t>1.3.2.9</t>
  </si>
  <si>
    <t>1.3.2.10</t>
  </si>
  <si>
    <t>Budowa drogi powiatowej Nr 1311W w Natolinie</t>
  </si>
  <si>
    <t>1.3.2.11</t>
  </si>
  <si>
    <t>1.3.2.12</t>
  </si>
  <si>
    <t>Modernizacja drogi powiatowej Nr 2737W Anielinek-Sępochów-Rudno</t>
  </si>
  <si>
    <t>1.3.2.13</t>
  </si>
  <si>
    <t>1.3.2.14</t>
  </si>
  <si>
    <t>1.3.2.15</t>
  </si>
  <si>
    <t>Wykonanie nakładki asfaltobetonowej na drodze powiatowej Nr 2728W w Ostrówcu</t>
  </si>
  <si>
    <t>1.3.2.16</t>
  </si>
  <si>
    <t>Modernizacja drogi powiatowej Nr 2729W Kępa Gliniecka - Otwock Wielki - Otwock Mały - Karczew od drogi krajowej Nr 50 w kierunku wsi Glinki</t>
  </si>
  <si>
    <t>1.3.2.17</t>
  </si>
  <si>
    <t>1.3.2.18</t>
  </si>
  <si>
    <t>Modernizacja drogi powiatowej Nr 2739W w Radachówce</t>
  </si>
  <si>
    <t>1.3.2.19</t>
  </si>
  <si>
    <t>1.3.2.20</t>
  </si>
  <si>
    <t>1.3.2.21</t>
  </si>
  <si>
    <t>Przebudowa drogi powiatowej Nr 2705W - ul. Kąckiej w Wiązownie</t>
  </si>
  <si>
    <t>1.3.2.22</t>
  </si>
  <si>
    <t>1.3.2.23</t>
  </si>
  <si>
    <t>1.3.2.24</t>
  </si>
  <si>
    <t>1.3.2.25</t>
  </si>
  <si>
    <t>Modernizacja drogi powiatowej Nr 1303W we wsi Śniadków Dolny</t>
  </si>
  <si>
    <t>1.3.2.26</t>
  </si>
  <si>
    <t xml:space="preserve">Dom Pomocy Społecznej "Wrzos" </t>
  </si>
  <si>
    <t>1.3.2.27</t>
  </si>
  <si>
    <t>1.3.2.28</t>
  </si>
  <si>
    <t>1.3.2.29</t>
  </si>
  <si>
    <t>Modernizacja drogi powiatowej Nr 2706W Glinianka - Poręby</t>
  </si>
  <si>
    <t>1.3.2.30</t>
  </si>
  <si>
    <t>Budowa chodnika w drodze powiatowej Nr 2729W - ul. Częstochowskiej w Karczewie</t>
  </si>
  <si>
    <t>Budowa chodnika w drodze powiatowej Nr 2745W w miejscowości Kąty</t>
  </si>
  <si>
    <t xml:space="preserve">Rozbudowa szatni w Zespole Szkół Nr 1 w Otwocku wraz z przebudową części istniejącej </t>
  </si>
  <si>
    <t>Modernizacja drogi powiatowej Nr 2745W w Antoninku</t>
  </si>
  <si>
    <t>Modernizacja drogi powiatowej Nr 2744W w Ponurzycy</t>
  </si>
  <si>
    <t>Modernizacja drogi powiatowej Nr 2751W Sobienie Kiełczewskie-Zuzanów-Czarnowiec</t>
  </si>
  <si>
    <t>Modernizacja drogi powiatowej Nr 2752W Władysławów-Zambrzyków Stary-Sobienie Kiełczewskie</t>
  </si>
  <si>
    <t>Wykonanie nakładki asflatobetonowej na drodze powiatowej Nr 2741W w Kołbieli</t>
  </si>
  <si>
    <t>Modernizacja drogi powiatowej Nr 2746W Grabianka - Górki - Osieck</t>
  </si>
  <si>
    <t>Modernizacja drogi powiatowej Nr 1302W Piwonin - Wysoczyn - Szymanowice</t>
  </si>
  <si>
    <t xml:space="preserve">Modernizacja drogi powiatowej Nr 2712W w miejscowości Kruszówiec </t>
  </si>
  <si>
    <t>1.3.2.31</t>
  </si>
  <si>
    <t>1.3.2.32</t>
  </si>
  <si>
    <t>1.3.2.33</t>
  </si>
  <si>
    <t>1.3.2.34</t>
  </si>
  <si>
    <t>Zespół Szkół Nr 1</t>
  </si>
  <si>
    <t>Wykonanie nakładki asfaltobetonowej na drodze powiatowej Nr 2726W przez Sobiekursk</t>
  </si>
  <si>
    <t>Przebudowa drogi powiatowej Nr 2245 W m. Dobrzyniec, gmina Kołbiel</t>
  </si>
  <si>
    <t>1.1.1.1</t>
  </si>
  <si>
    <t>1.1.1.2</t>
  </si>
  <si>
    <t>1.1.1.3</t>
  </si>
  <si>
    <t>1.1.1.6</t>
  </si>
  <si>
    <t>1.3.2.35</t>
  </si>
  <si>
    <t>Pomoc finansowa dla Gminy Celestynów na zadanie pn. "Budowa skrzyżowania bezkolizyjnego z linią kolejową nr 7 w ciągu ul. Jankowskiego w Celestynowie wraz z budową przyległego układu drogowego, w zamian za likwidację przejazdu kolejowo-drogowego kat. A w km 38,364 linii kolejowej nr 7 w ul. Jankowskiego, w ramach projektu pn. „Poprawa bezpieczeństwa na skrzyżowaniach linii kolejowych z drogami – etap III”</t>
  </si>
  <si>
    <t>1.1.1.7</t>
  </si>
  <si>
    <t>1.1.1.8</t>
  </si>
  <si>
    <t>Podniesienie jakości kształcenia zawodowego w Zespole Szkół nr 2 w Otwocku</t>
  </si>
  <si>
    <t>Podniesienie jakości kształcenia zawodowego w Zespole Szkół Ekonomiczno-Gastronomicznych w Otwocku</t>
  </si>
  <si>
    <t>Zespół Szkół Nr 2</t>
  </si>
  <si>
    <t>Wykonanie nakładki asfaltobetonowej na drodze powiatowej Nr 2739W w Gadce na odcinku od drogi krajowej  Nr 17 do miejscowości Gadka</t>
  </si>
  <si>
    <t>1.3.2.36</t>
  </si>
  <si>
    <t>1.3.2.37</t>
  </si>
  <si>
    <t>1.3.2.38</t>
  </si>
  <si>
    <t>1.3.2.39</t>
  </si>
  <si>
    <t>Wykonanie ZRIDu ciągu pieszo-rowerowego między Izabelą a Zakrętem w ramach poprawy bezpieczeństwa na drodze powiatowej nr 2702W</t>
  </si>
  <si>
    <t>Budowa hali sportowej przy Zespole Szkół Nr 2 im. Marii Skłodowskiej-Curie w Otwocku</t>
  </si>
  <si>
    <t>1.3.2.40</t>
  </si>
  <si>
    <t>Aktywna integracja w powiecie otwockim</t>
  </si>
  <si>
    <t>Rozbudowa skrzyżowania dróg powiatowych Nr 2754W –                              ul. Reymonta i Nr 2758W – ul. Samorządowej w Otwocku na skrzyżowanie typu rondo</t>
  </si>
  <si>
    <t>Rozbudowa na rondo skrzyżowania dróg powiatowych Nr 2775W ul. Stare Miasto  i  Nr 2724W ul. Żaboklickiego  z drogą gminną ul. Bielińskiego w Karczewie</t>
  </si>
  <si>
    <t>1.3.2.41</t>
  </si>
  <si>
    <t>Przebudowa dróg powiatowych nr 2762W i 2763W - ul. Kraszewskiego i Majowej w Otwocku</t>
  </si>
  <si>
    <t>Wydatki na programy, projekty lub zadania związane z programami realizowanymi z udziałem środków, o których mowa w art. 5 ust. 1 pkt 2 i 3 ustawy z dnia 27 sierpnia 2009 r. o finansach publicznych (t.j. Dz. U. z 2019 r. poz. 869, z późn. zm.), z tego:</t>
  </si>
  <si>
    <t>1.3.2.42</t>
  </si>
  <si>
    <t>1.3.1.3</t>
  </si>
  <si>
    <t>Wypracowanie i pilotażowe wdrożenie modelu kompleksowej rehabilitacji umożliwiającej podjęcie lub powrót do pracy</t>
  </si>
  <si>
    <t>Wieloletnia prognoza finansowa</t>
  </si>
  <si>
    <t xml:space="preserve">Wykonanie </t>
  </si>
  <si>
    <t>Plan 3 kw.</t>
  </si>
  <si>
    <t>Wyszczególnienie</t>
  </si>
  <si>
    <t>Dochody ogółem</t>
  </si>
  <si>
    <t>1.1</t>
  </si>
  <si>
    <t>1.1.1</t>
  </si>
  <si>
    <t>dochody z tytułu udziału we wpływach z podatku dochodowego od osób fizycznych</t>
  </si>
  <si>
    <t>1.1.2</t>
  </si>
  <si>
    <t>dochody z tytułu udziału we wpływach z podatku dochodowego od osób prawnych</t>
  </si>
  <si>
    <t>1.1.3</t>
  </si>
  <si>
    <t>z podatku od nieruchomości</t>
  </si>
  <si>
    <t>1.1.4</t>
  </si>
  <si>
    <t>z subwencji ogólnej</t>
  </si>
  <si>
    <t>1.1.5</t>
  </si>
  <si>
    <t>z tytułu dotacji i środków przeznaczonych na cele bieżące</t>
  </si>
  <si>
    <t>1.2</t>
  </si>
  <si>
    <t>1.2.1</t>
  </si>
  <si>
    <t>ze sprzedaży majątku</t>
  </si>
  <si>
    <t>1.2.2</t>
  </si>
  <si>
    <t>z tytułu dotacji oraz środków przeznaczonych na inwestycje</t>
  </si>
  <si>
    <t>Wydatki ogółem</t>
  </si>
  <si>
    <t>2.1</t>
  </si>
  <si>
    <t>Wydatki bieżące, w tym:</t>
  </si>
  <si>
    <t>2.1.1</t>
  </si>
  <si>
    <t>2.1.2</t>
  </si>
  <si>
    <t>2.1.3</t>
  </si>
  <si>
    <t>wydatki na obsługę długu, w tym:</t>
  </si>
  <si>
    <t>2.1.3.1</t>
  </si>
  <si>
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</si>
  <si>
    <t>2.2</t>
  </si>
  <si>
    <t>Wynik budżetu</t>
  </si>
  <si>
    <t>Przychody budżetu</t>
  </si>
  <si>
    <t>4.1</t>
  </si>
  <si>
    <t>4.1.1</t>
  </si>
  <si>
    <t>4.2</t>
  </si>
  <si>
    <t>4.2.1</t>
  </si>
  <si>
    <t>4.3</t>
  </si>
  <si>
    <t>4.3.1</t>
  </si>
  <si>
    <t>4.4</t>
  </si>
  <si>
    <t>4.4.1</t>
  </si>
  <si>
    <t>Rozchody budżetu</t>
  </si>
  <si>
    <t>5.1</t>
  </si>
  <si>
    <t>5.1.1</t>
  </si>
  <si>
    <t>5.1.1.1</t>
  </si>
  <si>
    <t>5.1.1.2</t>
  </si>
  <si>
    <t>5.1.1.3</t>
  </si>
  <si>
    <t>5.2</t>
  </si>
  <si>
    <t>Relacja zrównoważenia wydatków bieżących, o której mowa w art. 242 ustawy</t>
  </si>
  <si>
    <t>x</t>
  </si>
  <si>
    <t>8.1</t>
  </si>
  <si>
    <t>8.2</t>
  </si>
  <si>
    <t>Wskaźnik spłaty zobowiązań</t>
  </si>
  <si>
    <t>9.1</t>
  </si>
  <si>
    <t>9.2</t>
  </si>
  <si>
    <t>9.3</t>
  </si>
  <si>
    <t>Kwota zobowiązań związku współtworzonego przez jednostkę samorządu terytorialnego przypadających do spłaty w danym roku budżetowym, podlegająca doliczeniu zgodnie z art. 244 ustawy</t>
  </si>
  <si>
    <t>9.4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</si>
  <si>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</si>
  <si>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</si>
  <si>
    <t>10.1</t>
  </si>
  <si>
    <t>11.1</t>
  </si>
  <si>
    <t>11.2</t>
  </si>
  <si>
    <t>bieżące</t>
  </si>
  <si>
    <t>majątkowe</t>
  </si>
  <si>
    <t>Finansowanie programów, projektów lub zadań realizowanych z udziałem środków, o których mowa w art. 5 ust. 1 pkt 2 i 3 ustawy</t>
  </si>
  <si>
    <t>12.1</t>
  </si>
  <si>
    <t>12.2</t>
  </si>
  <si>
    <t>12.3</t>
  </si>
  <si>
    <t>Wydatki bieżące na programy, projekty lub zadania finansowane z udziałem środków, o których mowa w art. 5 ust. 1 pkt 2 i 3 ustawy</t>
  </si>
  <si>
    <t>Wydatki majątkowe na programy, projekty lub zadania finansowane z udziałem środków, o których mowa w art. 5 ust. 1 pkt 2 i 3 ustawy</t>
  </si>
  <si>
    <t>Wydatki bieżące na pokrycie ujemnego wyniku finansowego samodzielnego publicznego zakładu opieki zdrowotnej</t>
  </si>
  <si>
    <t>wypłaty z tytułu wymagalnych poręczeń i gwarancji</t>
  </si>
  <si>
    <t>Mobilni w Europie</t>
  </si>
  <si>
    <t>Rozbudowa drogi powiatowej Nr 2713W w miejscowościach Stara Wieś, Dąbrówka i Celestynów</t>
  </si>
  <si>
    <t>Przebudowa drogi powiatowej Nr 2724W Karczew - Janów</t>
  </si>
  <si>
    <t xml:space="preserve">Przebudowa drogi powiatowej Nr 2722W – ul. Głównej w Pogorzeli </t>
  </si>
  <si>
    <t xml:space="preserve">Zarząd Dróg Powiatowych </t>
  </si>
  <si>
    <t>Przebudowa drogi powiatowej Nr 2715W – ul. Brzozowej w Pogorzeli</t>
  </si>
  <si>
    <t>Przebudowa mostu w drodze powiatowej Nr 2722W w Pogorzeli</t>
  </si>
  <si>
    <t>Budowa chodnika na drodze powiatowej Nr 2733W – ul. Żurawinowa w Zabieżkach</t>
  </si>
  <si>
    <t>Rozbudowa drogi powiatowej Nr 2765W ul. Staszica i ul. Kołłątaja w Otwocku na odcinku od ul. Karczewskiej do mostu na rzece Świder</t>
  </si>
  <si>
    <t xml:space="preserve">Budowa ciągu pieszo-rowerowego w ul. Warszawskiej i Jana Pawła II w Otwocku na odc. od ul. Willowej do ul. Majowej </t>
  </si>
  <si>
    <t xml:space="preserve">Przebudowa drogi powiatowej Nr 2759W – ul. Poniatowskiego w Otwocku na odcinku ul. Pułaskiego do ul. Narutowicza </t>
  </si>
  <si>
    <t>Rozbudowa dróg powiatowych Nr 2715W ul. Armii Krajowej i Nr 2759W ul. Narutowicza z droga gminną ul. Armii Krajowej w Otwocku</t>
  </si>
  <si>
    <t>Przebudowa mostów przez rzekę Świder w ciagu drogi powiatowej Nr 2737W w miejsc. Sępochów</t>
  </si>
  <si>
    <t xml:space="preserve">Budowa chodnika przy drodze powiatowej Nr 2743W w miejsc. Człekówka od drogi krajowej nr 50 do istniejącego chodnika </t>
  </si>
  <si>
    <t>Budowa chodnika w drodze powiatowej Nr 2743W w miejsc. Chrząszczówka</t>
  </si>
  <si>
    <t xml:space="preserve">Modernizacja drogi powiatowej Nr 2736W w miejsc. Teresin </t>
  </si>
  <si>
    <t xml:space="preserve">Rozbudowa drogi powiatowej Nr 1302W Piwonin - Wysoczyn - Szymanowice </t>
  </si>
  <si>
    <t xml:space="preserve">Rozbudowa drogi powiatowej Nr 2712W Wola Karczewska – Kruszówiec </t>
  </si>
  <si>
    <t>Rozbudowa drogi powiatowej Nr 2711W Czarnówka - Rzakta</t>
  </si>
  <si>
    <t xml:space="preserve">Budowa chodnika w drodze powiatowej Nr 2709W w  Bolesławowie </t>
  </si>
  <si>
    <t>Budowa synalizacji świetlnej radarowej</t>
  </si>
  <si>
    <t>Nauczyciele przyszłości</t>
  </si>
  <si>
    <t xml:space="preserve">Rozbudowa skrzyżowania drogi powiatowej Nr 2709W - ulicy Napoleońskiej z drogą powiatową Nr 2710W - ulicą Łąkową na pograniczu miejscowości Lipowo i Glinianka w gminie Wiązowna </t>
  </si>
  <si>
    <t>Budowa Domu Pomocy Społecznej "Wrzos" przy PCZ Sp. z o.o.</t>
  </si>
  <si>
    <t>1.3.2.43</t>
  </si>
  <si>
    <t>1.3.2.44</t>
  </si>
  <si>
    <t>1.3.2.45</t>
  </si>
  <si>
    <t>1.3.2.46</t>
  </si>
  <si>
    <t>1.3.2.47</t>
  </si>
  <si>
    <t>1.3.2.48</t>
  </si>
  <si>
    <t>1.3.2.49</t>
  </si>
  <si>
    <t>1.3.2.50</t>
  </si>
  <si>
    <t>1.3.2.51</t>
  </si>
  <si>
    <t>1.3.2.52</t>
  </si>
  <si>
    <t>1.3.2.53</t>
  </si>
  <si>
    <r>
      <t xml:space="preserve">Utrzymanie ciągłości projektu pn. " </t>
    </r>
    <r>
      <rPr>
        <i/>
        <sz val="10"/>
        <rFont val="Arial"/>
        <family val="2"/>
        <charset val="238"/>
      </rPr>
      <t>Poprawa funkcjonowania osób niesamodzielnych z terenu powiatu otwockiego poprzez uruchomienie usług socjalnych świadczonych w formie wsparcia dziennego"</t>
    </r>
  </si>
  <si>
    <t>Budowa boiska wielofunkcyjnego w Specjalnym Ośrodku Szkolno-Wychowawczym Nr 1 im. Marii Konopnickiej w Otwocku</t>
  </si>
  <si>
    <t>Specjalny Ośrodek Szkolno-Wychowawczy Nr 1</t>
  </si>
  <si>
    <t>Dochody bieżące, z tego:</t>
  </si>
  <si>
    <t>pozostałe dochody bieżące, w tym:</t>
  </si>
  <si>
    <t>1.1.5.1</t>
  </si>
  <si>
    <t>Dochody majątkowe, w tym:</t>
  </si>
  <si>
    <t>na wynagrodzenia i składki od nich naliczane</t>
  </si>
  <si>
    <t>z tytułu poręczeń i gwarancji, w tym:</t>
  </si>
  <si>
    <t>2.1.2.1</t>
  </si>
  <si>
    <t>gwarancje i poręczenia podlegające wyłączeniu z limitu spłaty zobowiązań, o którym mowa w art. 243 ustawy</t>
  </si>
  <si>
    <t>2.1.3.2</t>
  </si>
  <si>
    <t>odsetki i dyskonto podlegające wyłączeniu z limitu spłaty zobowiązań, o którym mowa w art. 243 ustawy, z tytułu zobowiązań zaciągniętych na wkład krajowy</t>
  </si>
  <si>
    <t>Wydatki majątkowe, w tym:</t>
  </si>
  <si>
    <t>2.2.1</t>
  </si>
  <si>
    <t>Inwestycje i zakupy inwestycyjne, o których mowa w art. 236 ust. 4 pkt 1 ustawy, w tym:</t>
  </si>
  <si>
    <t>2.2.1.1</t>
  </si>
  <si>
    <t>wydatki o charakterze dotacyjnym na inwestycje i zakupy inwestycyjne</t>
  </si>
  <si>
    <t>3.1</t>
  </si>
  <si>
    <t>Kwota prognozowanej nadwyżki budżetu przeznaczana na spłatę kredytów, pożyczek i wykup papierów wartościowych</t>
  </si>
  <si>
    <t>Kredyty, pożyczki, emisja papierów wartościowych, w tym:</t>
  </si>
  <si>
    <t>na pokrycie deficytu budżetu</t>
  </si>
  <si>
    <t>Nadwyżka budżetowa z lat ubiegłych, w tym:</t>
  </si>
  <si>
    <t>Wolne środki, o których mowa w art. 217 ust. 2 pkt 6 ustawy, w tym:</t>
  </si>
  <si>
    <t>Spłaty udzielonych pożyczek w latach ubiegłych, w tym:</t>
  </si>
  <si>
    <t>4.5</t>
  </si>
  <si>
    <t>Inne przychody niezwiązane z zaciągnięciem długu, w tym:</t>
  </si>
  <si>
    <t>4.5.1</t>
  </si>
  <si>
    <t>Spłaty rat kapitałowych kredytów i pożyczek oraz wykup papierów wartościowych, w tym:</t>
  </si>
  <si>
    <t>łączna kwota przypadających na dany rok kwot ustawowych wyłączeń z limitu spłaty zobowiązań, w tym:</t>
  </si>
  <si>
    <t>kwota przypadających na dany rok kwot wyłączeń określonych w art. 243 ust. 3 ustawy</t>
  </si>
  <si>
    <t>kwota przypadających na dany rok kwot wyłączeń określonych w art. 243 ust. 3a ustawy</t>
  </si>
  <si>
    <t>kwota wyłączeń z tytułu wcześniejszej spłaty zobowiązań, określonych w art. 243 ust. 3b ustawy, z tego:</t>
  </si>
  <si>
    <t>5.1.1.3.1</t>
  </si>
  <si>
    <t>środkami nowego zobowiązania</t>
  </si>
  <si>
    <t>5.1.1.3.2</t>
  </si>
  <si>
    <t>wolnymi środkami, o których mowa w art. 217 ust. 2 pkt 6 ustawy</t>
  </si>
  <si>
    <t>5.1.1.3.3</t>
  </si>
  <si>
    <t>innymi środkami</t>
  </si>
  <si>
    <t>Inne rozchody niezwiązane ze spłatą długu</t>
  </si>
  <si>
    <t>6</t>
  </si>
  <si>
    <t>Kwota długu, w tym:</t>
  </si>
  <si>
    <t>6.1</t>
  </si>
  <si>
    <t>kwota długu, którego planowana spłata dokona się z wydatków</t>
  </si>
  <si>
    <t>7.1</t>
  </si>
  <si>
    <t>Różnica między dochodami bieżącymi a wydatkami bieżącymi</t>
  </si>
  <si>
    <t>7.2</t>
  </si>
  <si>
    <t>Relacja określona po lewej stronie nierówności we wzorze, o którym mowa w art. 243 ust. 1 ustawy (po uwzględnieniu zobowiązań związku współtworzonego przez jednostkę samorządu terytorialnego oraz po uwzględnieniu ustawowych wyłączeń przypadających na dany rok)</t>
  </si>
  <si>
    <t>8.1_vROD_2020</t>
  </si>
  <si>
    <t>8.1_vROD_2026</t>
  </si>
  <si>
    <t>8.2_v2020</t>
  </si>
  <si>
    <t>8.2_v2026</t>
  </si>
  <si>
    <t>8.3</t>
  </si>
  <si>
    <t>Dopuszczalny limit spłaty zobowiązań określony po prawej stronie nierówności we wzorze, o którym mowa w art. 243 ustawy, po uwzględnieniu ustawowych wyłączeń, obliczony w oparciu o plan 3 kwartału roku poprzedzającego pierwszy rok prognozy (wskaźnik ustalony w oparciu o średnią arytmetyczną z poprzednich lat)</t>
  </si>
  <si>
    <t>8.3.1</t>
  </si>
  <si>
    <t>Dopuszczalny limit spłaty zobowiązań określony po prawej stronie nierówności we wzorze, o którym mowa w art. 243 ustawy, po uwzględnieniu ustawowych wyłączeń, obliczony w oparciu o wykonanie roku poprzedzającego pierwszy rok prognozy (wskaźnik ustalony w oparciu o średnią arytmetyczną z poprzednich lat)</t>
  </si>
  <si>
    <t>8.4</t>
  </si>
  <si>
    <t>8.4.1</t>
  </si>
  <si>
    <t>Dochody bieżące na programy, projekty lub zadania finansowane z udziałem środków, o których mowa w art. 5 ust. 1 pkt 2 i 3 ustawy</t>
  </si>
  <si>
    <t>9.1.1</t>
  </si>
  <si>
    <t>Dotacje i środki o charakterze bieżącym na realizację programu, projektu lub zadania finansowanego z udziałem środków, o których mowa w art. 5 ust. 1 pkt 2 ustawy, w tym:</t>
  </si>
  <si>
    <t>9.1.1.1</t>
  </si>
  <si>
    <t>środki określone w art. 5 ust. 1 pkt 2 ustawy</t>
  </si>
  <si>
    <t>Dochody majątkowe na programy, projekty lub zadania finansowane z udziałem środków, o których mowa w art. 5 ust. 1 pkt 2 i 3 ustawy</t>
  </si>
  <si>
    <t>9.2.1</t>
  </si>
  <si>
    <t>Dochody majątkowe na programy, projekty lub zadania finansowane z udziałem środków, o których mowa w art. 5 ust. 1 pkt 2 ustawy, w tym:</t>
  </si>
  <si>
    <t>9.2.1.1</t>
  </si>
  <si>
    <t>9.3.1</t>
  </si>
  <si>
    <t>Wydatki bieżące na programy, projekty lub zadania finansowane z udziałem środków, o których mowa w art. 5 ust. 1 pkt 2 ustawy, w tym:</t>
  </si>
  <si>
    <t>9.3.1.1</t>
  </si>
  <si>
    <t>finansowane środkami określonymi w art. 5 ust. 1 pkt 2 ustawy</t>
  </si>
  <si>
    <t>9.4.1</t>
  </si>
  <si>
    <t>Wydatki majątkowe na programy, projekty lub zadania finansowane z udziałem środków, o których mowa w art. 5 ust. 1 pkt 2 ustawy, w tym:</t>
  </si>
  <si>
    <t>9.4.1.1</t>
  </si>
  <si>
    <t>Informacje uzupełniające o wybranych kategoriach finansowych</t>
  </si>
  <si>
    <t>Wydatki objęte limitem, o którym mowa w art. 226 ust. 3 pkt 4 ustawy, z tego:</t>
  </si>
  <si>
    <t>10.1.1</t>
  </si>
  <si>
    <t>10.1.2</t>
  </si>
  <si>
    <t>10.2</t>
  </si>
  <si>
    <t>10.3</t>
  </si>
  <si>
    <t>Wydatki na spłatę zobowiązań przejmowanych w związku z likwidacją lub przekształceniem samodzielnego publicznego zakładu opieki zdrowotnej</t>
  </si>
  <si>
    <t>10.4</t>
  </si>
  <si>
    <t>10.5</t>
  </si>
  <si>
    <t>Kwota zobowiązań wynikających z przejęcia przez jednostkę samorządu terytorialnego zobowiązań po likwidowanych i przekształcanych samorządowych osobach prawnych</t>
  </si>
  <si>
    <t>10.6</t>
  </si>
  <si>
    <t>Spłaty, o których mowa w pkt. 5.1., wynikające wyłącznie z tytułu zobowiązań już zaciągniętych</t>
  </si>
  <si>
    <t>10.7</t>
  </si>
  <si>
    <t>Wydatki zmniejszające dług, w tym:</t>
  </si>
  <si>
    <t>10.7.1</t>
  </si>
  <si>
    <t>spłata zobowiązań wymagalnych z lat poprzednich, innych niż w pkt 10.7.3.</t>
  </si>
  <si>
    <t>10.7.2</t>
  </si>
  <si>
    <t>spłata zobowiązań zaliczanych do tytułu dłużnego – kredyt i pożyczka, w tym:</t>
  </si>
  <si>
    <t>10.7.2.1</t>
  </si>
  <si>
    <t>zobowiązań zaciągniętych po dniu 1 stycznia 2019 r. ,w tym:</t>
  </si>
  <si>
    <t>10.7.2.1.1</t>
  </si>
  <si>
    <t>dokonywana w formie wydatku bieżącego</t>
  </si>
  <si>
    <t>10.7.3</t>
  </si>
  <si>
    <t>10.8</t>
  </si>
  <si>
    <t>Kwota wzrostu(+)/spadku(-) kwoty długu wynikająca z operacji niekasowych (m.in. umorzenia, różnice kursowe)</t>
  </si>
  <si>
    <t>10.9</t>
  </si>
  <si>
    <t>Wcześniejsza spłata zobowiązań, wyłączona z limitu spłaty zobowiązań, dokonywana w formie wydatków budżetowych</t>
  </si>
  <si>
    <t>Dane dotyczące emitowanych obligacji przychodowych</t>
  </si>
  <si>
    <t>Środki z przedsięwzięcia gromadzone na rachunku bankowym, w tym:</t>
  </si>
  <si>
    <t>11.1.1</t>
  </si>
  <si>
    <t>środki na zaspokojenie roszczeń obligatariuszy</t>
  </si>
  <si>
    <t>Wydatki bieżące z tytułu świadczenia emitenta należnego obligatariuszom, nieuwzględniane w limicie spłaty zobowiązań</t>
  </si>
  <si>
    <t>Stopnie niezachowania relacji określonych w art. 242-244 w przypadku określonym w ... ustawy</t>
  </si>
  <si>
    <t>Stopień niezachowania relacji zrównoważenia wydatków bieżących, o której mowa w poz. 7.2.</t>
  </si>
  <si>
    <t>Stopień niezachowania wskaźnika spłaty zobowiązań, o którym mowa w poz. 8.4.</t>
  </si>
  <si>
    <t>Stopień niezachowania wskaźnika spłaty zobowiązań, o którym mowa w poz. 8.4.1.</t>
  </si>
  <si>
    <t>1.1.1.9</t>
  </si>
  <si>
    <t>Bardziej aktywny dzięki sztuce współczesnej</t>
  </si>
  <si>
    <t>Specjalny                    Ośrodek Szkolno - Wychowawczy Nr 1</t>
  </si>
  <si>
    <t>Różnica między dochodami bieżącymi, skorygowanymi o środki a wydatkami bieżącymi</t>
  </si>
  <si>
    <t>Relacja określona po prawej stronie nierówności we wzorze, o którym mowa w art. 243 ust. 1 ustawy, ustalona dla danego roku (wskaźnik jednoroczny)</t>
  </si>
  <si>
    <t>1.3.2.4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</si>
</sst>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#,##0.00_ ;[Red]\-#,##0.00\ 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indexed="8"/>
      <name val="Times New Roman"/>
      <family val="1"/>
      <charset val="238"/>
    </font>
    <font>
      <sz val="9"/>
      <color indexed="8"/>
      <name val="Czcionka tekstu podstawowego"/>
      <family val="2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Czcionka tekstu podstawowego"/>
      <charset val="238"/>
    </font>
    <font>
      <b/>
      <sz val="9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25" fillId="0" borderId="0"/>
    <xf numFmtId="0" fontId="25" fillId="0" borderId="0"/>
    <xf numFmtId="0" fontId="26" fillId="0" borderId="0"/>
    <xf numFmtId="0" fontId="27" fillId="0" borderId="0"/>
    <xf numFmtId="0" fontId="26" fillId="0" borderId="0"/>
    <xf numFmtId="9" fontId="27" fillId="0" borderId="0" applyFont="0" applyFill="0" applyBorder="0" applyAlignment="0" applyProtection="0"/>
    <xf numFmtId="0" fontId="24" fillId="0" borderId="0"/>
    <xf numFmtId="0" fontId="23" fillId="0" borderId="0"/>
    <xf numFmtId="0" fontId="22" fillId="0" borderId="0"/>
    <xf numFmtId="0" fontId="21" fillId="0" borderId="0"/>
    <xf numFmtId="0" fontId="28" fillId="0" borderId="0" applyNumberFormat="0" applyFill="0" applyBorder="0" applyAlignment="0" applyProtection="0">
      <alignment vertical="top"/>
    </xf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2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09">
    <xf numFmtId="0" fontId="0" fillId="0" borderId="0" xfId="0"/>
    <xf numFmtId="0" fontId="26" fillId="0" borderId="0" xfId="3"/>
    <xf numFmtId="0" fontId="31" fillId="0" borderId="0" xfId="3" applyFont="1" applyBorder="1" applyProtection="1">
      <protection locked="0"/>
    </xf>
    <xf numFmtId="0" fontId="33" fillId="0" borderId="0" xfId="3" applyFont="1" applyBorder="1" applyAlignment="1" applyProtection="1">
      <alignment horizontal="left" vertical="center"/>
      <protection locked="0"/>
    </xf>
    <xf numFmtId="0" fontId="33" fillId="0" borderId="9" xfId="3" applyFont="1" applyBorder="1" applyAlignment="1" applyProtection="1">
      <alignment vertical="center" wrapText="1"/>
      <protection locked="0"/>
    </xf>
    <xf numFmtId="0" fontId="34" fillId="0" borderId="10" xfId="3" applyFont="1" applyBorder="1" applyAlignment="1">
      <alignment horizontal="left" vertical="center"/>
    </xf>
    <xf numFmtId="165" fontId="35" fillId="3" borderId="11" xfId="4" applyNumberFormat="1" applyFont="1" applyFill="1" applyBorder="1" applyAlignment="1">
      <alignment vertical="center" shrinkToFit="1"/>
    </xf>
    <xf numFmtId="165" fontId="35" fillId="3" borderId="12" xfId="4" applyNumberFormat="1" applyFont="1" applyFill="1" applyBorder="1" applyAlignment="1">
      <alignment vertical="center" shrinkToFit="1"/>
    </xf>
    <xf numFmtId="165" fontId="35" fillId="0" borderId="13" xfId="4" applyNumberFormat="1" applyFont="1" applyFill="1" applyBorder="1" applyAlignment="1">
      <alignment vertical="center" shrinkToFit="1"/>
    </xf>
    <xf numFmtId="165" fontId="35" fillId="0" borderId="11" xfId="4" applyNumberFormat="1" applyFont="1" applyFill="1" applyBorder="1" applyAlignment="1">
      <alignment vertical="center" shrinkToFit="1"/>
    </xf>
    <xf numFmtId="0" fontId="36" fillId="0" borderId="10" xfId="3" applyFont="1" applyBorder="1" applyAlignment="1">
      <alignment horizontal="left" vertical="center"/>
    </xf>
    <xf numFmtId="165" fontId="37" fillId="3" borderId="11" xfId="4" applyNumberFormat="1" applyFont="1" applyFill="1" applyBorder="1" applyAlignment="1">
      <alignment vertical="center" shrinkToFit="1"/>
    </xf>
    <xf numFmtId="165" fontId="37" fillId="3" borderId="12" xfId="4" applyNumberFormat="1" applyFont="1" applyFill="1" applyBorder="1" applyAlignment="1">
      <alignment vertical="center" shrinkToFit="1"/>
    </xf>
    <xf numFmtId="165" fontId="37" fillId="0" borderId="13" xfId="4" applyNumberFormat="1" applyFont="1" applyFill="1" applyBorder="1" applyAlignment="1">
      <alignment vertical="center" shrinkToFit="1"/>
    </xf>
    <xf numFmtId="165" fontId="37" fillId="0" borderId="11" xfId="4" applyNumberFormat="1" applyFont="1" applyFill="1" applyBorder="1" applyAlignment="1">
      <alignment vertical="center" shrinkToFit="1"/>
    </xf>
    <xf numFmtId="165" fontId="35" fillId="3" borderId="11" xfId="4" applyNumberFormat="1" applyFont="1" applyFill="1" applyBorder="1" applyAlignment="1">
      <alignment horizontal="center" vertical="center" shrinkToFit="1"/>
    </xf>
    <xf numFmtId="165" fontId="35" fillId="3" borderId="12" xfId="4" applyNumberFormat="1" applyFont="1" applyFill="1" applyBorder="1" applyAlignment="1">
      <alignment horizontal="center" vertical="center" shrinkToFit="1"/>
    </xf>
    <xf numFmtId="165" fontId="35" fillId="0" borderId="13" xfId="4" applyNumberFormat="1" applyFont="1" applyFill="1" applyBorder="1" applyAlignment="1">
      <alignment horizontal="center" vertical="center" shrinkToFit="1"/>
    </xf>
    <xf numFmtId="165" fontId="35" fillId="0" borderId="11" xfId="4" applyNumberFormat="1" applyFont="1" applyFill="1" applyBorder="1" applyAlignment="1">
      <alignment horizontal="center" vertical="center" shrinkToFit="1"/>
    </xf>
    <xf numFmtId="0" fontId="36" fillId="0" borderId="10" xfId="3" applyFont="1" applyBorder="1" applyAlignment="1" applyProtection="1">
      <alignment horizontal="left" vertical="center"/>
      <protection locked="0"/>
    </xf>
    <xf numFmtId="0" fontId="36" fillId="0" borderId="14" xfId="3" applyFont="1" applyBorder="1" applyAlignment="1">
      <alignment horizontal="left" vertical="center"/>
    </xf>
    <xf numFmtId="0" fontId="31" fillId="0" borderId="0" xfId="3" applyFont="1"/>
    <xf numFmtId="0" fontId="25" fillId="0" borderId="0" xfId="1" applyFont="1"/>
    <xf numFmtId="0" fontId="39" fillId="0" borderId="0" xfId="1" applyFont="1" applyAlignment="1">
      <alignment vertical="center"/>
    </xf>
    <xf numFmtId="0" fontId="25" fillId="0" borderId="0" xfId="1" applyFont="1" applyAlignment="1">
      <alignment horizontal="center"/>
    </xf>
    <xf numFmtId="0" fontId="40" fillId="0" borderId="0" xfId="1" applyFont="1"/>
    <xf numFmtId="0" fontId="25" fillId="2" borderId="2" xfId="1" applyFont="1" applyFill="1" applyBorder="1" applyAlignment="1">
      <alignment horizontal="center" vertical="center"/>
    </xf>
    <xf numFmtId="0" fontId="25" fillId="2" borderId="1" xfId="1" applyFont="1" applyFill="1" applyBorder="1" applyAlignment="1">
      <alignment horizontal="center" vertical="center" wrapText="1"/>
    </xf>
    <xf numFmtId="0" fontId="25" fillId="2" borderId="1" xfId="1" applyFont="1" applyFill="1" applyBorder="1" applyAlignment="1">
      <alignment horizontal="center" vertical="center"/>
    </xf>
    <xf numFmtId="0" fontId="41" fillId="0" borderId="1" xfId="1" applyFont="1" applyFill="1" applyBorder="1" applyAlignment="1">
      <alignment horizontal="center" vertical="center" wrapText="1"/>
    </xf>
    <xf numFmtId="0" fontId="42" fillId="0" borderId="1" xfId="1" applyFont="1" applyFill="1" applyBorder="1" applyAlignment="1">
      <alignment horizontal="center" vertical="center" wrapText="1"/>
    </xf>
    <xf numFmtId="0" fontId="41" fillId="0" borderId="0" xfId="1" applyFont="1" applyFill="1" applyAlignment="1">
      <alignment horizontal="center"/>
    </xf>
    <xf numFmtId="0" fontId="40" fillId="3" borderId="1" xfId="1" applyFont="1" applyFill="1" applyBorder="1" applyAlignment="1">
      <alignment horizontal="center" vertical="center"/>
    </xf>
    <xf numFmtId="4" fontId="40" fillId="3" borderId="1" xfId="1" applyNumberFormat="1" applyFont="1" applyFill="1" applyBorder="1" applyAlignment="1">
      <alignment horizontal="right" vertical="center" wrapText="1"/>
    </xf>
    <xf numFmtId="0" fontId="40" fillId="0" borderId="0" xfId="1" applyFont="1" applyFill="1"/>
    <xf numFmtId="4" fontId="40" fillId="3" borderId="1" xfId="1" applyNumberFormat="1" applyFont="1" applyFill="1" applyBorder="1" applyAlignment="1"/>
    <xf numFmtId="0" fontId="40" fillId="0" borderId="0" xfId="1" applyFont="1" applyAlignment="1">
      <alignment vertical="center"/>
    </xf>
    <xf numFmtId="0" fontId="25" fillId="0" borderId="1" xfId="1" applyFont="1" applyFill="1" applyBorder="1" applyAlignment="1">
      <alignment horizontal="left" vertical="center" wrapText="1"/>
    </xf>
    <xf numFmtId="0" fontId="25" fillId="0" borderId="1" xfId="1" applyFont="1" applyFill="1" applyBorder="1" applyAlignment="1">
      <alignment horizontal="center" vertical="center" wrapText="1"/>
    </xf>
    <xf numFmtId="0" fontId="40" fillId="0" borderId="1" xfId="1" applyFont="1" applyFill="1" applyBorder="1" applyAlignment="1">
      <alignment horizontal="center" vertical="center"/>
    </xf>
    <xf numFmtId="4" fontId="40" fillId="0" borderId="1" xfId="1" applyNumberFormat="1" applyFont="1" applyFill="1" applyBorder="1" applyAlignment="1"/>
    <xf numFmtId="4" fontId="25" fillId="0" borderId="1" xfId="1" applyNumberFormat="1" applyFont="1" applyFill="1" applyBorder="1" applyAlignment="1"/>
    <xf numFmtId="4" fontId="40" fillId="0" borderId="1" xfId="1" applyNumberFormat="1" applyFont="1" applyBorder="1" applyAlignment="1"/>
    <xf numFmtId="0" fontId="25" fillId="0" borderId="0" xfId="1" applyFont="1" applyAlignment="1">
      <alignment vertical="center"/>
    </xf>
    <xf numFmtId="0" fontId="25" fillId="0" borderId="18" xfId="1" applyFont="1" applyFill="1" applyBorder="1" applyAlignment="1">
      <alignment horizontal="left" vertical="center" wrapText="1"/>
    </xf>
    <xf numFmtId="0" fontId="40" fillId="0" borderId="18" xfId="1" applyFont="1" applyFill="1" applyBorder="1" applyAlignment="1">
      <alignment horizontal="center" vertical="center"/>
    </xf>
    <xf numFmtId="4" fontId="40" fillId="0" borderId="18" xfId="1" applyNumberFormat="1" applyFont="1" applyFill="1" applyBorder="1" applyAlignment="1"/>
    <xf numFmtId="4" fontId="25" fillId="0" borderId="18" xfId="1" applyNumberFormat="1" applyFont="1" applyFill="1" applyBorder="1" applyAlignment="1"/>
    <xf numFmtId="4" fontId="40" fillId="0" borderId="18" xfId="1" applyNumberFormat="1" applyFont="1" applyBorder="1" applyAlignment="1"/>
    <xf numFmtId="4" fontId="25" fillId="0" borderId="1" xfId="1" applyNumberFormat="1" applyFont="1" applyBorder="1" applyAlignment="1"/>
    <xf numFmtId="0" fontId="25" fillId="0" borderId="0" xfId="1" applyFont="1" applyFill="1" applyAlignment="1">
      <alignment vertical="center"/>
    </xf>
    <xf numFmtId="0" fontId="40" fillId="0" borderId="0" xfId="1" applyFont="1" applyFill="1" applyAlignment="1">
      <alignment horizontal="right"/>
    </xf>
    <xf numFmtId="0" fontId="25" fillId="0" borderId="21" xfId="1" applyFont="1" applyFill="1" applyBorder="1" applyAlignment="1">
      <alignment horizontal="left" vertical="center" wrapText="1"/>
    </xf>
    <xf numFmtId="0" fontId="25" fillId="0" borderId="6" xfId="1" applyFont="1" applyFill="1" applyBorder="1" applyAlignment="1">
      <alignment horizontal="left" vertical="center" wrapText="1"/>
    </xf>
    <xf numFmtId="0" fontId="25" fillId="0" borderId="3" xfId="1" applyFont="1" applyFill="1" applyBorder="1" applyAlignment="1">
      <alignment horizontal="center" vertical="center" wrapText="1"/>
    </xf>
    <xf numFmtId="0" fontId="40" fillId="0" borderId="3" xfId="1" applyFont="1" applyFill="1" applyBorder="1" applyAlignment="1">
      <alignment horizontal="center" vertical="center"/>
    </xf>
    <xf numFmtId="4" fontId="40" fillId="0" borderId="3" xfId="1" applyNumberFormat="1" applyFont="1" applyFill="1" applyBorder="1" applyAlignment="1"/>
    <xf numFmtId="4" fontId="25" fillId="0" borderId="3" xfId="1" applyNumberFormat="1" applyFont="1" applyFill="1" applyBorder="1" applyAlignment="1"/>
    <xf numFmtId="0" fontId="25" fillId="0" borderId="0" xfId="1" applyFont="1" applyFill="1" applyBorder="1"/>
    <xf numFmtId="0" fontId="25" fillId="0" borderId="1" xfId="2" applyFont="1" applyFill="1" applyBorder="1" applyAlignment="1">
      <alignment vertical="center" wrapText="1"/>
    </xf>
    <xf numFmtId="0" fontId="25" fillId="0" borderId="6" xfId="1" applyFont="1" applyFill="1" applyBorder="1" applyAlignment="1">
      <alignment horizontal="center" vertical="center" wrapText="1"/>
    </xf>
    <xf numFmtId="0" fontId="40" fillId="0" borderId="6" xfId="1" applyFont="1" applyFill="1" applyBorder="1" applyAlignment="1">
      <alignment horizontal="center" vertical="center"/>
    </xf>
    <xf numFmtId="4" fontId="40" fillId="0" borderId="6" xfId="1" applyNumberFormat="1" applyFont="1" applyFill="1" applyBorder="1" applyAlignment="1"/>
    <xf numFmtId="4" fontId="25" fillId="0" borderId="6" xfId="1" applyNumberFormat="1" applyFont="1" applyFill="1" applyBorder="1" applyAlignment="1"/>
    <xf numFmtId="4" fontId="25" fillId="0" borderId="6" xfId="1" applyNumberFormat="1" applyFont="1" applyBorder="1" applyAlignment="1"/>
    <xf numFmtId="0" fontId="25" fillId="0" borderId="1" xfId="2" applyFont="1" applyFill="1" applyBorder="1" applyAlignment="1">
      <alignment horizontal="left" vertical="center" wrapText="1"/>
    </xf>
    <xf numFmtId="0" fontId="25" fillId="0" borderId="4" xfId="1" applyFont="1" applyFill="1" applyBorder="1" applyAlignment="1">
      <alignment horizontal="center" vertical="center" wrapText="1"/>
    </xf>
    <xf numFmtId="164" fontId="40" fillId="0" borderId="1" xfId="1" applyNumberFormat="1" applyFont="1" applyFill="1" applyBorder="1" applyAlignment="1">
      <alignment horizontal="right"/>
    </xf>
    <xf numFmtId="164" fontId="25" fillId="0" borderId="1" xfId="1" applyNumberFormat="1" applyFont="1" applyFill="1" applyBorder="1" applyAlignment="1"/>
    <xf numFmtId="164" fontId="25" fillId="0" borderId="1" xfId="1" applyNumberFormat="1" applyFont="1" applyBorder="1" applyAlignment="1"/>
    <xf numFmtId="0" fontId="25" fillId="0" borderId="3" xfId="2" applyFont="1" applyFill="1" applyBorder="1" applyAlignment="1">
      <alignment horizontal="left" vertical="center" wrapText="1"/>
    </xf>
    <xf numFmtId="0" fontId="25" fillId="0" borderId="5" xfId="1" applyFont="1" applyFill="1" applyBorder="1" applyAlignment="1">
      <alignment horizontal="center" vertical="center" wrapText="1"/>
    </xf>
    <xf numFmtId="164" fontId="40" fillId="0" borderId="3" xfId="1" applyNumberFormat="1" applyFont="1" applyFill="1" applyBorder="1" applyAlignment="1"/>
    <xf numFmtId="164" fontId="25" fillId="0" borderId="3" xfId="1" applyNumberFormat="1" applyFont="1" applyFill="1" applyBorder="1" applyAlignment="1"/>
    <xf numFmtId="164" fontId="25" fillId="0" borderId="3" xfId="1" applyNumberFormat="1" applyFont="1" applyBorder="1" applyAlignment="1"/>
    <xf numFmtId="4" fontId="40" fillId="0" borderId="1" xfId="1" applyNumberFormat="1" applyFont="1" applyFill="1" applyBorder="1" applyAlignment="1">
      <alignment horizontal="right"/>
    </xf>
    <xf numFmtId="4" fontId="25" fillId="0" borderId="1" xfId="1" applyNumberFormat="1" applyFont="1" applyFill="1" applyBorder="1" applyAlignment="1">
      <alignment horizontal="right"/>
    </xf>
    <xf numFmtId="4" fontId="25" fillId="0" borderId="1" xfId="1" applyNumberFormat="1" applyFont="1" applyBorder="1" applyAlignment="1">
      <alignment horizontal="right"/>
    </xf>
    <xf numFmtId="0" fontId="25" fillId="0" borderId="6" xfId="2" applyFont="1" applyFill="1" applyBorder="1" applyAlignment="1">
      <alignment vertical="center" wrapText="1"/>
    </xf>
    <xf numFmtId="0" fontId="25" fillId="0" borderId="3" xfId="2" applyFont="1" applyFill="1" applyBorder="1" applyAlignment="1">
      <alignment vertical="center" wrapText="1"/>
    </xf>
    <xf numFmtId="4" fontId="40" fillId="0" borderId="3" xfId="1" applyNumberFormat="1" applyFont="1" applyFill="1" applyBorder="1" applyAlignment="1">
      <alignment horizontal="right"/>
    </xf>
    <xf numFmtId="4" fontId="25" fillId="0" borderId="3" xfId="1" applyNumberFormat="1" applyFont="1" applyFill="1" applyBorder="1" applyAlignment="1">
      <alignment horizontal="right"/>
    </xf>
    <xf numFmtId="4" fontId="25" fillId="0" borderId="3" xfId="1" applyNumberFormat="1" applyFont="1" applyBorder="1" applyAlignment="1">
      <alignment horizontal="right"/>
    </xf>
    <xf numFmtId="0" fontId="44" fillId="0" borderId="1" xfId="0" applyFont="1" applyFill="1" applyBorder="1" applyAlignment="1">
      <alignment vertical="center" wrapText="1"/>
    </xf>
    <xf numFmtId="0" fontId="25" fillId="0" borderId="1" xfId="2" applyFont="1" applyFill="1" applyBorder="1" applyAlignment="1">
      <alignment horizontal="center" vertical="center" wrapText="1"/>
    </xf>
    <xf numFmtId="0" fontId="40" fillId="0" borderId="1" xfId="2" applyFont="1" applyFill="1" applyBorder="1" applyAlignment="1">
      <alignment horizontal="center" vertical="center"/>
    </xf>
    <xf numFmtId="4" fontId="40" fillId="0" borderId="1" xfId="1" applyNumberFormat="1" applyFont="1" applyFill="1" applyBorder="1"/>
    <xf numFmtId="4" fontId="25" fillId="0" borderId="1" xfId="2" applyNumberFormat="1" applyFont="1" applyFill="1" applyBorder="1"/>
    <xf numFmtId="0" fontId="25" fillId="0" borderId="0" xfId="1" applyFont="1" applyFill="1"/>
    <xf numFmtId="0" fontId="25" fillId="0" borderId="6" xfId="0" applyFont="1" applyFill="1" applyBorder="1" applyAlignment="1">
      <alignment vertical="center" wrapText="1"/>
    </xf>
    <xf numFmtId="0" fontId="25" fillId="0" borderId="6" xfId="2" applyFont="1" applyFill="1" applyBorder="1" applyAlignment="1">
      <alignment horizontal="center" vertical="center" wrapText="1"/>
    </xf>
    <xf numFmtId="0" fontId="40" fillId="0" borderId="6" xfId="2" applyFont="1" applyFill="1" applyBorder="1" applyAlignment="1">
      <alignment horizontal="center" vertical="center"/>
    </xf>
    <xf numFmtId="4" fontId="40" fillId="0" borderId="6" xfId="2" applyNumberFormat="1" applyFont="1" applyFill="1" applyBorder="1"/>
    <xf numFmtId="4" fontId="25" fillId="0" borderId="6" xfId="2" applyNumberFormat="1" applyFont="1" applyFill="1" applyBorder="1"/>
    <xf numFmtId="4" fontId="40" fillId="0" borderId="1" xfId="2" applyNumberFormat="1" applyFont="1" applyFill="1" applyBorder="1"/>
    <xf numFmtId="0" fontId="25" fillId="0" borderId="7" xfId="2" applyFont="1" applyFill="1" applyBorder="1" applyAlignment="1">
      <alignment vertical="center" wrapText="1"/>
    </xf>
    <xf numFmtId="0" fontId="25" fillId="0" borderId="4" xfId="2" applyFont="1" applyFill="1" applyBorder="1" applyAlignment="1">
      <alignment horizontal="center" vertical="center" wrapText="1"/>
    </xf>
    <xf numFmtId="0" fontId="25" fillId="0" borderId="1" xfId="1" applyFont="1" applyFill="1" applyBorder="1" applyAlignment="1">
      <alignment vertical="center" wrapText="1"/>
    </xf>
    <xf numFmtId="4" fontId="25" fillId="0" borderId="1" xfId="1" applyNumberFormat="1" applyFont="1" applyFill="1" applyBorder="1"/>
    <xf numFmtId="4" fontId="25" fillId="0" borderId="1" xfId="1" applyNumberFormat="1" applyFont="1" applyBorder="1"/>
    <xf numFmtId="0" fontId="44" fillId="0" borderId="1" xfId="0" applyFont="1" applyBorder="1" applyAlignment="1">
      <alignment horizontal="left" vertical="center" wrapText="1"/>
    </xf>
    <xf numFmtId="0" fontId="25" fillId="0" borderId="1" xfId="1" applyFont="1" applyBorder="1" applyAlignment="1">
      <alignment horizontal="center" vertical="center"/>
    </xf>
    <xf numFmtId="4" fontId="40" fillId="0" borderId="1" xfId="1" applyNumberFormat="1" applyFont="1" applyBorder="1" applyAlignment="1">
      <alignment horizontal="right" vertical="center"/>
    </xf>
    <xf numFmtId="4" fontId="25" fillId="0" borderId="1" xfId="1" applyNumberFormat="1" applyFont="1" applyBorder="1" applyAlignment="1">
      <alignment horizontal="right" vertical="center"/>
    </xf>
    <xf numFmtId="0" fontId="25" fillId="0" borderId="8" xfId="11" applyFont="1" applyFill="1" applyBorder="1" applyAlignment="1" applyProtection="1">
      <alignment horizontal="left" vertical="center" wrapText="1"/>
    </xf>
    <xf numFmtId="0" fontId="25" fillId="0" borderId="3" xfId="2" applyFont="1" applyFill="1" applyBorder="1" applyAlignment="1">
      <alignment horizontal="center" vertical="center" wrapText="1"/>
    </xf>
    <xf numFmtId="4" fontId="40" fillId="0" borderId="3" xfId="1" applyNumberFormat="1" applyFont="1" applyBorder="1"/>
    <xf numFmtId="4" fontId="25" fillId="0" borderId="3" xfId="1" applyNumberFormat="1" applyFont="1" applyBorder="1"/>
    <xf numFmtId="0" fontId="25" fillId="0" borderId="1" xfId="1" applyFont="1" applyBorder="1" applyAlignment="1">
      <alignment horizontal="left" vertical="center" wrapText="1"/>
    </xf>
    <xf numFmtId="4" fontId="40" fillId="0" borderId="1" xfId="1" applyNumberFormat="1" applyFont="1" applyBorder="1"/>
    <xf numFmtId="0" fontId="25" fillId="0" borderId="3" xfId="1" applyFont="1" applyBorder="1" applyAlignment="1">
      <alignment horizontal="left" vertical="center" wrapText="1"/>
    </xf>
    <xf numFmtId="0" fontId="25" fillId="0" borderId="3" xfId="1" applyFont="1" applyBorder="1" applyAlignment="1">
      <alignment horizontal="center" vertical="center"/>
    </xf>
    <xf numFmtId="0" fontId="25" fillId="0" borderId="3" xfId="11" applyFont="1" applyFill="1" applyBorder="1" applyAlignment="1" applyProtection="1">
      <alignment vertical="center" wrapText="1"/>
    </xf>
    <xf numFmtId="4" fontId="40" fillId="0" borderId="3" xfId="1" applyNumberFormat="1" applyFont="1" applyFill="1" applyBorder="1"/>
    <xf numFmtId="4" fontId="25" fillId="0" borderId="3" xfId="1" applyNumberFormat="1" applyFont="1" applyFill="1" applyBorder="1"/>
    <xf numFmtId="0" fontId="25" fillId="0" borderId="3" xfId="11" applyFont="1" applyFill="1" applyBorder="1" applyAlignment="1">
      <alignment vertical="center" wrapText="1"/>
    </xf>
    <xf numFmtId="0" fontId="40" fillId="0" borderId="1" xfId="1" applyFont="1" applyFill="1" applyBorder="1" applyAlignment="1">
      <alignment horizontal="center"/>
    </xf>
    <xf numFmtId="0" fontId="40" fillId="0" borderId="21" xfId="1" applyFont="1" applyFill="1" applyBorder="1" applyAlignment="1">
      <alignment horizontal="center"/>
    </xf>
    <xf numFmtId="0" fontId="25" fillId="0" borderId="21" xfId="0" applyFont="1" applyFill="1" applyBorder="1" applyAlignment="1">
      <alignment vertical="center" wrapText="1"/>
    </xf>
    <xf numFmtId="0" fontId="25" fillId="0" borderId="21" xfId="2" applyFont="1" applyFill="1" applyBorder="1" applyAlignment="1">
      <alignment horizontal="center" vertical="center" wrapText="1"/>
    </xf>
    <xf numFmtId="4" fontId="40" fillId="0" borderId="21" xfId="1" applyNumberFormat="1" applyFont="1" applyBorder="1"/>
    <xf numFmtId="4" fontId="25" fillId="0" borderId="21" xfId="1" applyNumberFormat="1" applyFont="1" applyBorder="1"/>
    <xf numFmtId="0" fontId="25" fillId="0" borderId="18" xfId="2" applyFont="1" applyFill="1" applyBorder="1" applyAlignment="1">
      <alignment horizontal="left" vertical="center" wrapText="1"/>
    </xf>
    <xf numFmtId="0" fontId="25" fillId="0" borderId="18" xfId="2" applyFont="1" applyFill="1" applyBorder="1" applyAlignment="1">
      <alignment horizontal="center" vertical="center" wrapText="1"/>
    </xf>
    <xf numFmtId="0" fontId="40" fillId="0" borderId="18" xfId="2" applyFont="1" applyFill="1" applyBorder="1" applyAlignment="1">
      <alignment horizontal="center" vertical="center"/>
    </xf>
    <xf numFmtId="4" fontId="40" fillId="0" borderId="18" xfId="2" applyNumberFormat="1" applyFont="1" applyBorder="1" applyAlignment="1"/>
    <xf numFmtId="4" fontId="25" fillId="0" borderId="18" xfId="2" applyNumberFormat="1" applyFont="1" applyBorder="1" applyAlignment="1"/>
    <xf numFmtId="0" fontId="25" fillId="5" borderId="18" xfId="2" applyFont="1" applyFill="1" applyBorder="1" applyAlignment="1">
      <alignment horizontal="left" vertical="center" wrapText="1"/>
    </xf>
    <xf numFmtId="0" fontId="40" fillId="0" borderId="0" xfId="1" applyFont="1" applyAlignment="1">
      <alignment horizontal="center"/>
    </xf>
    <xf numFmtId="0" fontId="25" fillId="0" borderId="21" xfId="2" applyFont="1" applyFill="1" applyBorder="1" applyAlignment="1">
      <alignment horizontal="left" vertical="center" wrapText="1"/>
    </xf>
    <xf numFmtId="0" fontId="40" fillId="0" borderId="21" xfId="2" applyFont="1" applyFill="1" applyBorder="1" applyAlignment="1">
      <alignment horizontal="center" vertical="center"/>
    </xf>
    <xf numFmtId="4" fontId="40" fillId="0" borderId="21" xfId="2" applyNumberFormat="1" applyFont="1" applyBorder="1" applyAlignment="1"/>
    <xf numFmtId="4" fontId="25" fillId="0" borderId="21" xfId="2" applyNumberFormat="1" applyFont="1" applyBorder="1" applyAlignment="1"/>
    <xf numFmtId="4" fontId="40" fillId="0" borderId="21" xfId="1" applyNumberFormat="1" applyFont="1" applyBorder="1" applyAlignment="1"/>
    <xf numFmtId="0" fontId="25" fillId="5" borderId="23" xfId="2" applyFont="1" applyFill="1" applyBorder="1" applyAlignment="1" applyProtection="1">
      <alignment horizontal="left" vertical="center" wrapText="1"/>
    </xf>
    <xf numFmtId="4" fontId="40" fillId="0" borderId="23" xfId="1" applyNumberFormat="1" applyFont="1" applyBorder="1"/>
    <xf numFmtId="4" fontId="25" fillId="0" borderId="23" xfId="1" applyNumberFormat="1" applyFont="1" applyBorder="1"/>
    <xf numFmtId="0" fontId="40" fillId="0" borderId="0" xfId="1" applyFont="1" applyFill="1" applyAlignment="1">
      <alignment horizontal="center"/>
    </xf>
    <xf numFmtId="0" fontId="40" fillId="0" borderId="23" xfId="1" applyFont="1" applyFill="1" applyBorder="1" applyAlignment="1">
      <alignment horizontal="center" vertical="center"/>
    </xf>
    <xf numFmtId="0" fontId="31" fillId="0" borderId="0" xfId="3" applyFont="1" applyProtection="1">
      <protection locked="0"/>
    </xf>
    <xf numFmtId="49" fontId="32" fillId="4" borderId="24" xfId="4" applyNumberFormat="1" applyFont="1" applyFill="1" applyBorder="1" applyAlignment="1">
      <alignment horizontal="center" vertical="center"/>
    </xf>
    <xf numFmtId="49" fontId="32" fillId="4" borderId="26" xfId="4" applyNumberFormat="1" applyFont="1" applyFill="1" applyBorder="1" applyAlignment="1">
      <alignment horizontal="center" vertical="center"/>
    </xf>
    <xf numFmtId="1" fontId="32" fillId="4" borderId="27" xfId="4" applyNumberFormat="1" applyFont="1" applyFill="1" applyBorder="1" applyAlignment="1">
      <alignment horizontal="center" vertical="center" wrapText="1"/>
    </xf>
    <xf numFmtId="1" fontId="32" fillId="4" borderId="25" xfId="4" applyNumberFormat="1" applyFont="1" applyFill="1" applyBorder="1" applyAlignment="1">
      <alignment horizontal="center" vertical="center" wrapText="1"/>
    </xf>
    <xf numFmtId="1" fontId="32" fillId="4" borderId="26" xfId="4" applyNumberFormat="1" applyFont="1" applyFill="1" applyBorder="1" applyAlignment="1">
      <alignment horizontal="center" vertical="center" wrapText="1"/>
    </xf>
    <xf numFmtId="1" fontId="32" fillId="4" borderId="27" xfId="4" applyNumberFormat="1" applyFont="1" applyFill="1" applyBorder="1" applyAlignment="1">
      <alignment horizontal="center" vertical="center"/>
    </xf>
    <xf numFmtId="1" fontId="32" fillId="4" borderId="25" xfId="4" applyNumberFormat="1" applyFont="1" applyFill="1" applyBorder="1" applyAlignment="1">
      <alignment horizontal="center" vertical="center"/>
    </xf>
    <xf numFmtId="0" fontId="34" fillId="0" borderId="28" xfId="3" applyFont="1" applyBorder="1" applyAlignment="1">
      <alignment horizontal="left" vertical="center"/>
    </xf>
    <xf numFmtId="0" fontId="34" fillId="0" borderId="30" xfId="3" applyFont="1" applyBorder="1" applyAlignment="1">
      <alignment vertical="center" wrapText="1"/>
    </xf>
    <xf numFmtId="165" fontId="35" fillId="3" borderId="31" xfId="4" applyNumberFormat="1" applyFont="1" applyFill="1" applyBorder="1" applyAlignment="1">
      <alignment vertical="center" shrinkToFit="1"/>
    </xf>
    <xf numFmtId="165" fontId="35" fillId="3" borderId="29" xfId="4" applyNumberFormat="1" applyFont="1" applyFill="1" applyBorder="1" applyAlignment="1">
      <alignment vertical="center" shrinkToFit="1"/>
    </xf>
    <xf numFmtId="165" fontId="35" fillId="3" borderId="30" xfId="4" applyNumberFormat="1" applyFont="1" applyFill="1" applyBorder="1" applyAlignment="1">
      <alignment vertical="center" shrinkToFit="1"/>
    </xf>
    <xf numFmtId="165" fontId="35" fillId="0" borderId="31" xfId="4" applyNumberFormat="1" applyFont="1" applyFill="1" applyBorder="1" applyAlignment="1">
      <alignment vertical="center" shrinkToFit="1"/>
    </xf>
    <xf numFmtId="165" fontId="35" fillId="0" borderId="29" xfId="4" applyNumberFormat="1" applyFont="1" applyFill="1" applyBorder="1" applyAlignment="1">
      <alignment vertical="center" shrinkToFit="1"/>
    </xf>
    <xf numFmtId="0" fontId="36" fillId="0" borderId="12" xfId="3" applyFont="1" applyBorder="1" applyAlignment="1">
      <alignment horizontal="left" vertical="center" wrapText="1" indent="2"/>
    </xf>
    <xf numFmtId="165" fontId="37" fillId="3" borderId="13" xfId="4" applyNumberFormat="1" applyFont="1" applyFill="1" applyBorder="1" applyAlignment="1">
      <alignment vertical="center" shrinkToFit="1"/>
    </xf>
    <xf numFmtId="0" fontId="36" fillId="0" borderId="12" xfId="3" applyFont="1" applyBorder="1" applyAlignment="1">
      <alignment horizontal="left" vertical="center" wrapText="1" indent="4"/>
    </xf>
    <xf numFmtId="0" fontId="36" fillId="0" borderId="12" xfId="3" applyFont="1" applyBorder="1" applyAlignment="1">
      <alignment horizontal="left" vertical="center" wrapText="1" indent="6"/>
    </xf>
    <xf numFmtId="0" fontId="34" fillId="0" borderId="12" xfId="3" applyFont="1" applyBorder="1" applyAlignment="1">
      <alignment vertical="center" wrapText="1"/>
    </xf>
    <xf numFmtId="165" fontId="35" fillId="3" borderId="13" xfId="4" applyNumberFormat="1" applyFont="1" applyFill="1" applyBorder="1" applyAlignment="1">
      <alignment vertical="center" shrinkToFit="1"/>
    </xf>
    <xf numFmtId="0" fontId="36" fillId="0" borderId="12" xfId="3" applyFont="1" applyBorder="1" applyAlignment="1">
      <alignment horizontal="left" vertical="center" wrapText="1" indent="8"/>
    </xf>
    <xf numFmtId="0" fontId="34" fillId="0" borderId="10" xfId="3" quotePrefix="1" applyFont="1" applyBorder="1" applyAlignment="1">
      <alignment horizontal="left" vertical="center"/>
    </xf>
    <xf numFmtId="165" fontId="35" fillId="3" borderId="13" xfId="4" applyNumberFormat="1" applyFont="1" applyFill="1" applyBorder="1" applyAlignment="1">
      <alignment horizontal="center" vertical="center" shrinkToFit="1"/>
    </xf>
    <xf numFmtId="0" fontId="36" fillId="0" borderId="12" xfId="3" applyFont="1" applyBorder="1" applyAlignment="1" applyProtection="1">
      <alignment horizontal="left" vertical="center" wrapText="1" indent="2"/>
      <protection locked="0"/>
    </xf>
    <xf numFmtId="10" fontId="37" fillId="0" borderId="13" xfId="4" applyNumberFormat="1" applyFont="1" applyFill="1" applyBorder="1" applyAlignment="1">
      <alignment vertical="center" shrinkToFit="1"/>
    </xf>
    <xf numFmtId="10" fontId="37" fillId="0" borderId="11" xfId="4" applyNumberFormat="1" applyFont="1" applyFill="1" applyBorder="1" applyAlignment="1">
      <alignment vertical="center" shrinkToFit="1"/>
    </xf>
    <xf numFmtId="10" fontId="37" fillId="3" borderId="13" xfId="4" applyNumberFormat="1" applyFont="1" applyFill="1" applyBorder="1" applyAlignment="1">
      <alignment vertical="center" shrinkToFit="1"/>
    </xf>
    <xf numFmtId="10" fontId="37" fillId="3" borderId="11" xfId="4" applyNumberFormat="1" applyFont="1" applyFill="1" applyBorder="1" applyAlignment="1">
      <alignment vertical="center" shrinkToFit="1"/>
    </xf>
    <xf numFmtId="10" fontId="37" fillId="3" borderId="12" xfId="4" applyNumberFormat="1" applyFont="1" applyFill="1" applyBorder="1" applyAlignment="1">
      <alignment vertical="center" shrinkToFit="1"/>
    </xf>
    <xf numFmtId="165" fontId="37" fillId="0" borderId="13" xfId="4" applyNumberFormat="1" applyFont="1" applyFill="1" applyBorder="1" applyAlignment="1">
      <alignment horizontal="center" vertical="center" shrinkToFit="1"/>
    </xf>
    <xf numFmtId="165" fontId="37" fillId="0" borderId="11" xfId="4" applyNumberFormat="1" applyFont="1" applyFill="1" applyBorder="1" applyAlignment="1">
      <alignment horizontal="center" vertical="center" shrinkToFit="1"/>
    </xf>
    <xf numFmtId="0" fontId="36" fillId="0" borderId="12" xfId="3" quotePrefix="1" applyFont="1" applyBorder="1" applyAlignment="1">
      <alignment horizontal="left" vertical="center" wrapText="1" indent="2"/>
    </xf>
    <xf numFmtId="10" fontId="37" fillId="0" borderId="13" xfId="6" applyNumberFormat="1" applyFont="1" applyFill="1" applyBorder="1" applyAlignment="1">
      <alignment vertical="center" shrinkToFit="1"/>
    </xf>
    <xf numFmtId="10" fontId="37" fillId="0" borderId="11" xfId="6" applyNumberFormat="1" applyFont="1" applyFill="1" applyBorder="1" applyAlignment="1">
      <alignment vertical="center" shrinkToFit="1"/>
    </xf>
    <xf numFmtId="0" fontId="36" fillId="0" borderId="16" xfId="3" applyFont="1" applyBorder="1" applyAlignment="1">
      <alignment horizontal="left" vertical="center" wrapText="1" indent="2"/>
    </xf>
    <xf numFmtId="165" fontId="35" fillId="3" borderId="17" xfId="4" applyNumberFormat="1" applyFont="1" applyFill="1" applyBorder="1" applyAlignment="1">
      <alignment horizontal="center" vertical="center" shrinkToFit="1"/>
    </xf>
    <xf numFmtId="165" fontId="35" fillId="3" borderId="15" xfId="4" applyNumberFormat="1" applyFont="1" applyFill="1" applyBorder="1" applyAlignment="1">
      <alignment horizontal="center" vertical="center" shrinkToFit="1"/>
    </xf>
    <xf numFmtId="165" fontId="35" fillId="3" borderId="16" xfId="4" applyNumberFormat="1" applyFont="1" applyFill="1" applyBorder="1" applyAlignment="1">
      <alignment horizontal="center" vertical="center" shrinkToFit="1"/>
    </xf>
    <xf numFmtId="10" fontId="37" fillId="0" borderId="17" xfId="6" applyNumberFormat="1" applyFont="1" applyFill="1" applyBorder="1" applyAlignment="1">
      <alignment vertical="center" shrinkToFit="1"/>
    </xf>
    <xf numFmtId="10" fontId="37" fillId="0" borderId="15" xfId="6" applyNumberFormat="1" applyFont="1" applyFill="1" applyBorder="1" applyAlignment="1">
      <alignment vertical="center" shrinkToFit="1"/>
    </xf>
    <xf numFmtId="0" fontId="31" fillId="0" borderId="0" xfId="3" applyFont="1" applyBorder="1" applyAlignment="1" applyProtection="1">
      <alignment vertical="center"/>
      <protection locked="0"/>
    </xf>
    <xf numFmtId="4" fontId="40" fillId="0" borderId="23" xfId="1" applyNumberFormat="1" applyFont="1" applyFill="1" applyBorder="1" applyAlignment="1">
      <alignment horizontal="right"/>
    </xf>
    <xf numFmtId="4" fontId="25" fillId="0" borderId="0" xfId="1" applyNumberFormat="1" applyFont="1"/>
    <xf numFmtId="4" fontId="40" fillId="0" borderId="6" xfId="1" applyNumberFormat="1" applyFont="1" applyBorder="1" applyAlignment="1"/>
    <xf numFmtId="0" fontId="32" fillId="0" borderId="9" xfId="3" applyFont="1" applyBorder="1" applyAlignment="1" applyProtection="1">
      <alignment horizontal="center" vertical="center" wrapText="1"/>
      <protection locked="0"/>
    </xf>
    <xf numFmtId="0" fontId="26" fillId="0" borderId="0" xfId="3" applyProtection="1">
      <protection locked="0"/>
    </xf>
    <xf numFmtId="0" fontId="26" fillId="0" borderId="0" xfId="3" applyFont="1"/>
    <xf numFmtId="0" fontId="45" fillId="0" borderId="0" xfId="3" applyFont="1"/>
    <xf numFmtId="0" fontId="25" fillId="0" borderId="23" xfId="1" applyFont="1" applyFill="1" applyBorder="1" applyAlignment="1">
      <alignment horizontal="left" vertical="center" wrapText="1"/>
    </xf>
    <xf numFmtId="0" fontId="25" fillId="0" borderId="23" xfId="1" applyFont="1" applyFill="1" applyBorder="1" applyAlignment="1">
      <alignment horizontal="center" vertical="center" wrapText="1"/>
    </xf>
    <xf numFmtId="4" fontId="40" fillId="0" borderId="23" xfId="1" applyNumberFormat="1" applyFont="1" applyFill="1" applyBorder="1" applyAlignment="1"/>
    <xf numFmtId="4" fontId="25" fillId="0" borderId="23" xfId="1" applyNumberFormat="1" applyFont="1" applyFill="1" applyBorder="1" applyAlignment="1"/>
    <xf numFmtId="0" fontId="25" fillId="0" borderId="3" xfId="1" applyFont="1" applyFill="1" applyBorder="1" applyAlignment="1">
      <alignment horizontal="left" vertical="center" wrapText="1"/>
    </xf>
    <xf numFmtId="0" fontId="25" fillId="0" borderId="23" xfId="2" applyFont="1" applyFill="1" applyBorder="1" applyAlignment="1" applyProtection="1">
      <alignment vertical="center" wrapText="1"/>
    </xf>
    <xf numFmtId="0" fontId="25" fillId="0" borderId="22" xfId="1" applyFont="1" applyFill="1" applyBorder="1" applyAlignment="1">
      <alignment horizontal="center" vertical="center" wrapText="1"/>
    </xf>
    <xf numFmtId="0" fontId="25" fillId="0" borderId="19" xfId="11" applyFont="1" applyFill="1" applyBorder="1" applyAlignment="1" applyProtection="1">
      <alignment vertical="center" wrapText="1"/>
    </xf>
    <xf numFmtId="0" fontId="25" fillId="0" borderId="20" xfId="2" applyFont="1" applyFill="1" applyBorder="1" applyAlignment="1">
      <alignment horizontal="center" vertical="center" wrapText="1"/>
    </xf>
    <xf numFmtId="4" fontId="40" fillId="0" borderId="21" xfId="1" applyNumberFormat="1" applyFont="1" applyFill="1" applyBorder="1"/>
    <xf numFmtId="4" fontId="25" fillId="0" borderId="21" xfId="1" applyNumberFormat="1" applyFont="1" applyFill="1" applyBorder="1"/>
    <xf numFmtId="0" fontId="25" fillId="0" borderId="21" xfId="1" applyFont="1" applyFill="1" applyBorder="1"/>
    <xf numFmtId="0" fontId="32" fillId="0" borderId="9" xfId="3" applyFont="1" applyBorder="1" applyAlignment="1" applyProtection="1">
      <alignment horizontal="center" vertical="center" wrapText="1"/>
      <protection locked="0"/>
    </xf>
    <xf numFmtId="0" fontId="30" fillId="0" borderId="0" xfId="3" applyFont="1" applyAlignment="1">
      <alignment horizontal="center"/>
    </xf>
    <xf numFmtId="0" fontId="40" fillId="3" borderId="32" xfId="1" applyFont="1" applyFill="1" applyBorder="1" applyAlignment="1">
      <alignment horizontal="left" vertical="center" wrapText="1"/>
    </xf>
    <xf numFmtId="0" fontId="40" fillId="3" borderId="33" xfId="1" applyFont="1" applyFill="1" applyBorder="1" applyAlignment="1">
      <alignment horizontal="left" vertical="center" wrapText="1"/>
    </xf>
    <xf numFmtId="0" fontId="40" fillId="3" borderId="22" xfId="1" applyFont="1" applyFill="1" applyBorder="1" applyAlignment="1">
      <alignment horizontal="left" vertical="center" wrapText="1"/>
    </xf>
    <xf numFmtId="0" fontId="40" fillId="3" borderId="1" xfId="1" applyFont="1" applyFill="1" applyBorder="1" applyAlignment="1">
      <alignment horizontal="left" vertical="center" wrapText="1"/>
    </xf>
    <xf numFmtId="0" fontId="38" fillId="0" borderId="0" xfId="1" applyFont="1" applyAlignment="1">
      <alignment horizontal="center" vertical="center"/>
    </xf>
    <xf numFmtId="0" fontId="25" fillId="2" borderId="1" xfId="1" applyFont="1" applyFill="1" applyBorder="1" applyAlignment="1">
      <alignment horizontal="center" vertical="center" wrapText="1"/>
    </xf>
    <xf numFmtId="0" fontId="40" fillId="2" borderId="1" xfId="1" applyFont="1" applyFill="1" applyBorder="1" applyAlignment="1">
      <alignment horizontal="center" vertical="center" wrapText="1"/>
    </xf>
  </cellXfs>
  <cellStyles count="33">
    <cellStyle name="Normalny" xfId="0" builtinId="0"/>
    <cellStyle name="Normalny 2" xfId="1"/>
    <cellStyle name="Normalny 2 2" xfId="23"/>
    <cellStyle name="Normalny 2 2 2" xfId="2"/>
    <cellStyle name="Normalny 2 4" xfId="11"/>
    <cellStyle name="Normalny 3" xfId="3"/>
    <cellStyle name="Normalny 6 2" xfId="4"/>
    <cellStyle name="Normalny 8" xfId="7"/>
    <cellStyle name="Normalny 8 10" xfId="17"/>
    <cellStyle name="Normalny 8 11" xfId="18"/>
    <cellStyle name="Normalny 8 12" xfId="19"/>
    <cellStyle name="Normalny 8 13" xfId="20"/>
    <cellStyle name="Normalny 8 14" xfId="21"/>
    <cellStyle name="Normalny 8 15" xfId="22"/>
    <cellStyle name="Normalny 8 16" xfId="24"/>
    <cellStyle name="Normalny 8 17" xfId="25"/>
    <cellStyle name="Normalny 8 18" xfId="26"/>
    <cellStyle name="Normalny 8 19" xfId="27"/>
    <cellStyle name="Normalny 8 2" xfId="8"/>
    <cellStyle name="Normalny 8 20" xfId="28"/>
    <cellStyle name="Normalny 8 21" xfId="29"/>
    <cellStyle name="Normalny 8 22" xfId="30"/>
    <cellStyle name="Normalny 8 23" xfId="31"/>
    <cellStyle name="Normalny 8 24" xfId="32"/>
    <cellStyle name="Normalny 8 3" xfId="9"/>
    <cellStyle name="Normalny 8 4" xfId="10"/>
    <cellStyle name="Normalny 8 5" xfId="12"/>
    <cellStyle name="Normalny 8 6" xfId="13"/>
    <cellStyle name="Normalny 8 7" xfId="14"/>
    <cellStyle name="Normalny 8 8" xfId="15"/>
    <cellStyle name="Normalny 8 9" xfId="16"/>
    <cellStyle name="Normalny 9" xfId="5"/>
    <cellStyle name="Procentowy 2 2" xfId="6"/>
  </cellStyles>
  <dxfs count="2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r&#243;wnanie_31_10_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_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cja"/>
      <sheetName val="WPF=Budzet (rok N)"/>
      <sheetName val="WPF a wykonanie (wybr okr)"/>
      <sheetName val="OpisZmian"/>
      <sheetName val="DaneBudzet"/>
      <sheetName val="DaneZrodlowe"/>
    </sheetNames>
    <sheetDataSet>
      <sheetData sheetId="0">
        <row r="4">
          <cell r="B4">
            <v>2019</v>
          </cell>
        </row>
        <row r="5">
          <cell r="B5">
            <v>4</v>
          </cell>
          <cell r="H5" t="b">
            <v>1</v>
          </cell>
        </row>
      </sheetData>
      <sheetData sheetId="1"/>
      <sheetData sheetId="2" refreshError="1"/>
      <sheetData sheetId="3" refreshError="1"/>
      <sheetData sheetId="4" refreshError="1"/>
      <sheetData sheetId="5">
        <row r="1">
          <cell r="O1">
            <v>2019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.1_WPF_bazowy"/>
      <sheetName val="WPF_Analiza"/>
      <sheetName val="rysunki"/>
      <sheetName val="opis zmian"/>
      <sheetName val="definicja"/>
      <sheetName val="DaneZrodlowe"/>
      <sheetName val="DaneZrodloweDoWsk"/>
    </sheetNames>
    <sheetDataSet>
      <sheetData sheetId="0"/>
      <sheetData sheetId="1">
        <row r="1">
          <cell r="L1" t="str">
            <v>Ostatni rok analizy:</v>
          </cell>
          <cell r="M1">
            <v>2033</v>
          </cell>
        </row>
      </sheetData>
      <sheetData sheetId="2" refreshError="1"/>
      <sheetData sheetId="3" refreshError="1"/>
      <sheetData sheetId="4">
        <row r="1">
          <cell r="D1" t="str">
            <v>ver 2019-11-26b</v>
          </cell>
        </row>
      </sheetData>
      <sheetData sheetId="5">
        <row r="1">
          <cell r="N1">
            <v>2020</v>
          </cell>
          <cell r="Q1">
            <v>2033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B050"/>
    <outlinePr summaryBelow="0"/>
  </sheetPr>
  <dimension ref="A1:U103"/>
  <sheetViews>
    <sheetView view="pageBreakPreview" zoomScaleNormal="106" zoomScaleSheetLayoutView="100" workbookViewId="0">
      <pane xSplit="2" ySplit="3" topLeftCell="C4" activePane="bottomRight" state="frozen"/>
      <selection activeCell="E140" sqref="E140"/>
      <selection pane="topRight" activeCell="E140" sqref="E140"/>
      <selection pane="bottomLeft" activeCell="E140" sqref="E140"/>
      <selection pane="bottomRight" activeCell="K18" sqref="K18"/>
    </sheetView>
  </sheetViews>
  <sheetFormatPr defaultRowHeight="14.25"/>
  <cols>
    <col min="1" max="1" width="7.85546875" style="21" customWidth="1"/>
    <col min="2" max="2" width="36.7109375" style="21" customWidth="1"/>
    <col min="3" max="20" width="11.7109375" style="21" customWidth="1"/>
    <col min="21" max="237" width="9.140625" style="1"/>
    <col min="238" max="239" width="4.85546875" style="1" customWidth="1"/>
    <col min="240" max="240" width="7.5703125" style="1" customWidth="1"/>
    <col min="241" max="241" width="0" style="1" hidden="1" customWidth="1"/>
    <col min="242" max="242" width="63.7109375" style="1" customWidth="1"/>
    <col min="243" max="246" width="0" style="1" hidden="1" customWidth="1"/>
    <col min="247" max="276" width="16" style="1" customWidth="1"/>
    <col min="277" max="493" width="9.140625" style="1"/>
    <col min="494" max="495" width="4.85546875" style="1" customWidth="1"/>
    <col min="496" max="496" width="7.5703125" style="1" customWidth="1"/>
    <col min="497" max="497" width="0" style="1" hidden="1" customWidth="1"/>
    <col min="498" max="498" width="63.7109375" style="1" customWidth="1"/>
    <col min="499" max="502" width="0" style="1" hidden="1" customWidth="1"/>
    <col min="503" max="532" width="16" style="1" customWidth="1"/>
    <col min="533" max="749" width="9.140625" style="1"/>
    <col min="750" max="751" width="4.85546875" style="1" customWidth="1"/>
    <col min="752" max="752" width="7.5703125" style="1" customWidth="1"/>
    <col min="753" max="753" width="0" style="1" hidden="1" customWidth="1"/>
    <col min="754" max="754" width="63.7109375" style="1" customWidth="1"/>
    <col min="755" max="758" width="0" style="1" hidden="1" customWidth="1"/>
    <col min="759" max="788" width="16" style="1" customWidth="1"/>
    <col min="789" max="1005" width="9.140625" style="1"/>
    <col min="1006" max="1007" width="4.85546875" style="1" customWidth="1"/>
    <col min="1008" max="1008" width="7.5703125" style="1" customWidth="1"/>
    <col min="1009" max="1009" width="0" style="1" hidden="1" customWidth="1"/>
    <col min="1010" max="1010" width="63.7109375" style="1" customWidth="1"/>
    <col min="1011" max="1014" width="0" style="1" hidden="1" customWidth="1"/>
    <col min="1015" max="1044" width="16" style="1" customWidth="1"/>
    <col min="1045" max="1261" width="9.140625" style="1"/>
    <col min="1262" max="1263" width="4.85546875" style="1" customWidth="1"/>
    <col min="1264" max="1264" width="7.5703125" style="1" customWidth="1"/>
    <col min="1265" max="1265" width="0" style="1" hidden="1" customWidth="1"/>
    <col min="1266" max="1266" width="63.7109375" style="1" customWidth="1"/>
    <col min="1267" max="1270" width="0" style="1" hidden="1" customWidth="1"/>
    <col min="1271" max="1300" width="16" style="1" customWidth="1"/>
    <col min="1301" max="1517" width="9.140625" style="1"/>
    <col min="1518" max="1519" width="4.85546875" style="1" customWidth="1"/>
    <col min="1520" max="1520" width="7.5703125" style="1" customWidth="1"/>
    <col min="1521" max="1521" width="0" style="1" hidden="1" customWidth="1"/>
    <col min="1522" max="1522" width="63.7109375" style="1" customWidth="1"/>
    <col min="1523" max="1526" width="0" style="1" hidden="1" customWidth="1"/>
    <col min="1527" max="1556" width="16" style="1" customWidth="1"/>
    <col min="1557" max="1773" width="9.140625" style="1"/>
    <col min="1774" max="1775" width="4.85546875" style="1" customWidth="1"/>
    <col min="1776" max="1776" width="7.5703125" style="1" customWidth="1"/>
    <col min="1777" max="1777" width="0" style="1" hidden="1" customWidth="1"/>
    <col min="1778" max="1778" width="63.7109375" style="1" customWidth="1"/>
    <col min="1779" max="1782" width="0" style="1" hidden="1" customWidth="1"/>
    <col min="1783" max="1812" width="16" style="1" customWidth="1"/>
    <col min="1813" max="2029" width="9.140625" style="1"/>
    <col min="2030" max="2031" width="4.85546875" style="1" customWidth="1"/>
    <col min="2032" max="2032" width="7.5703125" style="1" customWidth="1"/>
    <col min="2033" max="2033" width="0" style="1" hidden="1" customWidth="1"/>
    <col min="2034" max="2034" width="63.7109375" style="1" customWidth="1"/>
    <col min="2035" max="2038" width="0" style="1" hidden="1" customWidth="1"/>
    <col min="2039" max="2068" width="16" style="1" customWidth="1"/>
    <col min="2069" max="2285" width="9.140625" style="1"/>
    <col min="2286" max="2287" width="4.85546875" style="1" customWidth="1"/>
    <col min="2288" max="2288" width="7.5703125" style="1" customWidth="1"/>
    <col min="2289" max="2289" width="0" style="1" hidden="1" customWidth="1"/>
    <col min="2290" max="2290" width="63.7109375" style="1" customWidth="1"/>
    <col min="2291" max="2294" width="0" style="1" hidden="1" customWidth="1"/>
    <col min="2295" max="2324" width="16" style="1" customWidth="1"/>
    <col min="2325" max="2541" width="9.140625" style="1"/>
    <col min="2542" max="2543" width="4.85546875" style="1" customWidth="1"/>
    <col min="2544" max="2544" width="7.5703125" style="1" customWidth="1"/>
    <col min="2545" max="2545" width="0" style="1" hidden="1" customWidth="1"/>
    <col min="2546" max="2546" width="63.7109375" style="1" customWidth="1"/>
    <col min="2547" max="2550" width="0" style="1" hidden="1" customWidth="1"/>
    <col min="2551" max="2580" width="16" style="1" customWidth="1"/>
    <col min="2581" max="2797" width="9.140625" style="1"/>
    <col min="2798" max="2799" width="4.85546875" style="1" customWidth="1"/>
    <col min="2800" max="2800" width="7.5703125" style="1" customWidth="1"/>
    <col min="2801" max="2801" width="0" style="1" hidden="1" customWidth="1"/>
    <col min="2802" max="2802" width="63.7109375" style="1" customWidth="1"/>
    <col min="2803" max="2806" width="0" style="1" hidden="1" customWidth="1"/>
    <col min="2807" max="2836" width="16" style="1" customWidth="1"/>
    <col min="2837" max="3053" width="9.140625" style="1"/>
    <col min="3054" max="3055" width="4.85546875" style="1" customWidth="1"/>
    <col min="3056" max="3056" width="7.5703125" style="1" customWidth="1"/>
    <col min="3057" max="3057" width="0" style="1" hidden="1" customWidth="1"/>
    <col min="3058" max="3058" width="63.7109375" style="1" customWidth="1"/>
    <col min="3059" max="3062" width="0" style="1" hidden="1" customWidth="1"/>
    <col min="3063" max="3092" width="16" style="1" customWidth="1"/>
    <col min="3093" max="3309" width="9.140625" style="1"/>
    <col min="3310" max="3311" width="4.85546875" style="1" customWidth="1"/>
    <col min="3312" max="3312" width="7.5703125" style="1" customWidth="1"/>
    <col min="3313" max="3313" width="0" style="1" hidden="1" customWidth="1"/>
    <col min="3314" max="3314" width="63.7109375" style="1" customWidth="1"/>
    <col min="3315" max="3318" width="0" style="1" hidden="1" customWidth="1"/>
    <col min="3319" max="3348" width="16" style="1" customWidth="1"/>
    <col min="3349" max="3565" width="9.140625" style="1"/>
    <col min="3566" max="3567" width="4.85546875" style="1" customWidth="1"/>
    <col min="3568" max="3568" width="7.5703125" style="1" customWidth="1"/>
    <col min="3569" max="3569" width="0" style="1" hidden="1" customWidth="1"/>
    <col min="3570" max="3570" width="63.7109375" style="1" customWidth="1"/>
    <col min="3571" max="3574" width="0" style="1" hidden="1" customWidth="1"/>
    <col min="3575" max="3604" width="16" style="1" customWidth="1"/>
    <col min="3605" max="3821" width="9.140625" style="1"/>
    <col min="3822" max="3823" width="4.85546875" style="1" customWidth="1"/>
    <col min="3824" max="3824" width="7.5703125" style="1" customWidth="1"/>
    <col min="3825" max="3825" width="0" style="1" hidden="1" customWidth="1"/>
    <col min="3826" max="3826" width="63.7109375" style="1" customWidth="1"/>
    <col min="3827" max="3830" width="0" style="1" hidden="1" customWidth="1"/>
    <col min="3831" max="3860" width="16" style="1" customWidth="1"/>
    <col min="3861" max="4077" width="9.140625" style="1"/>
    <col min="4078" max="4079" width="4.85546875" style="1" customWidth="1"/>
    <col min="4080" max="4080" width="7.5703125" style="1" customWidth="1"/>
    <col min="4081" max="4081" width="0" style="1" hidden="1" customWidth="1"/>
    <col min="4082" max="4082" width="63.7109375" style="1" customWidth="1"/>
    <col min="4083" max="4086" width="0" style="1" hidden="1" customWidth="1"/>
    <col min="4087" max="4116" width="16" style="1" customWidth="1"/>
    <col min="4117" max="4333" width="9.140625" style="1"/>
    <col min="4334" max="4335" width="4.85546875" style="1" customWidth="1"/>
    <col min="4336" max="4336" width="7.5703125" style="1" customWidth="1"/>
    <col min="4337" max="4337" width="0" style="1" hidden="1" customWidth="1"/>
    <col min="4338" max="4338" width="63.7109375" style="1" customWidth="1"/>
    <col min="4339" max="4342" width="0" style="1" hidden="1" customWidth="1"/>
    <col min="4343" max="4372" width="16" style="1" customWidth="1"/>
    <col min="4373" max="4589" width="9.140625" style="1"/>
    <col min="4590" max="4591" width="4.85546875" style="1" customWidth="1"/>
    <col min="4592" max="4592" width="7.5703125" style="1" customWidth="1"/>
    <col min="4593" max="4593" width="0" style="1" hidden="1" customWidth="1"/>
    <col min="4594" max="4594" width="63.7109375" style="1" customWidth="1"/>
    <col min="4595" max="4598" width="0" style="1" hidden="1" customWidth="1"/>
    <col min="4599" max="4628" width="16" style="1" customWidth="1"/>
    <col min="4629" max="4845" width="9.140625" style="1"/>
    <col min="4846" max="4847" width="4.85546875" style="1" customWidth="1"/>
    <col min="4848" max="4848" width="7.5703125" style="1" customWidth="1"/>
    <col min="4849" max="4849" width="0" style="1" hidden="1" customWidth="1"/>
    <col min="4850" max="4850" width="63.7109375" style="1" customWidth="1"/>
    <col min="4851" max="4854" width="0" style="1" hidden="1" customWidth="1"/>
    <col min="4855" max="4884" width="16" style="1" customWidth="1"/>
    <col min="4885" max="5101" width="9.140625" style="1"/>
    <col min="5102" max="5103" width="4.85546875" style="1" customWidth="1"/>
    <col min="5104" max="5104" width="7.5703125" style="1" customWidth="1"/>
    <col min="5105" max="5105" width="0" style="1" hidden="1" customWidth="1"/>
    <col min="5106" max="5106" width="63.7109375" style="1" customWidth="1"/>
    <col min="5107" max="5110" width="0" style="1" hidden="1" customWidth="1"/>
    <col min="5111" max="5140" width="16" style="1" customWidth="1"/>
    <col min="5141" max="5357" width="9.140625" style="1"/>
    <col min="5358" max="5359" width="4.85546875" style="1" customWidth="1"/>
    <col min="5360" max="5360" width="7.5703125" style="1" customWidth="1"/>
    <col min="5361" max="5361" width="0" style="1" hidden="1" customWidth="1"/>
    <col min="5362" max="5362" width="63.7109375" style="1" customWidth="1"/>
    <col min="5363" max="5366" width="0" style="1" hidden="1" customWidth="1"/>
    <col min="5367" max="5396" width="16" style="1" customWidth="1"/>
    <col min="5397" max="5613" width="9.140625" style="1"/>
    <col min="5614" max="5615" width="4.85546875" style="1" customWidth="1"/>
    <col min="5616" max="5616" width="7.5703125" style="1" customWidth="1"/>
    <col min="5617" max="5617" width="0" style="1" hidden="1" customWidth="1"/>
    <col min="5618" max="5618" width="63.7109375" style="1" customWidth="1"/>
    <col min="5619" max="5622" width="0" style="1" hidden="1" customWidth="1"/>
    <col min="5623" max="5652" width="16" style="1" customWidth="1"/>
    <col min="5653" max="5869" width="9.140625" style="1"/>
    <col min="5870" max="5871" width="4.85546875" style="1" customWidth="1"/>
    <col min="5872" max="5872" width="7.5703125" style="1" customWidth="1"/>
    <col min="5873" max="5873" width="0" style="1" hidden="1" customWidth="1"/>
    <col min="5874" max="5874" width="63.7109375" style="1" customWidth="1"/>
    <col min="5875" max="5878" width="0" style="1" hidden="1" customWidth="1"/>
    <col min="5879" max="5908" width="16" style="1" customWidth="1"/>
    <col min="5909" max="6125" width="9.140625" style="1"/>
    <col min="6126" max="6127" width="4.85546875" style="1" customWidth="1"/>
    <col min="6128" max="6128" width="7.5703125" style="1" customWidth="1"/>
    <col min="6129" max="6129" width="0" style="1" hidden="1" customWidth="1"/>
    <col min="6130" max="6130" width="63.7109375" style="1" customWidth="1"/>
    <col min="6131" max="6134" width="0" style="1" hidden="1" customWidth="1"/>
    <col min="6135" max="6164" width="16" style="1" customWidth="1"/>
    <col min="6165" max="6381" width="9.140625" style="1"/>
    <col min="6382" max="6383" width="4.85546875" style="1" customWidth="1"/>
    <col min="6384" max="6384" width="7.5703125" style="1" customWidth="1"/>
    <col min="6385" max="6385" width="0" style="1" hidden="1" customWidth="1"/>
    <col min="6386" max="6386" width="63.7109375" style="1" customWidth="1"/>
    <col min="6387" max="6390" width="0" style="1" hidden="1" customWidth="1"/>
    <col min="6391" max="6420" width="16" style="1" customWidth="1"/>
    <col min="6421" max="6637" width="9.140625" style="1"/>
    <col min="6638" max="6639" width="4.85546875" style="1" customWidth="1"/>
    <col min="6640" max="6640" width="7.5703125" style="1" customWidth="1"/>
    <col min="6641" max="6641" width="0" style="1" hidden="1" customWidth="1"/>
    <col min="6642" max="6642" width="63.7109375" style="1" customWidth="1"/>
    <col min="6643" max="6646" width="0" style="1" hidden="1" customWidth="1"/>
    <col min="6647" max="6676" width="16" style="1" customWidth="1"/>
    <col min="6677" max="6893" width="9.140625" style="1"/>
    <col min="6894" max="6895" width="4.85546875" style="1" customWidth="1"/>
    <col min="6896" max="6896" width="7.5703125" style="1" customWidth="1"/>
    <col min="6897" max="6897" width="0" style="1" hidden="1" customWidth="1"/>
    <col min="6898" max="6898" width="63.7109375" style="1" customWidth="1"/>
    <col min="6899" max="6902" width="0" style="1" hidden="1" customWidth="1"/>
    <col min="6903" max="6932" width="16" style="1" customWidth="1"/>
    <col min="6933" max="7149" width="9.140625" style="1"/>
    <col min="7150" max="7151" width="4.85546875" style="1" customWidth="1"/>
    <col min="7152" max="7152" width="7.5703125" style="1" customWidth="1"/>
    <col min="7153" max="7153" width="0" style="1" hidden="1" customWidth="1"/>
    <col min="7154" max="7154" width="63.7109375" style="1" customWidth="1"/>
    <col min="7155" max="7158" width="0" style="1" hidden="1" customWidth="1"/>
    <col min="7159" max="7188" width="16" style="1" customWidth="1"/>
    <col min="7189" max="7405" width="9.140625" style="1"/>
    <col min="7406" max="7407" width="4.85546875" style="1" customWidth="1"/>
    <col min="7408" max="7408" width="7.5703125" style="1" customWidth="1"/>
    <col min="7409" max="7409" width="0" style="1" hidden="1" customWidth="1"/>
    <col min="7410" max="7410" width="63.7109375" style="1" customWidth="1"/>
    <col min="7411" max="7414" width="0" style="1" hidden="1" customWidth="1"/>
    <col min="7415" max="7444" width="16" style="1" customWidth="1"/>
    <col min="7445" max="7661" width="9.140625" style="1"/>
    <col min="7662" max="7663" width="4.85546875" style="1" customWidth="1"/>
    <col min="7664" max="7664" width="7.5703125" style="1" customWidth="1"/>
    <col min="7665" max="7665" width="0" style="1" hidden="1" customWidth="1"/>
    <col min="7666" max="7666" width="63.7109375" style="1" customWidth="1"/>
    <col min="7667" max="7670" width="0" style="1" hidden="1" customWidth="1"/>
    <col min="7671" max="7700" width="16" style="1" customWidth="1"/>
    <col min="7701" max="7917" width="9.140625" style="1"/>
    <col min="7918" max="7919" width="4.85546875" style="1" customWidth="1"/>
    <col min="7920" max="7920" width="7.5703125" style="1" customWidth="1"/>
    <col min="7921" max="7921" width="0" style="1" hidden="1" customWidth="1"/>
    <col min="7922" max="7922" width="63.7109375" style="1" customWidth="1"/>
    <col min="7923" max="7926" width="0" style="1" hidden="1" customWidth="1"/>
    <col min="7927" max="7956" width="16" style="1" customWidth="1"/>
    <col min="7957" max="8173" width="9.140625" style="1"/>
    <col min="8174" max="8175" width="4.85546875" style="1" customWidth="1"/>
    <col min="8176" max="8176" width="7.5703125" style="1" customWidth="1"/>
    <col min="8177" max="8177" width="0" style="1" hidden="1" customWidth="1"/>
    <col min="8178" max="8178" width="63.7109375" style="1" customWidth="1"/>
    <col min="8179" max="8182" width="0" style="1" hidden="1" customWidth="1"/>
    <col min="8183" max="8212" width="16" style="1" customWidth="1"/>
    <col min="8213" max="8429" width="9.140625" style="1"/>
    <col min="8430" max="8431" width="4.85546875" style="1" customWidth="1"/>
    <col min="8432" max="8432" width="7.5703125" style="1" customWidth="1"/>
    <col min="8433" max="8433" width="0" style="1" hidden="1" customWidth="1"/>
    <col min="8434" max="8434" width="63.7109375" style="1" customWidth="1"/>
    <col min="8435" max="8438" width="0" style="1" hidden="1" customWidth="1"/>
    <col min="8439" max="8468" width="16" style="1" customWidth="1"/>
    <col min="8469" max="8685" width="9.140625" style="1"/>
    <col min="8686" max="8687" width="4.85546875" style="1" customWidth="1"/>
    <col min="8688" max="8688" width="7.5703125" style="1" customWidth="1"/>
    <col min="8689" max="8689" width="0" style="1" hidden="1" customWidth="1"/>
    <col min="8690" max="8690" width="63.7109375" style="1" customWidth="1"/>
    <col min="8691" max="8694" width="0" style="1" hidden="1" customWidth="1"/>
    <col min="8695" max="8724" width="16" style="1" customWidth="1"/>
    <col min="8725" max="8941" width="9.140625" style="1"/>
    <col min="8942" max="8943" width="4.85546875" style="1" customWidth="1"/>
    <col min="8944" max="8944" width="7.5703125" style="1" customWidth="1"/>
    <col min="8945" max="8945" width="0" style="1" hidden="1" customWidth="1"/>
    <col min="8946" max="8946" width="63.7109375" style="1" customWidth="1"/>
    <col min="8947" max="8950" width="0" style="1" hidden="1" customWidth="1"/>
    <col min="8951" max="8980" width="16" style="1" customWidth="1"/>
    <col min="8981" max="9197" width="9.140625" style="1"/>
    <col min="9198" max="9199" width="4.85546875" style="1" customWidth="1"/>
    <col min="9200" max="9200" width="7.5703125" style="1" customWidth="1"/>
    <col min="9201" max="9201" width="0" style="1" hidden="1" customWidth="1"/>
    <col min="9202" max="9202" width="63.7109375" style="1" customWidth="1"/>
    <col min="9203" max="9206" width="0" style="1" hidden="1" customWidth="1"/>
    <col min="9207" max="9236" width="16" style="1" customWidth="1"/>
    <col min="9237" max="9453" width="9.140625" style="1"/>
    <col min="9454" max="9455" width="4.85546875" style="1" customWidth="1"/>
    <col min="9456" max="9456" width="7.5703125" style="1" customWidth="1"/>
    <col min="9457" max="9457" width="0" style="1" hidden="1" customWidth="1"/>
    <col min="9458" max="9458" width="63.7109375" style="1" customWidth="1"/>
    <col min="9459" max="9462" width="0" style="1" hidden="1" customWidth="1"/>
    <col min="9463" max="9492" width="16" style="1" customWidth="1"/>
    <col min="9493" max="9709" width="9.140625" style="1"/>
    <col min="9710" max="9711" width="4.85546875" style="1" customWidth="1"/>
    <col min="9712" max="9712" width="7.5703125" style="1" customWidth="1"/>
    <col min="9713" max="9713" width="0" style="1" hidden="1" customWidth="1"/>
    <col min="9714" max="9714" width="63.7109375" style="1" customWidth="1"/>
    <col min="9715" max="9718" width="0" style="1" hidden="1" customWidth="1"/>
    <col min="9719" max="9748" width="16" style="1" customWidth="1"/>
    <col min="9749" max="9965" width="9.140625" style="1"/>
    <col min="9966" max="9967" width="4.85546875" style="1" customWidth="1"/>
    <col min="9968" max="9968" width="7.5703125" style="1" customWidth="1"/>
    <col min="9969" max="9969" width="0" style="1" hidden="1" customWidth="1"/>
    <col min="9970" max="9970" width="63.7109375" style="1" customWidth="1"/>
    <col min="9971" max="9974" width="0" style="1" hidden="1" customWidth="1"/>
    <col min="9975" max="10004" width="16" style="1" customWidth="1"/>
    <col min="10005" max="10221" width="9.140625" style="1"/>
    <col min="10222" max="10223" width="4.85546875" style="1" customWidth="1"/>
    <col min="10224" max="10224" width="7.5703125" style="1" customWidth="1"/>
    <col min="10225" max="10225" width="0" style="1" hidden="1" customWidth="1"/>
    <col min="10226" max="10226" width="63.7109375" style="1" customWidth="1"/>
    <col min="10227" max="10230" width="0" style="1" hidden="1" customWidth="1"/>
    <col min="10231" max="10260" width="16" style="1" customWidth="1"/>
    <col min="10261" max="10477" width="9.140625" style="1"/>
    <col min="10478" max="10479" width="4.85546875" style="1" customWidth="1"/>
    <col min="10480" max="10480" width="7.5703125" style="1" customWidth="1"/>
    <col min="10481" max="10481" width="0" style="1" hidden="1" customWidth="1"/>
    <col min="10482" max="10482" width="63.7109375" style="1" customWidth="1"/>
    <col min="10483" max="10486" width="0" style="1" hidden="1" customWidth="1"/>
    <col min="10487" max="10516" width="16" style="1" customWidth="1"/>
    <col min="10517" max="10733" width="9.140625" style="1"/>
    <col min="10734" max="10735" width="4.85546875" style="1" customWidth="1"/>
    <col min="10736" max="10736" width="7.5703125" style="1" customWidth="1"/>
    <col min="10737" max="10737" width="0" style="1" hidden="1" customWidth="1"/>
    <col min="10738" max="10738" width="63.7109375" style="1" customWidth="1"/>
    <col min="10739" max="10742" width="0" style="1" hidden="1" customWidth="1"/>
    <col min="10743" max="10772" width="16" style="1" customWidth="1"/>
    <col min="10773" max="10989" width="9.140625" style="1"/>
    <col min="10990" max="10991" width="4.85546875" style="1" customWidth="1"/>
    <col min="10992" max="10992" width="7.5703125" style="1" customWidth="1"/>
    <col min="10993" max="10993" width="0" style="1" hidden="1" customWidth="1"/>
    <col min="10994" max="10994" width="63.7109375" style="1" customWidth="1"/>
    <col min="10995" max="10998" width="0" style="1" hidden="1" customWidth="1"/>
    <col min="10999" max="11028" width="16" style="1" customWidth="1"/>
    <col min="11029" max="11245" width="9.140625" style="1"/>
    <col min="11246" max="11247" width="4.85546875" style="1" customWidth="1"/>
    <col min="11248" max="11248" width="7.5703125" style="1" customWidth="1"/>
    <col min="11249" max="11249" width="0" style="1" hidden="1" customWidth="1"/>
    <col min="11250" max="11250" width="63.7109375" style="1" customWidth="1"/>
    <col min="11251" max="11254" width="0" style="1" hidden="1" customWidth="1"/>
    <col min="11255" max="11284" width="16" style="1" customWidth="1"/>
    <col min="11285" max="11501" width="9.140625" style="1"/>
    <col min="11502" max="11503" width="4.85546875" style="1" customWidth="1"/>
    <col min="11504" max="11504" width="7.5703125" style="1" customWidth="1"/>
    <col min="11505" max="11505" width="0" style="1" hidden="1" customWidth="1"/>
    <col min="11506" max="11506" width="63.7109375" style="1" customWidth="1"/>
    <col min="11507" max="11510" width="0" style="1" hidden="1" customWidth="1"/>
    <col min="11511" max="11540" width="16" style="1" customWidth="1"/>
    <col min="11541" max="11757" width="9.140625" style="1"/>
    <col min="11758" max="11759" width="4.85546875" style="1" customWidth="1"/>
    <col min="11760" max="11760" width="7.5703125" style="1" customWidth="1"/>
    <col min="11761" max="11761" width="0" style="1" hidden="1" customWidth="1"/>
    <col min="11762" max="11762" width="63.7109375" style="1" customWidth="1"/>
    <col min="11763" max="11766" width="0" style="1" hidden="1" customWidth="1"/>
    <col min="11767" max="11796" width="16" style="1" customWidth="1"/>
    <col min="11797" max="12013" width="9.140625" style="1"/>
    <col min="12014" max="12015" width="4.85546875" style="1" customWidth="1"/>
    <col min="12016" max="12016" width="7.5703125" style="1" customWidth="1"/>
    <col min="12017" max="12017" width="0" style="1" hidden="1" customWidth="1"/>
    <col min="12018" max="12018" width="63.7109375" style="1" customWidth="1"/>
    <col min="12019" max="12022" width="0" style="1" hidden="1" customWidth="1"/>
    <col min="12023" max="12052" width="16" style="1" customWidth="1"/>
    <col min="12053" max="12269" width="9.140625" style="1"/>
    <col min="12270" max="12271" width="4.85546875" style="1" customWidth="1"/>
    <col min="12272" max="12272" width="7.5703125" style="1" customWidth="1"/>
    <col min="12273" max="12273" width="0" style="1" hidden="1" customWidth="1"/>
    <col min="12274" max="12274" width="63.7109375" style="1" customWidth="1"/>
    <col min="12275" max="12278" width="0" style="1" hidden="1" customWidth="1"/>
    <col min="12279" max="12308" width="16" style="1" customWidth="1"/>
    <col min="12309" max="12525" width="9.140625" style="1"/>
    <col min="12526" max="12527" width="4.85546875" style="1" customWidth="1"/>
    <col min="12528" max="12528" width="7.5703125" style="1" customWidth="1"/>
    <col min="12529" max="12529" width="0" style="1" hidden="1" customWidth="1"/>
    <col min="12530" max="12530" width="63.7109375" style="1" customWidth="1"/>
    <col min="12531" max="12534" width="0" style="1" hidden="1" customWidth="1"/>
    <col min="12535" max="12564" width="16" style="1" customWidth="1"/>
    <col min="12565" max="12781" width="9.140625" style="1"/>
    <col min="12782" max="12783" width="4.85546875" style="1" customWidth="1"/>
    <col min="12784" max="12784" width="7.5703125" style="1" customWidth="1"/>
    <col min="12785" max="12785" width="0" style="1" hidden="1" customWidth="1"/>
    <col min="12786" max="12786" width="63.7109375" style="1" customWidth="1"/>
    <col min="12787" max="12790" width="0" style="1" hidden="1" customWidth="1"/>
    <col min="12791" max="12820" width="16" style="1" customWidth="1"/>
    <col min="12821" max="13037" width="9.140625" style="1"/>
    <col min="13038" max="13039" width="4.85546875" style="1" customWidth="1"/>
    <col min="13040" max="13040" width="7.5703125" style="1" customWidth="1"/>
    <col min="13041" max="13041" width="0" style="1" hidden="1" customWidth="1"/>
    <col min="13042" max="13042" width="63.7109375" style="1" customWidth="1"/>
    <col min="13043" max="13046" width="0" style="1" hidden="1" customWidth="1"/>
    <col min="13047" max="13076" width="16" style="1" customWidth="1"/>
    <col min="13077" max="13293" width="9.140625" style="1"/>
    <col min="13294" max="13295" width="4.85546875" style="1" customWidth="1"/>
    <col min="13296" max="13296" width="7.5703125" style="1" customWidth="1"/>
    <col min="13297" max="13297" width="0" style="1" hidden="1" customWidth="1"/>
    <col min="13298" max="13298" width="63.7109375" style="1" customWidth="1"/>
    <col min="13299" max="13302" width="0" style="1" hidden="1" customWidth="1"/>
    <col min="13303" max="13332" width="16" style="1" customWidth="1"/>
    <col min="13333" max="13549" width="9.140625" style="1"/>
    <col min="13550" max="13551" width="4.85546875" style="1" customWidth="1"/>
    <col min="13552" max="13552" width="7.5703125" style="1" customWidth="1"/>
    <col min="13553" max="13553" width="0" style="1" hidden="1" customWidth="1"/>
    <col min="13554" max="13554" width="63.7109375" style="1" customWidth="1"/>
    <col min="13555" max="13558" width="0" style="1" hidden="1" customWidth="1"/>
    <col min="13559" max="13588" width="16" style="1" customWidth="1"/>
    <col min="13589" max="13805" width="9.140625" style="1"/>
    <col min="13806" max="13807" width="4.85546875" style="1" customWidth="1"/>
    <col min="13808" max="13808" width="7.5703125" style="1" customWidth="1"/>
    <col min="13809" max="13809" width="0" style="1" hidden="1" customWidth="1"/>
    <col min="13810" max="13810" width="63.7109375" style="1" customWidth="1"/>
    <col min="13811" max="13814" width="0" style="1" hidden="1" customWidth="1"/>
    <col min="13815" max="13844" width="16" style="1" customWidth="1"/>
    <col min="13845" max="14061" width="9.140625" style="1"/>
    <col min="14062" max="14063" width="4.85546875" style="1" customWidth="1"/>
    <col min="14064" max="14064" width="7.5703125" style="1" customWidth="1"/>
    <col min="14065" max="14065" width="0" style="1" hidden="1" customWidth="1"/>
    <col min="14066" max="14066" width="63.7109375" style="1" customWidth="1"/>
    <col min="14067" max="14070" width="0" style="1" hidden="1" customWidth="1"/>
    <col min="14071" max="14100" width="16" style="1" customWidth="1"/>
    <col min="14101" max="14317" width="9.140625" style="1"/>
    <col min="14318" max="14319" width="4.85546875" style="1" customWidth="1"/>
    <col min="14320" max="14320" width="7.5703125" style="1" customWidth="1"/>
    <col min="14321" max="14321" width="0" style="1" hidden="1" customWidth="1"/>
    <col min="14322" max="14322" width="63.7109375" style="1" customWidth="1"/>
    <col min="14323" max="14326" width="0" style="1" hidden="1" customWidth="1"/>
    <col min="14327" max="14356" width="16" style="1" customWidth="1"/>
    <col min="14357" max="14573" width="9.140625" style="1"/>
    <col min="14574" max="14575" width="4.85546875" style="1" customWidth="1"/>
    <col min="14576" max="14576" width="7.5703125" style="1" customWidth="1"/>
    <col min="14577" max="14577" width="0" style="1" hidden="1" customWidth="1"/>
    <col min="14578" max="14578" width="63.7109375" style="1" customWidth="1"/>
    <col min="14579" max="14582" width="0" style="1" hidden="1" customWidth="1"/>
    <col min="14583" max="14612" width="16" style="1" customWidth="1"/>
    <col min="14613" max="14829" width="9.140625" style="1"/>
    <col min="14830" max="14831" width="4.85546875" style="1" customWidth="1"/>
    <col min="14832" max="14832" width="7.5703125" style="1" customWidth="1"/>
    <col min="14833" max="14833" width="0" style="1" hidden="1" customWidth="1"/>
    <col min="14834" max="14834" width="63.7109375" style="1" customWidth="1"/>
    <col min="14835" max="14838" width="0" style="1" hidden="1" customWidth="1"/>
    <col min="14839" max="14868" width="16" style="1" customWidth="1"/>
    <col min="14869" max="15085" width="9.140625" style="1"/>
    <col min="15086" max="15087" width="4.85546875" style="1" customWidth="1"/>
    <col min="15088" max="15088" width="7.5703125" style="1" customWidth="1"/>
    <col min="15089" max="15089" width="0" style="1" hidden="1" customWidth="1"/>
    <col min="15090" max="15090" width="63.7109375" style="1" customWidth="1"/>
    <col min="15091" max="15094" width="0" style="1" hidden="1" customWidth="1"/>
    <col min="15095" max="15124" width="16" style="1" customWidth="1"/>
    <col min="15125" max="15341" width="9.140625" style="1"/>
    <col min="15342" max="15343" width="4.85546875" style="1" customWidth="1"/>
    <col min="15344" max="15344" width="7.5703125" style="1" customWidth="1"/>
    <col min="15345" max="15345" width="0" style="1" hidden="1" customWidth="1"/>
    <col min="15346" max="15346" width="63.7109375" style="1" customWidth="1"/>
    <col min="15347" max="15350" width="0" style="1" hidden="1" customWidth="1"/>
    <col min="15351" max="15380" width="16" style="1" customWidth="1"/>
    <col min="15381" max="15597" width="9.140625" style="1"/>
    <col min="15598" max="15599" width="4.85546875" style="1" customWidth="1"/>
    <col min="15600" max="15600" width="7.5703125" style="1" customWidth="1"/>
    <col min="15601" max="15601" width="0" style="1" hidden="1" customWidth="1"/>
    <col min="15602" max="15602" width="63.7109375" style="1" customWidth="1"/>
    <col min="15603" max="15606" width="0" style="1" hidden="1" customWidth="1"/>
    <col min="15607" max="15636" width="16" style="1" customWidth="1"/>
    <col min="15637" max="15853" width="9.140625" style="1"/>
    <col min="15854" max="15855" width="4.85546875" style="1" customWidth="1"/>
    <col min="15856" max="15856" width="7.5703125" style="1" customWidth="1"/>
    <col min="15857" max="15857" width="0" style="1" hidden="1" customWidth="1"/>
    <col min="15858" max="15858" width="63.7109375" style="1" customWidth="1"/>
    <col min="15859" max="15862" width="0" style="1" hidden="1" customWidth="1"/>
    <col min="15863" max="15892" width="16" style="1" customWidth="1"/>
    <col min="15893" max="16109" width="9.140625" style="1"/>
    <col min="16110" max="16111" width="4.85546875" style="1" customWidth="1"/>
    <col min="16112" max="16112" width="7.5703125" style="1" customWidth="1"/>
    <col min="16113" max="16113" width="0" style="1" hidden="1" customWidth="1"/>
    <col min="16114" max="16114" width="63.7109375" style="1" customWidth="1"/>
    <col min="16115" max="16118" width="0" style="1" hidden="1" customWidth="1"/>
    <col min="16119" max="16148" width="16" style="1" customWidth="1"/>
    <col min="16149" max="16384" width="9.140625" style="1"/>
  </cols>
  <sheetData>
    <row r="1" spans="1:21" ht="20.25">
      <c r="A1" s="201" t="s">
        <v>126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</row>
    <row r="2" spans="1:21" ht="15.75">
      <c r="A2" s="139"/>
      <c r="B2" s="2"/>
      <c r="C2" s="200" t="s">
        <v>127</v>
      </c>
      <c r="D2" s="200"/>
      <c r="E2" s="184" t="s">
        <v>128</v>
      </c>
      <c r="F2" s="184" t="s">
        <v>127</v>
      </c>
      <c r="G2" s="3" t="str">
        <f>""</f>
        <v/>
      </c>
      <c r="H2" s="4"/>
      <c r="I2" s="4"/>
      <c r="J2" s="4"/>
      <c r="K2" s="4"/>
      <c r="L2" s="139"/>
      <c r="M2" s="139"/>
      <c r="N2" s="139"/>
      <c r="O2" s="139"/>
      <c r="P2" s="139"/>
      <c r="Q2" s="139"/>
      <c r="R2" s="139"/>
      <c r="S2" s="139"/>
      <c r="T2" s="139"/>
      <c r="U2" s="185"/>
    </row>
    <row r="3" spans="1:21" ht="18" customHeight="1">
      <c r="A3" s="140" t="s">
        <v>1</v>
      </c>
      <c r="B3" s="141" t="s">
        <v>129</v>
      </c>
      <c r="C3" s="142">
        <f>+D3-1</f>
        <v>2017</v>
      </c>
      <c r="D3" s="143">
        <f>+E3-1</f>
        <v>2018</v>
      </c>
      <c r="E3" s="143">
        <f>+F3</f>
        <v>2019</v>
      </c>
      <c r="F3" s="144">
        <f>+G3-1</f>
        <v>2019</v>
      </c>
      <c r="G3" s="145">
        <f>+[2]DaneZrodlowe!$N$1</f>
        <v>2020</v>
      </c>
      <c r="H3" s="146">
        <f>+G3+1</f>
        <v>2021</v>
      </c>
      <c r="I3" s="146">
        <f t="shared" ref="I3:T3" si="0">+H3+1</f>
        <v>2022</v>
      </c>
      <c r="J3" s="146">
        <f t="shared" si="0"/>
        <v>2023</v>
      </c>
      <c r="K3" s="146">
        <f t="shared" si="0"/>
        <v>2024</v>
      </c>
      <c r="L3" s="146">
        <f t="shared" si="0"/>
        <v>2025</v>
      </c>
      <c r="M3" s="146">
        <f t="shared" si="0"/>
        <v>2026</v>
      </c>
      <c r="N3" s="146">
        <f t="shared" si="0"/>
        <v>2027</v>
      </c>
      <c r="O3" s="146">
        <f t="shared" si="0"/>
        <v>2028</v>
      </c>
      <c r="P3" s="146">
        <f t="shared" si="0"/>
        <v>2029</v>
      </c>
      <c r="Q3" s="146">
        <f t="shared" si="0"/>
        <v>2030</v>
      </c>
      <c r="R3" s="146">
        <f t="shared" si="0"/>
        <v>2031</v>
      </c>
      <c r="S3" s="146">
        <f t="shared" si="0"/>
        <v>2032</v>
      </c>
      <c r="T3" s="146">
        <f t="shared" si="0"/>
        <v>2033</v>
      </c>
      <c r="U3" s="186"/>
    </row>
    <row r="4" spans="1:21" ht="18" customHeight="1">
      <c r="A4" s="147">
        <v>1</v>
      </c>
      <c r="B4" s="148" t="s">
        <v>130</v>
      </c>
      <c r="C4" s="149">
        <f>135769078.54</f>
        <v>135769078.53999999</v>
      </c>
      <c r="D4" s="150">
        <f>145269730.18</f>
        <v>145269730.18000001</v>
      </c>
      <c r="E4" s="150">
        <f>151645715.55</f>
        <v>151645715.55000001</v>
      </c>
      <c r="F4" s="151">
        <f>153019142.35</f>
        <v>153019142.34999999</v>
      </c>
      <c r="G4" s="152">
        <f>157939058</f>
        <v>157939058</v>
      </c>
      <c r="H4" s="153">
        <f>162105206</f>
        <v>162105206</v>
      </c>
      <c r="I4" s="153">
        <f>165712684</f>
        <v>165712684</v>
      </c>
      <c r="J4" s="153">
        <f>166886876</f>
        <v>166886876</v>
      </c>
      <c r="K4" s="153">
        <f>171899883</f>
        <v>171899883</v>
      </c>
      <c r="L4" s="153">
        <f>175351179</f>
        <v>175351179</v>
      </c>
      <c r="M4" s="153">
        <f>180795214</f>
        <v>180795214</v>
      </c>
      <c r="N4" s="153">
        <f>185766526</f>
        <v>185766526</v>
      </c>
      <c r="O4" s="153">
        <f>190953990</f>
        <v>190953990</v>
      </c>
      <c r="P4" s="153">
        <f>196096247</f>
        <v>196096247</v>
      </c>
      <c r="Q4" s="153">
        <f>201377345</f>
        <v>201377345</v>
      </c>
      <c r="R4" s="153">
        <f>206600157</f>
        <v>206600157</v>
      </c>
      <c r="S4" s="153">
        <f>211752660</f>
        <v>211752660</v>
      </c>
      <c r="T4" s="153">
        <f>216822724</f>
        <v>216822724</v>
      </c>
      <c r="U4" s="187"/>
    </row>
    <row r="5" spans="1:21" ht="18" customHeight="1">
      <c r="A5" s="10" t="s">
        <v>131</v>
      </c>
      <c r="B5" s="154" t="s">
        <v>237</v>
      </c>
      <c r="C5" s="155">
        <f>116715488.34</f>
        <v>116715488.34</v>
      </c>
      <c r="D5" s="11">
        <f>126568566.74</f>
        <v>126568566.73999999</v>
      </c>
      <c r="E5" s="11">
        <f>138448744.55</f>
        <v>138448744.55000001</v>
      </c>
      <c r="F5" s="12">
        <f>138754620.35</f>
        <v>138754620.34999999</v>
      </c>
      <c r="G5" s="13">
        <f>145431637</f>
        <v>145431637</v>
      </c>
      <c r="H5" s="14">
        <f>154735206</f>
        <v>154735206</v>
      </c>
      <c r="I5" s="14">
        <f>159812684</f>
        <v>159812684</v>
      </c>
      <c r="J5" s="14">
        <f>164766876</f>
        <v>164766876</v>
      </c>
      <c r="K5" s="14">
        <f>169709883</f>
        <v>169709883</v>
      </c>
      <c r="L5" s="14">
        <f>174801179</f>
        <v>174801179</v>
      </c>
      <c r="M5" s="14">
        <f>180045214</f>
        <v>180045214</v>
      </c>
      <c r="N5" s="14">
        <f>185266526</f>
        <v>185266526</v>
      </c>
      <c r="O5" s="14">
        <f>190453990</f>
        <v>190453990</v>
      </c>
      <c r="P5" s="14">
        <f>195596247</f>
        <v>195596247</v>
      </c>
      <c r="Q5" s="14">
        <f>200877345</f>
        <v>200877345</v>
      </c>
      <c r="R5" s="14">
        <f>206100157</f>
        <v>206100157</v>
      </c>
      <c r="S5" s="14">
        <f>211252660</f>
        <v>211252660</v>
      </c>
      <c r="T5" s="14">
        <f>216322724</f>
        <v>216322724</v>
      </c>
    </row>
    <row r="6" spans="1:21" ht="41.25" customHeight="1">
      <c r="A6" s="10" t="s">
        <v>132</v>
      </c>
      <c r="B6" s="156" t="s">
        <v>133</v>
      </c>
      <c r="C6" s="155">
        <f>44035115</f>
        <v>44035115</v>
      </c>
      <c r="D6" s="11">
        <f>50171188</f>
        <v>50171188</v>
      </c>
      <c r="E6" s="11">
        <f>53890702</f>
        <v>53890702</v>
      </c>
      <c r="F6" s="12">
        <f>53890702</f>
        <v>53890702</v>
      </c>
      <c r="G6" s="13">
        <f>54992669</f>
        <v>54992669</v>
      </c>
      <c r="H6" s="14">
        <f>58512200</f>
        <v>58512200</v>
      </c>
      <c r="I6" s="14">
        <f>60443103</f>
        <v>60443103</v>
      </c>
      <c r="J6" s="14">
        <f>62316839</f>
        <v>62316839</v>
      </c>
      <c r="K6" s="14">
        <f>64186344</f>
        <v>64186344</v>
      </c>
      <c r="L6" s="14">
        <f>66111934</f>
        <v>66111934</v>
      </c>
      <c r="M6" s="14">
        <f>68095292</f>
        <v>68095292</v>
      </c>
      <c r="N6" s="14">
        <f>70070055</f>
        <v>70070055</v>
      </c>
      <c r="O6" s="14">
        <f>72032017</f>
        <v>72032017</v>
      </c>
      <c r="P6" s="14">
        <f>73976881</f>
        <v>73976881</v>
      </c>
      <c r="Q6" s="14">
        <f>75974257</f>
        <v>75974257</v>
      </c>
      <c r="R6" s="14">
        <f>77949588</f>
        <v>77949588</v>
      </c>
      <c r="S6" s="14">
        <f>79898328</f>
        <v>79898328</v>
      </c>
      <c r="T6" s="14">
        <f>81815888</f>
        <v>81815888</v>
      </c>
    </row>
    <row r="7" spans="1:21" ht="39.75" customHeight="1">
      <c r="A7" s="10" t="s">
        <v>134</v>
      </c>
      <c r="B7" s="156" t="s">
        <v>135</v>
      </c>
      <c r="C7" s="155">
        <f>987572.58</f>
        <v>987572.58</v>
      </c>
      <c r="D7" s="11">
        <f>888145.77</f>
        <v>888145.77</v>
      </c>
      <c r="E7" s="11">
        <f>1000000</f>
        <v>1000000</v>
      </c>
      <c r="F7" s="12">
        <f>829257</f>
        <v>829257</v>
      </c>
      <c r="G7" s="13">
        <f>1000000</f>
        <v>1000000</v>
      </c>
      <c r="H7" s="14">
        <f>1064000</f>
        <v>1064000</v>
      </c>
      <c r="I7" s="14">
        <f>1099112</f>
        <v>1099112</v>
      </c>
      <c r="J7" s="14">
        <f>1133184</f>
        <v>1133184</v>
      </c>
      <c r="K7" s="14">
        <f>1167180</f>
        <v>1167180</v>
      </c>
      <c r="L7" s="14">
        <f>1202195</f>
        <v>1202195</v>
      </c>
      <c r="M7" s="14">
        <f>1238261</f>
        <v>1238261</v>
      </c>
      <c r="N7" s="14">
        <f>1274171</f>
        <v>1274171</v>
      </c>
      <c r="O7" s="14">
        <f>1309848</f>
        <v>1309848</v>
      </c>
      <c r="P7" s="14">
        <f>1345214</f>
        <v>1345214</v>
      </c>
      <c r="Q7" s="14">
        <f>1381535</f>
        <v>1381535</v>
      </c>
      <c r="R7" s="14">
        <f>1417455</f>
        <v>1417455</v>
      </c>
      <c r="S7" s="14">
        <f>1452891</f>
        <v>1452891</v>
      </c>
      <c r="T7" s="14">
        <f>1487760</f>
        <v>1487760</v>
      </c>
    </row>
    <row r="8" spans="1:21" ht="20.25" customHeight="1">
      <c r="A8" s="10" t="s">
        <v>136</v>
      </c>
      <c r="B8" s="156" t="s">
        <v>139</v>
      </c>
      <c r="C8" s="155">
        <f>43955181</f>
        <v>43955181</v>
      </c>
      <c r="D8" s="11">
        <f>46201081</f>
        <v>46201081</v>
      </c>
      <c r="E8" s="11">
        <f>52247818</f>
        <v>52247818</v>
      </c>
      <c r="F8" s="12">
        <f>53276955</f>
        <v>53276955</v>
      </c>
      <c r="G8" s="13">
        <f>59728297</f>
        <v>59728297</v>
      </c>
      <c r="H8" s="14">
        <f>63550908</f>
        <v>63550908</v>
      </c>
      <c r="I8" s="14">
        <f>65648088</f>
        <v>65648088</v>
      </c>
      <c r="J8" s="14">
        <f>67683179</f>
        <v>67683179</v>
      </c>
      <c r="K8" s="14">
        <f>69713674</f>
        <v>69713674</v>
      </c>
      <c r="L8" s="14">
        <f>71805084</f>
        <v>71805084</v>
      </c>
      <c r="M8" s="14">
        <f>73959237</f>
        <v>73959237</v>
      </c>
      <c r="N8" s="14">
        <f>76104055</f>
        <v>76104055</v>
      </c>
      <c r="O8" s="14">
        <f>78234969</f>
        <v>78234969</v>
      </c>
      <c r="P8" s="14">
        <f>80347313</f>
        <v>80347313</v>
      </c>
      <c r="Q8" s="14">
        <f>82516690</f>
        <v>82516690</v>
      </c>
      <c r="R8" s="14">
        <f>84662124</f>
        <v>84662124</v>
      </c>
      <c r="S8" s="14">
        <f>86778677</f>
        <v>86778677</v>
      </c>
      <c r="T8" s="14">
        <f>88861365</f>
        <v>88861365</v>
      </c>
    </row>
    <row r="9" spans="1:21" ht="31.5" customHeight="1">
      <c r="A9" s="10" t="s">
        <v>138</v>
      </c>
      <c r="B9" s="156" t="s">
        <v>141</v>
      </c>
      <c r="C9" s="155">
        <f>16878810.53</f>
        <v>16878810.530000001</v>
      </c>
      <c r="D9" s="11">
        <f>17583692.65</f>
        <v>17583692.649999999</v>
      </c>
      <c r="E9" s="11">
        <f>19736951.55</f>
        <v>19736951.550000001</v>
      </c>
      <c r="F9" s="12">
        <f>18876392.35</f>
        <v>18876392.350000001</v>
      </c>
      <c r="G9" s="13">
        <f>17510839</f>
        <v>17510839</v>
      </c>
      <c r="H9" s="14">
        <f>18627477</f>
        <v>18627477</v>
      </c>
      <c r="I9" s="14">
        <f>19213400</f>
        <v>19213400</v>
      </c>
      <c r="J9" s="14">
        <f>19809015</f>
        <v>19809015</v>
      </c>
      <c r="K9" s="14">
        <f>20403285</f>
        <v>20403285</v>
      </c>
      <c r="L9" s="14">
        <f>21015384</f>
        <v>21015384</v>
      </c>
      <c r="M9" s="14">
        <f>21645846</f>
        <v>21645846</v>
      </c>
      <c r="N9" s="14">
        <f>22273576</f>
        <v>22273576</v>
      </c>
      <c r="O9" s="14">
        <f>22897236</f>
        <v>22897236</v>
      </c>
      <c r="P9" s="14">
        <f>23515461</f>
        <v>23515461</v>
      </c>
      <c r="Q9" s="14">
        <f>24150378</f>
        <v>24150378</v>
      </c>
      <c r="R9" s="14">
        <f>24778288</f>
        <v>24778288</v>
      </c>
      <c r="S9" s="14">
        <f>25397744</f>
        <v>25397744</v>
      </c>
      <c r="T9" s="14">
        <f>26007291</f>
        <v>26007291</v>
      </c>
    </row>
    <row r="10" spans="1:21" ht="18" customHeight="1">
      <c r="A10" s="10" t="s">
        <v>140</v>
      </c>
      <c r="B10" s="156" t="s">
        <v>238</v>
      </c>
      <c r="C10" s="155">
        <f>10858809.23</f>
        <v>10858809.23</v>
      </c>
      <c r="D10" s="11">
        <f>11724459.32</f>
        <v>11724459.32</v>
      </c>
      <c r="E10" s="11">
        <f>11573273</f>
        <v>11573273</v>
      </c>
      <c r="F10" s="12">
        <f>11881314</f>
        <v>11881314</v>
      </c>
      <c r="G10" s="13">
        <f>12199832</f>
        <v>12199832</v>
      </c>
      <c r="H10" s="14">
        <f>12980621</f>
        <v>12980621</v>
      </c>
      <c r="I10" s="14">
        <f>13408981</f>
        <v>13408981</v>
      </c>
      <c r="J10" s="14">
        <f>13824659</f>
        <v>13824659</v>
      </c>
      <c r="K10" s="14">
        <f>14239399</f>
        <v>14239399</v>
      </c>
      <c r="L10" s="14">
        <f>14666581</f>
        <v>14666581</v>
      </c>
      <c r="M10" s="14">
        <f>15106578</f>
        <v>15106578</v>
      </c>
      <c r="N10" s="14">
        <f>15544669</f>
        <v>15544669</v>
      </c>
      <c r="O10" s="14">
        <f>15979920</f>
        <v>15979920</v>
      </c>
      <c r="P10" s="14">
        <f>16411378</f>
        <v>16411378</v>
      </c>
      <c r="Q10" s="14">
        <f>16854485</f>
        <v>16854485</v>
      </c>
      <c r="R10" s="14">
        <f>17292702</f>
        <v>17292702</v>
      </c>
      <c r="S10" s="14">
        <f>17725020</f>
        <v>17725020</v>
      </c>
      <c r="T10" s="14">
        <f>18150420</f>
        <v>18150420</v>
      </c>
    </row>
    <row r="11" spans="1:21" ht="18" customHeight="1">
      <c r="A11" s="10" t="s">
        <v>239</v>
      </c>
      <c r="B11" s="157" t="s">
        <v>137</v>
      </c>
      <c r="C11" s="155">
        <f>0</f>
        <v>0</v>
      </c>
      <c r="D11" s="11">
        <f>0</f>
        <v>0</v>
      </c>
      <c r="E11" s="11">
        <f>0</f>
        <v>0</v>
      </c>
      <c r="F11" s="12">
        <f>0</f>
        <v>0</v>
      </c>
      <c r="G11" s="13">
        <f>0</f>
        <v>0</v>
      </c>
      <c r="H11" s="14">
        <f>0</f>
        <v>0</v>
      </c>
      <c r="I11" s="14">
        <f>0</f>
        <v>0</v>
      </c>
      <c r="J11" s="14">
        <f>0</f>
        <v>0</v>
      </c>
      <c r="K11" s="14">
        <f>0</f>
        <v>0</v>
      </c>
      <c r="L11" s="14">
        <f>0</f>
        <v>0</v>
      </c>
      <c r="M11" s="14">
        <f>0</f>
        <v>0</v>
      </c>
      <c r="N11" s="14">
        <f>0</f>
        <v>0</v>
      </c>
      <c r="O11" s="14">
        <f>0</f>
        <v>0</v>
      </c>
      <c r="P11" s="14">
        <f>0</f>
        <v>0</v>
      </c>
      <c r="Q11" s="14">
        <f>0</f>
        <v>0</v>
      </c>
      <c r="R11" s="14">
        <f>0</f>
        <v>0</v>
      </c>
      <c r="S11" s="14">
        <f>0</f>
        <v>0</v>
      </c>
      <c r="T11" s="14">
        <f>0</f>
        <v>0</v>
      </c>
    </row>
    <row r="12" spans="1:21" ht="18" customHeight="1">
      <c r="A12" s="10" t="s">
        <v>142</v>
      </c>
      <c r="B12" s="154" t="s">
        <v>240</v>
      </c>
      <c r="C12" s="155">
        <f>19053590.2</f>
        <v>19053590.199999999</v>
      </c>
      <c r="D12" s="11">
        <f>18701163.44</f>
        <v>18701163.440000001</v>
      </c>
      <c r="E12" s="11">
        <f>13196971</f>
        <v>13196971</v>
      </c>
      <c r="F12" s="12">
        <f>14264522</f>
        <v>14264522</v>
      </c>
      <c r="G12" s="13">
        <f>12507421</f>
        <v>12507421</v>
      </c>
      <c r="H12" s="14">
        <f>7370000</f>
        <v>7370000</v>
      </c>
      <c r="I12" s="14">
        <f>5900000</f>
        <v>5900000</v>
      </c>
      <c r="J12" s="14">
        <f>2120000</f>
        <v>2120000</v>
      </c>
      <c r="K12" s="14">
        <f>2190000</f>
        <v>2190000</v>
      </c>
      <c r="L12" s="14">
        <f>550000</f>
        <v>550000</v>
      </c>
      <c r="M12" s="14">
        <f>750000</f>
        <v>750000</v>
      </c>
      <c r="N12" s="14">
        <f t="shared" ref="N12:T12" si="1">500000</f>
        <v>500000</v>
      </c>
      <c r="O12" s="14">
        <f t="shared" si="1"/>
        <v>500000</v>
      </c>
      <c r="P12" s="14">
        <f t="shared" si="1"/>
        <v>500000</v>
      </c>
      <c r="Q12" s="14">
        <f t="shared" si="1"/>
        <v>500000</v>
      </c>
      <c r="R12" s="14">
        <f t="shared" si="1"/>
        <v>500000</v>
      </c>
      <c r="S12" s="14">
        <f t="shared" si="1"/>
        <v>500000</v>
      </c>
      <c r="T12" s="14">
        <f t="shared" si="1"/>
        <v>500000</v>
      </c>
    </row>
    <row r="13" spans="1:21" ht="18" customHeight="1">
      <c r="A13" s="10" t="s">
        <v>143</v>
      </c>
      <c r="B13" s="156" t="s">
        <v>144</v>
      </c>
      <c r="C13" s="155">
        <f>4862594.7</f>
        <v>4862594.7</v>
      </c>
      <c r="D13" s="11">
        <f>926571.82</f>
        <v>926571.82</v>
      </c>
      <c r="E13" s="11">
        <f>4709843</f>
        <v>4709843</v>
      </c>
      <c r="F13" s="12">
        <f>4719057</f>
        <v>4719057</v>
      </c>
      <c r="G13" s="13">
        <f>6054921</f>
        <v>6054921</v>
      </c>
      <c r="H13" s="14">
        <f>2270000</f>
        <v>2270000</v>
      </c>
      <c r="I13" s="14">
        <f>1200000</f>
        <v>1200000</v>
      </c>
      <c r="J13" s="14">
        <f>120000</f>
        <v>120000</v>
      </c>
      <c r="K13" s="14">
        <f>40000</f>
        <v>40000</v>
      </c>
      <c r="L13" s="14">
        <f>50000</f>
        <v>50000</v>
      </c>
      <c r="M13" s="14">
        <f>250000</f>
        <v>250000</v>
      </c>
      <c r="N13" s="14">
        <f>0</f>
        <v>0</v>
      </c>
      <c r="O13" s="14">
        <f>0</f>
        <v>0</v>
      </c>
      <c r="P13" s="14">
        <f>0</f>
        <v>0</v>
      </c>
      <c r="Q13" s="14">
        <f>0</f>
        <v>0</v>
      </c>
      <c r="R13" s="14">
        <f>0</f>
        <v>0</v>
      </c>
      <c r="S13" s="14">
        <f>0</f>
        <v>0</v>
      </c>
      <c r="T13" s="14">
        <f>0</f>
        <v>0</v>
      </c>
    </row>
    <row r="14" spans="1:21" ht="33.75" customHeight="1">
      <c r="A14" s="10" t="s">
        <v>145</v>
      </c>
      <c r="B14" s="156" t="s">
        <v>146</v>
      </c>
      <c r="C14" s="155">
        <f>14100719</f>
        <v>14100719</v>
      </c>
      <c r="D14" s="11">
        <f>17768942.48</f>
        <v>17768942.48</v>
      </c>
      <c r="E14" s="11">
        <f>8481128</f>
        <v>8481128</v>
      </c>
      <c r="F14" s="12">
        <f>9519628</f>
        <v>9519628</v>
      </c>
      <c r="G14" s="13">
        <v>6436500</v>
      </c>
      <c r="H14" s="14">
        <f>5100000</f>
        <v>5100000</v>
      </c>
      <c r="I14" s="14">
        <f>4700000</f>
        <v>4700000</v>
      </c>
      <c r="J14" s="14">
        <f>2000000</f>
        <v>2000000</v>
      </c>
      <c r="K14" s="14">
        <f>2150000</f>
        <v>2150000</v>
      </c>
      <c r="L14" s="14">
        <f t="shared" ref="L14:T14" si="2">500000</f>
        <v>500000</v>
      </c>
      <c r="M14" s="14">
        <f t="shared" si="2"/>
        <v>500000</v>
      </c>
      <c r="N14" s="14">
        <f t="shared" si="2"/>
        <v>500000</v>
      </c>
      <c r="O14" s="14">
        <f t="shared" si="2"/>
        <v>500000</v>
      </c>
      <c r="P14" s="14">
        <f t="shared" si="2"/>
        <v>500000</v>
      </c>
      <c r="Q14" s="14">
        <f t="shared" si="2"/>
        <v>500000</v>
      </c>
      <c r="R14" s="14">
        <f t="shared" si="2"/>
        <v>500000</v>
      </c>
      <c r="S14" s="14">
        <f t="shared" si="2"/>
        <v>500000</v>
      </c>
      <c r="T14" s="14">
        <f t="shared" si="2"/>
        <v>500000</v>
      </c>
    </row>
    <row r="15" spans="1:21" ht="21.75" customHeight="1">
      <c r="A15" s="5">
        <v>2</v>
      </c>
      <c r="B15" s="158" t="s">
        <v>147</v>
      </c>
      <c r="C15" s="159">
        <f>132768246.1</f>
        <v>132768246.09999999</v>
      </c>
      <c r="D15" s="6">
        <f>151231402.82</f>
        <v>151231402.81999999</v>
      </c>
      <c r="E15" s="6">
        <f>156860306.55</f>
        <v>156860306.55000001</v>
      </c>
      <c r="F15" s="7">
        <f>158233733.35</f>
        <v>158233733.34999999</v>
      </c>
      <c r="G15" s="8">
        <f>166098976</f>
        <v>166098976</v>
      </c>
      <c r="H15" s="9">
        <f>161743206</f>
        <v>161743206</v>
      </c>
      <c r="I15" s="9">
        <f>164110684</f>
        <v>164110684</v>
      </c>
      <c r="J15" s="9">
        <f>164784876</f>
        <v>164784876</v>
      </c>
      <c r="K15" s="9">
        <f>166787883</f>
        <v>166787883</v>
      </c>
      <c r="L15" s="9">
        <f>169879179</f>
        <v>169879179</v>
      </c>
      <c r="M15" s="9">
        <f>175135214</f>
        <v>175135214</v>
      </c>
      <c r="N15" s="9">
        <f>179906526</f>
        <v>179906526</v>
      </c>
      <c r="O15" s="9">
        <f>185093990</f>
        <v>185093990</v>
      </c>
      <c r="P15" s="9">
        <f>190236247</f>
        <v>190236247</v>
      </c>
      <c r="Q15" s="9">
        <f>195937345</f>
        <v>195937345</v>
      </c>
      <c r="R15" s="9">
        <f>201100157</f>
        <v>201100157</v>
      </c>
      <c r="S15" s="9">
        <f>210212660</f>
        <v>210212660</v>
      </c>
      <c r="T15" s="9">
        <f>215282724</f>
        <v>215282724</v>
      </c>
      <c r="U15" s="187"/>
    </row>
    <row r="16" spans="1:21" ht="24" customHeight="1">
      <c r="A16" s="10" t="s">
        <v>148</v>
      </c>
      <c r="B16" s="154" t="s">
        <v>149</v>
      </c>
      <c r="C16" s="155">
        <f>104880266.03</f>
        <v>104880266.03</v>
      </c>
      <c r="D16" s="11">
        <f>114334644.46</f>
        <v>114334644.45999999</v>
      </c>
      <c r="E16" s="11">
        <f>132658152.55</f>
        <v>132658152.55</v>
      </c>
      <c r="F16" s="12">
        <f>132584351.35</f>
        <v>132584351.34999999</v>
      </c>
      <c r="G16" s="13">
        <f>141654105</f>
        <v>141654105</v>
      </c>
      <c r="H16" s="14">
        <f>146977470</f>
        <v>146977470</v>
      </c>
      <c r="I16" s="14">
        <f>150267041</f>
        <v>150267041</v>
      </c>
      <c r="J16" s="14">
        <f>153768352</f>
        <v>153768352</v>
      </c>
      <c r="K16" s="14">
        <f>154803971</f>
        <v>154803971</v>
      </c>
      <c r="L16" s="14">
        <f>158531585</f>
        <v>158531585</v>
      </c>
      <c r="M16" s="14">
        <f>162353539</f>
        <v>162353539</v>
      </c>
      <c r="N16" s="14">
        <f>166222238</f>
        <v>166222238</v>
      </c>
      <c r="O16" s="14">
        <f>170241944</f>
        <v>170241944</v>
      </c>
      <c r="P16" s="14">
        <f>174361582</f>
        <v>174361582</v>
      </c>
      <c r="Q16" s="14">
        <f>178583742</f>
        <v>178583742</v>
      </c>
      <c r="R16" s="14">
        <f>182914076</f>
        <v>182914076</v>
      </c>
      <c r="S16" s="14">
        <f>187486928</f>
        <v>187486928</v>
      </c>
      <c r="T16" s="14">
        <f>192174101</f>
        <v>192174101</v>
      </c>
    </row>
    <row r="17" spans="1:21" ht="33" customHeight="1">
      <c r="A17" s="10" t="s">
        <v>150</v>
      </c>
      <c r="B17" s="156" t="s">
        <v>241</v>
      </c>
      <c r="C17" s="155">
        <f>67448302.75</f>
        <v>67448302.75</v>
      </c>
      <c r="D17" s="11">
        <f>71472876.32</f>
        <v>71472876.319999993</v>
      </c>
      <c r="E17" s="11">
        <f>78934557</f>
        <v>78934557</v>
      </c>
      <c r="F17" s="12">
        <f>77849310</f>
        <v>77849310</v>
      </c>
      <c r="G17" s="13">
        <f>86195737</f>
        <v>86195737</v>
      </c>
      <c r="H17" s="14">
        <f>88350630</f>
        <v>88350630</v>
      </c>
      <c r="I17" s="14">
        <f>90559396</f>
        <v>90559396</v>
      </c>
      <c r="J17" s="14">
        <f>92823381</f>
        <v>92823381</v>
      </c>
      <c r="K17" s="14">
        <f>95143966</f>
        <v>95143966</v>
      </c>
      <c r="L17" s="14">
        <f>97522565</f>
        <v>97522565</v>
      </c>
      <c r="M17" s="14">
        <f>99960629</f>
        <v>99960629</v>
      </c>
      <c r="N17" s="14">
        <f>102459645</f>
        <v>102459645</v>
      </c>
      <c r="O17" s="14">
        <f>105021136</f>
        <v>105021136</v>
      </c>
      <c r="P17" s="14">
        <f>107646664</f>
        <v>107646664</v>
      </c>
      <c r="Q17" s="14">
        <f>110337831</f>
        <v>110337831</v>
      </c>
      <c r="R17" s="14">
        <f>113096277</f>
        <v>113096277</v>
      </c>
      <c r="S17" s="14">
        <f>115923684</f>
        <v>115923684</v>
      </c>
      <c r="T17" s="14">
        <f>118821776</f>
        <v>118821776</v>
      </c>
    </row>
    <row r="18" spans="1:21" ht="18" customHeight="1">
      <c r="A18" s="10" t="s">
        <v>151</v>
      </c>
      <c r="B18" s="156" t="s">
        <v>242</v>
      </c>
      <c r="C18" s="155">
        <f>431053.14</f>
        <v>431053.14</v>
      </c>
      <c r="D18" s="11">
        <f>428958</f>
        <v>428958</v>
      </c>
      <c r="E18" s="11">
        <f>2900000</f>
        <v>2900000</v>
      </c>
      <c r="F18" s="12">
        <f>2900000</f>
        <v>2900000</v>
      </c>
      <c r="G18" s="13">
        <f>2760000</f>
        <v>2760000</v>
      </c>
      <c r="H18" s="14">
        <f>2700000</f>
        <v>2700000</v>
      </c>
      <c r="I18" s="14">
        <f>2600000</f>
        <v>2600000</v>
      </c>
      <c r="J18" s="14">
        <f>2550000</f>
        <v>2550000</v>
      </c>
      <c r="K18" s="14">
        <f>0</f>
        <v>0</v>
      </c>
      <c r="L18" s="14">
        <f>0</f>
        <v>0</v>
      </c>
      <c r="M18" s="14">
        <f>0</f>
        <v>0</v>
      </c>
      <c r="N18" s="14">
        <f>0</f>
        <v>0</v>
      </c>
      <c r="O18" s="14">
        <f>0</f>
        <v>0</v>
      </c>
      <c r="P18" s="14">
        <f>0</f>
        <v>0</v>
      </c>
      <c r="Q18" s="14">
        <f>0</f>
        <v>0</v>
      </c>
      <c r="R18" s="14">
        <f>0</f>
        <v>0</v>
      </c>
      <c r="S18" s="14">
        <f>0</f>
        <v>0</v>
      </c>
      <c r="T18" s="14">
        <f>0</f>
        <v>0</v>
      </c>
    </row>
    <row r="19" spans="1:21" ht="48">
      <c r="A19" s="10" t="s">
        <v>243</v>
      </c>
      <c r="B19" s="157" t="s">
        <v>244</v>
      </c>
      <c r="C19" s="155">
        <f>0</f>
        <v>0</v>
      </c>
      <c r="D19" s="11">
        <f>0</f>
        <v>0</v>
      </c>
      <c r="E19" s="11">
        <f>0</f>
        <v>0</v>
      </c>
      <c r="F19" s="12">
        <f>0</f>
        <v>0</v>
      </c>
      <c r="G19" s="13">
        <f>0</f>
        <v>0</v>
      </c>
      <c r="H19" s="14">
        <f>0</f>
        <v>0</v>
      </c>
      <c r="I19" s="14">
        <f>0</f>
        <v>0</v>
      </c>
      <c r="J19" s="14">
        <f>0</f>
        <v>0</v>
      </c>
      <c r="K19" s="14">
        <f>0</f>
        <v>0</v>
      </c>
      <c r="L19" s="14">
        <f>0</f>
        <v>0</v>
      </c>
      <c r="M19" s="14">
        <f>0</f>
        <v>0</v>
      </c>
      <c r="N19" s="14">
        <f>0</f>
        <v>0</v>
      </c>
      <c r="O19" s="14">
        <f>0</f>
        <v>0</v>
      </c>
      <c r="P19" s="14">
        <f>0</f>
        <v>0</v>
      </c>
      <c r="Q19" s="14">
        <f>0</f>
        <v>0</v>
      </c>
      <c r="R19" s="14">
        <f>0</f>
        <v>0</v>
      </c>
      <c r="S19" s="14">
        <f>0</f>
        <v>0</v>
      </c>
      <c r="T19" s="14">
        <f>0</f>
        <v>0</v>
      </c>
    </row>
    <row r="20" spans="1:21" ht="18.75" customHeight="1">
      <c r="A20" s="10" t="s">
        <v>152</v>
      </c>
      <c r="B20" s="156" t="s">
        <v>153</v>
      </c>
      <c r="C20" s="155">
        <f>1119766</f>
        <v>1119766</v>
      </c>
      <c r="D20" s="11">
        <f>1120444.53</f>
        <v>1120444.53</v>
      </c>
      <c r="E20" s="11">
        <f>1300000</f>
        <v>1300000</v>
      </c>
      <c r="F20" s="12">
        <f>1300000</f>
        <v>1300000</v>
      </c>
      <c r="G20" s="13">
        <f>1300000</f>
        <v>1300000</v>
      </c>
      <c r="H20" s="14">
        <f>1400000</f>
        <v>1400000</v>
      </c>
      <c r="I20" s="14">
        <f>1400000</f>
        <v>1400000</v>
      </c>
      <c r="J20" s="14">
        <f>1400000</f>
        <v>1400000</v>
      </c>
      <c r="K20" s="14">
        <f>1300000</f>
        <v>1300000</v>
      </c>
      <c r="L20" s="14">
        <f>1200000</f>
        <v>1200000</v>
      </c>
      <c r="M20" s="14">
        <f>1000000</f>
        <v>1000000</v>
      </c>
      <c r="N20" s="14">
        <f>810000</f>
        <v>810000</v>
      </c>
      <c r="O20" s="14">
        <f>670000</f>
        <v>670000</v>
      </c>
      <c r="P20" s="14">
        <f>500000</f>
        <v>500000</v>
      </c>
      <c r="Q20" s="14">
        <f>310000</f>
        <v>310000</v>
      </c>
      <c r="R20" s="14">
        <f>160000</f>
        <v>160000</v>
      </c>
      <c r="S20" s="14">
        <f>100000</f>
        <v>100000</v>
      </c>
      <c r="T20" s="14">
        <f>40000</f>
        <v>40000</v>
      </c>
    </row>
    <row r="21" spans="1:21" ht="112.5" customHeight="1">
      <c r="A21" s="10" t="s">
        <v>154</v>
      </c>
      <c r="B21" s="157" t="s">
        <v>155</v>
      </c>
      <c r="C21" s="155">
        <f>0</f>
        <v>0</v>
      </c>
      <c r="D21" s="11">
        <f>0</f>
        <v>0</v>
      </c>
      <c r="E21" s="11">
        <f>0</f>
        <v>0</v>
      </c>
      <c r="F21" s="12">
        <f>0</f>
        <v>0</v>
      </c>
      <c r="G21" s="13">
        <f>0</f>
        <v>0</v>
      </c>
      <c r="H21" s="14">
        <f>0</f>
        <v>0</v>
      </c>
      <c r="I21" s="14">
        <f>0</f>
        <v>0</v>
      </c>
      <c r="J21" s="14">
        <f>0</f>
        <v>0</v>
      </c>
      <c r="K21" s="14">
        <f>0</f>
        <v>0</v>
      </c>
      <c r="L21" s="14">
        <f>0</f>
        <v>0</v>
      </c>
      <c r="M21" s="14">
        <f>0</f>
        <v>0</v>
      </c>
      <c r="N21" s="14">
        <f>0</f>
        <v>0</v>
      </c>
      <c r="O21" s="14">
        <f>0</f>
        <v>0</v>
      </c>
      <c r="P21" s="14">
        <f>0</f>
        <v>0</v>
      </c>
      <c r="Q21" s="14">
        <f>0</f>
        <v>0</v>
      </c>
      <c r="R21" s="14">
        <f>0</f>
        <v>0</v>
      </c>
      <c r="S21" s="14">
        <f>0</f>
        <v>0</v>
      </c>
      <c r="T21" s="14">
        <f>0</f>
        <v>0</v>
      </c>
    </row>
    <row r="22" spans="1:21" ht="69.75" customHeight="1">
      <c r="A22" s="10" t="s">
        <v>245</v>
      </c>
      <c r="B22" s="157" t="s">
        <v>246</v>
      </c>
      <c r="C22" s="155">
        <f>0</f>
        <v>0</v>
      </c>
      <c r="D22" s="11">
        <f>0</f>
        <v>0</v>
      </c>
      <c r="E22" s="11">
        <f>0</f>
        <v>0</v>
      </c>
      <c r="F22" s="12">
        <f>0</f>
        <v>0</v>
      </c>
      <c r="G22" s="13">
        <f>0</f>
        <v>0</v>
      </c>
      <c r="H22" s="14">
        <f>0</f>
        <v>0</v>
      </c>
      <c r="I22" s="14">
        <f>0</f>
        <v>0</v>
      </c>
      <c r="J22" s="14">
        <f>0</f>
        <v>0</v>
      </c>
      <c r="K22" s="14">
        <f>0</f>
        <v>0</v>
      </c>
      <c r="L22" s="14">
        <f>0</f>
        <v>0</v>
      </c>
      <c r="M22" s="14">
        <f>0</f>
        <v>0</v>
      </c>
      <c r="N22" s="14">
        <f>0</f>
        <v>0</v>
      </c>
      <c r="O22" s="14">
        <f>0</f>
        <v>0</v>
      </c>
      <c r="P22" s="14">
        <f>0</f>
        <v>0</v>
      </c>
      <c r="Q22" s="14">
        <f>0</f>
        <v>0</v>
      </c>
      <c r="R22" s="14">
        <f>0</f>
        <v>0</v>
      </c>
      <c r="S22" s="14">
        <f>0</f>
        <v>0</v>
      </c>
      <c r="T22" s="14">
        <f>0</f>
        <v>0</v>
      </c>
    </row>
    <row r="23" spans="1:21" ht="19.5" customHeight="1">
      <c r="A23" s="10" t="s">
        <v>156</v>
      </c>
      <c r="B23" s="154" t="s">
        <v>247</v>
      </c>
      <c r="C23" s="155">
        <f>27887980.07</f>
        <v>27887980.07</v>
      </c>
      <c r="D23" s="11">
        <f>36896758.36</f>
        <v>36896758.359999999</v>
      </c>
      <c r="E23" s="11">
        <f>24202154</f>
        <v>24202154</v>
      </c>
      <c r="F23" s="12">
        <f>25649382</f>
        <v>25649382</v>
      </c>
      <c r="G23" s="13">
        <f>24444871</f>
        <v>24444871</v>
      </c>
      <c r="H23" s="14">
        <f>14765736</f>
        <v>14765736</v>
      </c>
      <c r="I23" s="14">
        <f>13843643</f>
        <v>13843643</v>
      </c>
      <c r="J23" s="14">
        <f>11016524</f>
        <v>11016524</v>
      </c>
      <c r="K23" s="14">
        <f>11983912</f>
        <v>11983912</v>
      </c>
      <c r="L23" s="14">
        <f>11347594</f>
        <v>11347594</v>
      </c>
      <c r="M23" s="14">
        <f>12781675</f>
        <v>12781675</v>
      </c>
      <c r="N23" s="14">
        <f>13684288</f>
        <v>13684288</v>
      </c>
      <c r="O23" s="14">
        <f>14852046</f>
        <v>14852046</v>
      </c>
      <c r="P23" s="14">
        <f>15874665</f>
        <v>15874665</v>
      </c>
      <c r="Q23" s="14">
        <f>17353603</f>
        <v>17353603</v>
      </c>
      <c r="R23" s="14">
        <f>18186081</f>
        <v>18186081</v>
      </c>
      <c r="S23" s="14">
        <f>22725732</f>
        <v>22725732</v>
      </c>
      <c r="T23" s="14">
        <f>23108623</f>
        <v>23108623</v>
      </c>
    </row>
    <row r="24" spans="1:21" ht="46.5" customHeight="1">
      <c r="A24" s="10" t="s">
        <v>248</v>
      </c>
      <c r="B24" s="156" t="s">
        <v>249</v>
      </c>
      <c r="C24" s="155">
        <f>25897530.07</f>
        <v>25897530.07</v>
      </c>
      <c r="D24" s="11">
        <f>34906308.36</f>
        <v>34906308.359999999</v>
      </c>
      <c r="E24" s="11">
        <f>20505604</f>
        <v>20505604</v>
      </c>
      <c r="F24" s="12">
        <f>21587482</f>
        <v>21587482</v>
      </c>
      <c r="G24" s="13">
        <f>20547281</f>
        <v>20547281</v>
      </c>
      <c r="H24" s="14">
        <f>14670000</f>
        <v>14670000</v>
      </c>
      <c r="I24" s="14">
        <f>13820000</f>
        <v>13820000</v>
      </c>
      <c r="J24" s="14">
        <f>10860000</f>
        <v>10860000</v>
      </c>
      <c r="K24" s="14">
        <f>11590000</f>
        <v>11590000</v>
      </c>
      <c r="L24" s="14">
        <f>6050000</f>
        <v>6050000</v>
      </c>
      <c r="M24" s="14">
        <f>950000</f>
        <v>950000</v>
      </c>
      <c r="N24" s="14">
        <f>1050000</f>
        <v>1050000</v>
      </c>
      <c r="O24" s="14">
        <f>700000</f>
        <v>700000</v>
      </c>
      <c r="P24" s="14">
        <f>0</f>
        <v>0</v>
      </c>
      <c r="Q24" s="14">
        <f>0</f>
        <v>0</v>
      </c>
      <c r="R24" s="14">
        <f>0</f>
        <v>0</v>
      </c>
      <c r="S24" s="14">
        <f>0</f>
        <v>0</v>
      </c>
      <c r="T24" s="14">
        <f>0</f>
        <v>0</v>
      </c>
    </row>
    <row r="25" spans="1:21" ht="33" customHeight="1">
      <c r="A25" s="10" t="s">
        <v>250</v>
      </c>
      <c r="B25" s="157" t="s">
        <v>251</v>
      </c>
      <c r="C25" s="155">
        <f>582834</f>
        <v>582834</v>
      </c>
      <c r="D25" s="11">
        <f>627019.04</f>
        <v>627019.04</v>
      </c>
      <c r="E25" s="11">
        <f>280572</f>
        <v>280572</v>
      </c>
      <c r="F25" s="12">
        <f>150330</f>
        <v>150330</v>
      </c>
      <c r="G25" s="13">
        <f>2000000</f>
        <v>2000000</v>
      </c>
      <c r="H25" s="14">
        <f>1000000</f>
        <v>1000000</v>
      </c>
      <c r="I25" s="14">
        <f>1000000</f>
        <v>1000000</v>
      </c>
      <c r="J25" s="14">
        <f>0</f>
        <v>0</v>
      </c>
      <c r="K25" s="14">
        <f>0</f>
        <v>0</v>
      </c>
      <c r="L25" s="14">
        <f>0</f>
        <v>0</v>
      </c>
      <c r="M25" s="14">
        <f>0</f>
        <v>0</v>
      </c>
      <c r="N25" s="14">
        <f>0</f>
        <v>0</v>
      </c>
      <c r="O25" s="14">
        <f>0</f>
        <v>0</v>
      </c>
      <c r="P25" s="14">
        <f>0</f>
        <v>0</v>
      </c>
      <c r="Q25" s="14">
        <f>0</f>
        <v>0</v>
      </c>
      <c r="R25" s="14">
        <f>0</f>
        <v>0</v>
      </c>
      <c r="S25" s="14">
        <f>0</f>
        <v>0</v>
      </c>
      <c r="T25" s="14">
        <f>0</f>
        <v>0</v>
      </c>
      <c r="U25" s="187"/>
    </row>
    <row r="26" spans="1:21" ht="21" customHeight="1">
      <c r="A26" s="5">
        <v>3</v>
      </c>
      <c r="B26" s="158" t="s">
        <v>157</v>
      </c>
      <c r="C26" s="159">
        <f>3000832.44</f>
        <v>3000832.44</v>
      </c>
      <c r="D26" s="6">
        <f>-5961672.64</f>
        <v>-5961672.6399999997</v>
      </c>
      <c r="E26" s="6">
        <f>-5214591</f>
        <v>-5214591</v>
      </c>
      <c r="F26" s="7">
        <f>-5214591</f>
        <v>-5214591</v>
      </c>
      <c r="G26" s="8">
        <f>-8159918</f>
        <v>-8159918</v>
      </c>
      <c r="H26" s="9">
        <f>362000</f>
        <v>362000</v>
      </c>
      <c r="I26" s="9">
        <f>1602000</f>
        <v>1602000</v>
      </c>
      <c r="J26" s="9">
        <f>2102000</f>
        <v>2102000</v>
      </c>
      <c r="K26" s="9">
        <f>5112000</f>
        <v>5112000</v>
      </c>
      <c r="L26" s="9">
        <f>5472000</f>
        <v>5472000</v>
      </c>
      <c r="M26" s="9">
        <f>5660000</f>
        <v>5660000</v>
      </c>
      <c r="N26" s="9">
        <f t="shared" ref="N26:P27" si="3">5860000</f>
        <v>5860000</v>
      </c>
      <c r="O26" s="9">
        <f t="shared" si="3"/>
        <v>5860000</v>
      </c>
      <c r="P26" s="9">
        <f t="shared" si="3"/>
        <v>5860000</v>
      </c>
      <c r="Q26" s="9">
        <f>5440000</f>
        <v>5440000</v>
      </c>
      <c r="R26" s="9">
        <f>5500000</f>
        <v>5500000</v>
      </c>
      <c r="S26" s="9">
        <f>1540000</f>
        <v>1540000</v>
      </c>
      <c r="T26" s="9">
        <f>1540000</f>
        <v>1540000</v>
      </c>
      <c r="U26" s="187"/>
    </row>
    <row r="27" spans="1:21" ht="44.25" customHeight="1">
      <c r="A27" s="10" t="s">
        <v>252</v>
      </c>
      <c r="B27" s="154" t="s">
        <v>253</v>
      </c>
      <c r="C27" s="155">
        <f>3000832.44</f>
        <v>3000832.44</v>
      </c>
      <c r="D27" s="11">
        <f>0</f>
        <v>0</v>
      </c>
      <c r="E27" s="11">
        <f>0</f>
        <v>0</v>
      </c>
      <c r="F27" s="12">
        <f>0</f>
        <v>0</v>
      </c>
      <c r="G27" s="13">
        <f>0</f>
        <v>0</v>
      </c>
      <c r="H27" s="14">
        <f>362000</f>
        <v>362000</v>
      </c>
      <c r="I27" s="14">
        <f>1602000</f>
        <v>1602000</v>
      </c>
      <c r="J27" s="14">
        <f>2102000</f>
        <v>2102000</v>
      </c>
      <c r="K27" s="14">
        <f>5112000</f>
        <v>5112000</v>
      </c>
      <c r="L27" s="14">
        <f>5472000</f>
        <v>5472000</v>
      </c>
      <c r="M27" s="14">
        <f>5660000</f>
        <v>5660000</v>
      </c>
      <c r="N27" s="14">
        <f t="shared" si="3"/>
        <v>5860000</v>
      </c>
      <c r="O27" s="14">
        <f t="shared" si="3"/>
        <v>5860000</v>
      </c>
      <c r="P27" s="14">
        <f t="shared" si="3"/>
        <v>5860000</v>
      </c>
      <c r="Q27" s="14">
        <f>5440000</f>
        <v>5440000</v>
      </c>
      <c r="R27" s="14">
        <f>5500000</f>
        <v>5500000</v>
      </c>
      <c r="S27" s="14">
        <f>1540000</f>
        <v>1540000</v>
      </c>
      <c r="T27" s="14">
        <f>1540000</f>
        <v>1540000</v>
      </c>
    </row>
    <row r="28" spans="1:21" ht="20.25" customHeight="1">
      <c r="A28" s="5">
        <v>4</v>
      </c>
      <c r="B28" s="158" t="s">
        <v>158</v>
      </c>
      <c r="C28" s="159">
        <f>10166608.92</f>
        <v>10166608.92</v>
      </c>
      <c r="D28" s="6">
        <f>17440165.36</f>
        <v>17440165.359999999</v>
      </c>
      <c r="E28" s="6">
        <f>11002861</f>
        <v>11002861</v>
      </c>
      <c r="F28" s="7">
        <f>11002861</f>
        <v>11002861</v>
      </c>
      <c r="G28" s="8">
        <f>13414530</f>
        <v>13414530</v>
      </c>
      <c r="H28" s="9">
        <f>4300000</f>
        <v>4300000</v>
      </c>
      <c r="I28" s="9">
        <f>3300000</f>
        <v>3300000</v>
      </c>
      <c r="J28" s="9">
        <f>2700000</f>
        <v>2700000</v>
      </c>
      <c r="K28" s="9">
        <f>0</f>
        <v>0</v>
      </c>
      <c r="L28" s="9">
        <f>0</f>
        <v>0</v>
      </c>
      <c r="M28" s="9">
        <f>0</f>
        <v>0</v>
      </c>
      <c r="N28" s="9">
        <f>0</f>
        <v>0</v>
      </c>
      <c r="O28" s="9">
        <f>0</f>
        <v>0</v>
      </c>
      <c r="P28" s="9">
        <f>0</f>
        <v>0</v>
      </c>
      <c r="Q28" s="9">
        <f>0</f>
        <v>0</v>
      </c>
      <c r="R28" s="9">
        <f>0</f>
        <v>0</v>
      </c>
      <c r="S28" s="9">
        <f>0</f>
        <v>0</v>
      </c>
      <c r="T28" s="9">
        <f>0</f>
        <v>0</v>
      </c>
    </row>
    <row r="29" spans="1:21" ht="30.75" customHeight="1">
      <c r="A29" s="10" t="s">
        <v>159</v>
      </c>
      <c r="B29" s="154" t="s">
        <v>254</v>
      </c>
      <c r="C29" s="155">
        <f>5700000</f>
        <v>5700000</v>
      </c>
      <c r="D29" s="11">
        <f>10950000</f>
        <v>10950000</v>
      </c>
      <c r="E29" s="11">
        <f>7790000</f>
        <v>7790000</v>
      </c>
      <c r="F29" s="12">
        <f>7790000</f>
        <v>7790000</v>
      </c>
      <c r="G29" s="13">
        <f>7000000</f>
        <v>7000000</v>
      </c>
      <c r="H29" s="14">
        <f>4300000</f>
        <v>4300000</v>
      </c>
      <c r="I29" s="14">
        <f>3300000</f>
        <v>3300000</v>
      </c>
      <c r="J29" s="14">
        <f>2700000</f>
        <v>2700000</v>
      </c>
      <c r="K29" s="14">
        <f>0</f>
        <v>0</v>
      </c>
      <c r="L29" s="14">
        <f>0</f>
        <v>0</v>
      </c>
      <c r="M29" s="14">
        <f>0</f>
        <v>0</v>
      </c>
      <c r="N29" s="14">
        <f>0</f>
        <v>0</v>
      </c>
      <c r="O29" s="14">
        <f>0</f>
        <v>0</v>
      </c>
      <c r="P29" s="14">
        <f>0</f>
        <v>0</v>
      </c>
      <c r="Q29" s="14">
        <f>0</f>
        <v>0</v>
      </c>
      <c r="R29" s="14">
        <f>0</f>
        <v>0</v>
      </c>
      <c r="S29" s="14">
        <f>0</f>
        <v>0</v>
      </c>
      <c r="T29" s="14">
        <f>0</f>
        <v>0</v>
      </c>
    </row>
    <row r="30" spans="1:21" ht="18" customHeight="1">
      <c r="A30" s="10" t="s">
        <v>160</v>
      </c>
      <c r="B30" s="156" t="s">
        <v>255</v>
      </c>
      <c r="C30" s="155">
        <f>0</f>
        <v>0</v>
      </c>
      <c r="D30" s="11">
        <f>0</f>
        <v>0</v>
      </c>
      <c r="E30" s="11">
        <f>0</f>
        <v>0</v>
      </c>
      <c r="F30" s="12">
        <f>5046134</f>
        <v>5046134</v>
      </c>
      <c r="G30" s="13">
        <f>7000000</f>
        <v>7000000</v>
      </c>
      <c r="H30" s="14">
        <f>0</f>
        <v>0</v>
      </c>
      <c r="I30" s="14">
        <f>0</f>
        <v>0</v>
      </c>
      <c r="J30" s="14">
        <f>0</f>
        <v>0</v>
      </c>
      <c r="K30" s="14">
        <f>0</f>
        <v>0</v>
      </c>
      <c r="L30" s="14">
        <f>0</f>
        <v>0</v>
      </c>
      <c r="M30" s="14">
        <f>0</f>
        <v>0</v>
      </c>
      <c r="N30" s="14">
        <f>0</f>
        <v>0</v>
      </c>
      <c r="O30" s="14">
        <f>0</f>
        <v>0</v>
      </c>
      <c r="P30" s="14">
        <f>0</f>
        <v>0</v>
      </c>
      <c r="Q30" s="14">
        <f>0</f>
        <v>0</v>
      </c>
      <c r="R30" s="14">
        <f>0</f>
        <v>0</v>
      </c>
      <c r="S30" s="14">
        <f>0</f>
        <v>0</v>
      </c>
      <c r="T30" s="14">
        <f>0</f>
        <v>0</v>
      </c>
    </row>
    <row r="31" spans="1:21" ht="18" customHeight="1">
      <c r="A31" s="10" t="s">
        <v>161</v>
      </c>
      <c r="B31" s="154" t="s">
        <v>256</v>
      </c>
      <c r="C31" s="155">
        <f>0</f>
        <v>0</v>
      </c>
      <c r="D31" s="11">
        <f>0</f>
        <v>0</v>
      </c>
      <c r="E31" s="11">
        <f>0</f>
        <v>0</v>
      </c>
      <c r="F31" s="12">
        <f>0</f>
        <v>0</v>
      </c>
      <c r="G31" s="13">
        <f>1049242</f>
        <v>1049242</v>
      </c>
      <c r="H31" s="14">
        <f>0</f>
        <v>0</v>
      </c>
      <c r="I31" s="14">
        <f>0</f>
        <v>0</v>
      </c>
      <c r="J31" s="14">
        <f>0</f>
        <v>0</v>
      </c>
      <c r="K31" s="14">
        <f>0</f>
        <v>0</v>
      </c>
      <c r="L31" s="14">
        <f>0</f>
        <v>0</v>
      </c>
      <c r="M31" s="14">
        <f>0</f>
        <v>0</v>
      </c>
      <c r="N31" s="14">
        <f>0</f>
        <v>0</v>
      </c>
      <c r="O31" s="14">
        <f>0</f>
        <v>0</v>
      </c>
      <c r="P31" s="14">
        <f>0</f>
        <v>0</v>
      </c>
      <c r="Q31" s="14">
        <f>0</f>
        <v>0</v>
      </c>
      <c r="R31" s="14">
        <f>0</f>
        <v>0</v>
      </c>
      <c r="S31" s="14">
        <f>0</f>
        <v>0</v>
      </c>
      <c r="T31" s="14">
        <f>0</f>
        <v>0</v>
      </c>
    </row>
    <row r="32" spans="1:21" ht="18" customHeight="1">
      <c r="A32" s="10" t="s">
        <v>162</v>
      </c>
      <c r="B32" s="156" t="s">
        <v>255</v>
      </c>
      <c r="C32" s="155">
        <f>0</f>
        <v>0</v>
      </c>
      <c r="D32" s="11">
        <f>0</f>
        <v>0</v>
      </c>
      <c r="E32" s="11">
        <f>0</f>
        <v>0</v>
      </c>
      <c r="F32" s="12">
        <f>0</f>
        <v>0</v>
      </c>
      <c r="G32" s="13">
        <f>1049242</f>
        <v>1049242</v>
      </c>
      <c r="H32" s="14">
        <f>0</f>
        <v>0</v>
      </c>
      <c r="I32" s="14">
        <f>0</f>
        <v>0</v>
      </c>
      <c r="J32" s="14">
        <f>0</f>
        <v>0</v>
      </c>
      <c r="K32" s="14">
        <f>0</f>
        <v>0</v>
      </c>
      <c r="L32" s="14">
        <f>0</f>
        <v>0</v>
      </c>
      <c r="M32" s="14">
        <f>0</f>
        <v>0</v>
      </c>
      <c r="N32" s="14">
        <f>0</f>
        <v>0</v>
      </c>
      <c r="O32" s="14">
        <f>0</f>
        <v>0</v>
      </c>
      <c r="P32" s="14">
        <f>0</f>
        <v>0</v>
      </c>
      <c r="Q32" s="14">
        <f>0</f>
        <v>0</v>
      </c>
      <c r="R32" s="14">
        <f>0</f>
        <v>0</v>
      </c>
      <c r="S32" s="14">
        <f>0</f>
        <v>0</v>
      </c>
      <c r="T32" s="14">
        <f>0</f>
        <v>0</v>
      </c>
    </row>
    <row r="33" spans="1:21" ht="41.25" customHeight="1">
      <c r="A33" s="10" t="s">
        <v>163</v>
      </c>
      <c r="B33" s="154" t="s">
        <v>257</v>
      </c>
      <c r="C33" s="155">
        <f>4466608.92</f>
        <v>4466608.92</v>
      </c>
      <c r="D33" s="11">
        <f>6490165.36</f>
        <v>6490165.3600000003</v>
      </c>
      <c r="E33" s="11">
        <f>3212861</f>
        <v>3212861</v>
      </c>
      <c r="F33" s="12">
        <f>3212861</f>
        <v>3212861</v>
      </c>
      <c r="G33" s="13">
        <f>5365288</f>
        <v>5365288</v>
      </c>
      <c r="H33" s="14">
        <f>0</f>
        <v>0</v>
      </c>
      <c r="I33" s="14">
        <f>0</f>
        <v>0</v>
      </c>
      <c r="J33" s="14">
        <f>0</f>
        <v>0</v>
      </c>
      <c r="K33" s="14">
        <f>0</f>
        <v>0</v>
      </c>
      <c r="L33" s="14">
        <f>0</f>
        <v>0</v>
      </c>
      <c r="M33" s="14">
        <f>0</f>
        <v>0</v>
      </c>
      <c r="N33" s="14">
        <f>0</f>
        <v>0</v>
      </c>
      <c r="O33" s="14">
        <f>0</f>
        <v>0</v>
      </c>
      <c r="P33" s="14">
        <f>0</f>
        <v>0</v>
      </c>
      <c r="Q33" s="14">
        <f>0</f>
        <v>0</v>
      </c>
      <c r="R33" s="14">
        <f>0</f>
        <v>0</v>
      </c>
      <c r="S33" s="14">
        <f>0</f>
        <v>0</v>
      </c>
      <c r="T33" s="14">
        <f>0</f>
        <v>0</v>
      </c>
    </row>
    <row r="34" spans="1:21" ht="21" customHeight="1">
      <c r="A34" s="10" t="s">
        <v>164</v>
      </c>
      <c r="B34" s="156" t="s">
        <v>255</v>
      </c>
      <c r="C34" s="155">
        <f>0</f>
        <v>0</v>
      </c>
      <c r="D34" s="11">
        <f>0</f>
        <v>0</v>
      </c>
      <c r="E34" s="11">
        <f>0</f>
        <v>0</v>
      </c>
      <c r="F34" s="12">
        <f>168457</f>
        <v>168457</v>
      </c>
      <c r="G34" s="13">
        <f>110676</f>
        <v>110676</v>
      </c>
      <c r="H34" s="14">
        <f>0</f>
        <v>0</v>
      </c>
      <c r="I34" s="14">
        <f>0</f>
        <v>0</v>
      </c>
      <c r="J34" s="14">
        <f>0</f>
        <v>0</v>
      </c>
      <c r="K34" s="14">
        <f>0</f>
        <v>0</v>
      </c>
      <c r="L34" s="14">
        <f>0</f>
        <v>0</v>
      </c>
      <c r="M34" s="14">
        <f>0</f>
        <v>0</v>
      </c>
      <c r="N34" s="14">
        <f>0</f>
        <v>0</v>
      </c>
      <c r="O34" s="14">
        <f>0</f>
        <v>0</v>
      </c>
      <c r="P34" s="14">
        <f>0</f>
        <v>0</v>
      </c>
      <c r="Q34" s="14">
        <f>0</f>
        <v>0</v>
      </c>
      <c r="R34" s="14">
        <f>0</f>
        <v>0</v>
      </c>
      <c r="S34" s="14">
        <f>0</f>
        <v>0</v>
      </c>
      <c r="T34" s="14">
        <f>0</f>
        <v>0</v>
      </c>
    </row>
    <row r="35" spans="1:21" ht="34.5" customHeight="1">
      <c r="A35" s="10" t="s">
        <v>165</v>
      </c>
      <c r="B35" s="154" t="s">
        <v>258</v>
      </c>
      <c r="C35" s="155">
        <f>0</f>
        <v>0</v>
      </c>
      <c r="D35" s="11">
        <f>0</f>
        <v>0</v>
      </c>
      <c r="E35" s="11">
        <f>0</f>
        <v>0</v>
      </c>
      <c r="F35" s="12">
        <f>0</f>
        <v>0</v>
      </c>
      <c r="G35" s="13">
        <f>0</f>
        <v>0</v>
      </c>
      <c r="H35" s="14">
        <f>0</f>
        <v>0</v>
      </c>
      <c r="I35" s="14">
        <f>0</f>
        <v>0</v>
      </c>
      <c r="J35" s="14">
        <f>0</f>
        <v>0</v>
      </c>
      <c r="K35" s="14">
        <f>0</f>
        <v>0</v>
      </c>
      <c r="L35" s="14">
        <f>0</f>
        <v>0</v>
      </c>
      <c r="M35" s="14">
        <f>0</f>
        <v>0</v>
      </c>
      <c r="N35" s="14">
        <f>0</f>
        <v>0</v>
      </c>
      <c r="O35" s="14">
        <f>0</f>
        <v>0</v>
      </c>
      <c r="P35" s="14">
        <f>0</f>
        <v>0</v>
      </c>
      <c r="Q35" s="14">
        <f>0</f>
        <v>0</v>
      </c>
      <c r="R35" s="14">
        <f>0</f>
        <v>0</v>
      </c>
      <c r="S35" s="14">
        <f>0</f>
        <v>0</v>
      </c>
      <c r="T35" s="14">
        <f>0</f>
        <v>0</v>
      </c>
      <c r="U35" s="187"/>
    </row>
    <row r="36" spans="1:21" ht="20.25" customHeight="1">
      <c r="A36" s="10" t="s">
        <v>166</v>
      </c>
      <c r="B36" s="156" t="s">
        <v>255</v>
      </c>
      <c r="C36" s="155">
        <f>0</f>
        <v>0</v>
      </c>
      <c r="D36" s="11">
        <f>0</f>
        <v>0</v>
      </c>
      <c r="E36" s="11">
        <f>0</f>
        <v>0</v>
      </c>
      <c r="F36" s="12">
        <f>0</f>
        <v>0</v>
      </c>
      <c r="G36" s="13">
        <f>0</f>
        <v>0</v>
      </c>
      <c r="H36" s="14">
        <f>0</f>
        <v>0</v>
      </c>
      <c r="I36" s="14">
        <f>0</f>
        <v>0</v>
      </c>
      <c r="J36" s="14">
        <f>0</f>
        <v>0</v>
      </c>
      <c r="K36" s="14">
        <f>0</f>
        <v>0</v>
      </c>
      <c r="L36" s="14">
        <f>0</f>
        <v>0</v>
      </c>
      <c r="M36" s="14">
        <f>0</f>
        <v>0</v>
      </c>
      <c r="N36" s="14">
        <f>0</f>
        <v>0</v>
      </c>
      <c r="O36" s="14">
        <f>0</f>
        <v>0</v>
      </c>
      <c r="P36" s="14">
        <f>0</f>
        <v>0</v>
      </c>
      <c r="Q36" s="14">
        <f>0</f>
        <v>0</v>
      </c>
      <c r="R36" s="14">
        <f>0</f>
        <v>0</v>
      </c>
      <c r="S36" s="14">
        <f>0</f>
        <v>0</v>
      </c>
      <c r="T36" s="14">
        <f>0</f>
        <v>0</v>
      </c>
    </row>
    <row r="37" spans="1:21" ht="36" customHeight="1">
      <c r="A37" s="10" t="s">
        <v>259</v>
      </c>
      <c r="B37" s="154" t="s">
        <v>260</v>
      </c>
      <c r="C37" s="155">
        <f>0</f>
        <v>0</v>
      </c>
      <c r="D37" s="11">
        <f>0</f>
        <v>0</v>
      </c>
      <c r="E37" s="11">
        <f>0</f>
        <v>0</v>
      </c>
      <c r="F37" s="12">
        <f>0</f>
        <v>0</v>
      </c>
      <c r="G37" s="13">
        <f>0</f>
        <v>0</v>
      </c>
      <c r="H37" s="14">
        <f>0</f>
        <v>0</v>
      </c>
      <c r="I37" s="14">
        <f>0</f>
        <v>0</v>
      </c>
      <c r="J37" s="14">
        <f>0</f>
        <v>0</v>
      </c>
      <c r="K37" s="14">
        <f>0</f>
        <v>0</v>
      </c>
      <c r="L37" s="14">
        <f>0</f>
        <v>0</v>
      </c>
      <c r="M37" s="14">
        <f>0</f>
        <v>0</v>
      </c>
      <c r="N37" s="14">
        <f>0</f>
        <v>0</v>
      </c>
      <c r="O37" s="14">
        <f>0</f>
        <v>0</v>
      </c>
      <c r="P37" s="14">
        <f>0</f>
        <v>0</v>
      </c>
      <c r="Q37" s="14">
        <f>0</f>
        <v>0</v>
      </c>
      <c r="R37" s="14">
        <f>0</f>
        <v>0</v>
      </c>
      <c r="S37" s="14">
        <f>0</f>
        <v>0</v>
      </c>
      <c r="T37" s="14">
        <f>0</f>
        <v>0</v>
      </c>
    </row>
    <row r="38" spans="1:21" ht="18" customHeight="1">
      <c r="A38" s="10" t="s">
        <v>261</v>
      </c>
      <c r="B38" s="156" t="s">
        <v>255</v>
      </c>
      <c r="C38" s="155">
        <f>0</f>
        <v>0</v>
      </c>
      <c r="D38" s="11">
        <f>0</f>
        <v>0</v>
      </c>
      <c r="E38" s="11">
        <f>0</f>
        <v>0</v>
      </c>
      <c r="F38" s="12">
        <f>0</f>
        <v>0</v>
      </c>
      <c r="G38" s="13">
        <f>0</f>
        <v>0</v>
      </c>
      <c r="H38" s="14">
        <f>0</f>
        <v>0</v>
      </c>
      <c r="I38" s="14">
        <f>0</f>
        <v>0</v>
      </c>
      <c r="J38" s="14">
        <f>0</f>
        <v>0</v>
      </c>
      <c r="K38" s="14">
        <f>0</f>
        <v>0</v>
      </c>
      <c r="L38" s="14">
        <f>0</f>
        <v>0</v>
      </c>
      <c r="M38" s="14">
        <f>0</f>
        <v>0</v>
      </c>
      <c r="N38" s="14">
        <f>0</f>
        <v>0</v>
      </c>
      <c r="O38" s="14">
        <f>0</f>
        <v>0</v>
      </c>
      <c r="P38" s="14">
        <f>0</f>
        <v>0</v>
      </c>
      <c r="Q38" s="14">
        <f>0</f>
        <v>0</v>
      </c>
      <c r="R38" s="14">
        <f>0</f>
        <v>0</v>
      </c>
      <c r="S38" s="14">
        <f>0</f>
        <v>0</v>
      </c>
      <c r="T38" s="14">
        <f>0</f>
        <v>0</v>
      </c>
    </row>
    <row r="39" spans="1:21" ht="18" customHeight="1">
      <c r="A39" s="5">
        <v>5</v>
      </c>
      <c r="B39" s="158" t="s">
        <v>167</v>
      </c>
      <c r="C39" s="159">
        <f>6677276</f>
        <v>6677276</v>
      </c>
      <c r="D39" s="6">
        <f>6560935</f>
        <v>6560935</v>
      </c>
      <c r="E39" s="6">
        <f>5788270</f>
        <v>5788270</v>
      </c>
      <c r="F39" s="7">
        <f>5788270</f>
        <v>5788270</v>
      </c>
      <c r="G39" s="8">
        <f>5254612</f>
        <v>5254612</v>
      </c>
      <c r="H39" s="9">
        <f>4662000</f>
        <v>4662000</v>
      </c>
      <c r="I39" s="9">
        <f>4902000</f>
        <v>4902000</v>
      </c>
      <c r="J39" s="9">
        <f>4802000</f>
        <v>4802000</v>
      </c>
      <c r="K39" s="9">
        <f>5112000</f>
        <v>5112000</v>
      </c>
      <c r="L39" s="9">
        <f>5472000</f>
        <v>5472000</v>
      </c>
      <c r="M39" s="9">
        <f>5660000</f>
        <v>5660000</v>
      </c>
      <c r="N39" s="9">
        <f t="shared" ref="N39:P40" si="4">5860000</f>
        <v>5860000</v>
      </c>
      <c r="O39" s="9">
        <f t="shared" si="4"/>
        <v>5860000</v>
      </c>
      <c r="P39" s="9">
        <f t="shared" si="4"/>
        <v>5860000</v>
      </c>
      <c r="Q39" s="9">
        <f>5440000</f>
        <v>5440000</v>
      </c>
      <c r="R39" s="9">
        <f>5500000</f>
        <v>5500000</v>
      </c>
      <c r="S39" s="9">
        <f>1540000</f>
        <v>1540000</v>
      </c>
      <c r="T39" s="9">
        <f>1540000</f>
        <v>1540000</v>
      </c>
    </row>
    <row r="40" spans="1:21" ht="37.5" customHeight="1">
      <c r="A40" s="10" t="s">
        <v>168</v>
      </c>
      <c r="B40" s="154" t="s">
        <v>262</v>
      </c>
      <c r="C40" s="155">
        <f>6677276</f>
        <v>6677276</v>
      </c>
      <c r="D40" s="11">
        <f>6560935</f>
        <v>6560935</v>
      </c>
      <c r="E40" s="11">
        <f>5788270</f>
        <v>5788270</v>
      </c>
      <c r="F40" s="12">
        <f>5788270</f>
        <v>5788270</v>
      </c>
      <c r="G40" s="13">
        <f>5254612</f>
        <v>5254612</v>
      </c>
      <c r="H40" s="14">
        <f>4662000</f>
        <v>4662000</v>
      </c>
      <c r="I40" s="14">
        <f>4902000</f>
        <v>4902000</v>
      </c>
      <c r="J40" s="14">
        <f>4802000</f>
        <v>4802000</v>
      </c>
      <c r="K40" s="14">
        <f>5112000</f>
        <v>5112000</v>
      </c>
      <c r="L40" s="14">
        <f>5472000</f>
        <v>5472000</v>
      </c>
      <c r="M40" s="14">
        <f>5660000</f>
        <v>5660000</v>
      </c>
      <c r="N40" s="14">
        <f t="shared" si="4"/>
        <v>5860000</v>
      </c>
      <c r="O40" s="14">
        <f t="shared" si="4"/>
        <v>5860000</v>
      </c>
      <c r="P40" s="14">
        <f t="shared" si="4"/>
        <v>5860000</v>
      </c>
      <c r="Q40" s="14">
        <f>5440000</f>
        <v>5440000</v>
      </c>
      <c r="R40" s="14">
        <f>5500000</f>
        <v>5500000</v>
      </c>
      <c r="S40" s="14">
        <f>1540000</f>
        <v>1540000</v>
      </c>
      <c r="T40" s="14">
        <f>1540000</f>
        <v>1540000</v>
      </c>
    </row>
    <row r="41" spans="1:21" ht="47.25" customHeight="1">
      <c r="A41" s="10" t="s">
        <v>169</v>
      </c>
      <c r="B41" s="156" t="s">
        <v>263</v>
      </c>
      <c r="C41" s="155">
        <f>0</f>
        <v>0</v>
      </c>
      <c r="D41" s="11">
        <f>0</f>
        <v>0</v>
      </c>
      <c r="E41" s="11">
        <f>0</f>
        <v>0</v>
      </c>
      <c r="F41" s="12">
        <f>0</f>
        <v>0</v>
      </c>
      <c r="G41" s="13">
        <f>0</f>
        <v>0</v>
      </c>
      <c r="H41" s="14">
        <f>0</f>
        <v>0</v>
      </c>
      <c r="I41" s="14">
        <f>0</f>
        <v>0</v>
      </c>
      <c r="J41" s="14">
        <f>0</f>
        <v>0</v>
      </c>
      <c r="K41" s="14">
        <f>0</f>
        <v>0</v>
      </c>
      <c r="L41" s="14">
        <f>0</f>
        <v>0</v>
      </c>
      <c r="M41" s="14">
        <f>0</f>
        <v>0</v>
      </c>
      <c r="N41" s="14">
        <f>0</f>
        <v>0</v>
      </c>
      <c r="O41" s="14">
        <f>0</f>
        <v>0</v>
      </c>
      <c r="P41" s="14">
        <f>0</f>
        <v>0</v>
      </c>
      <c r="Q41" s="14">
        <f>0</f>
        <v>0</v>
      </c>
      <c r="R41" s="14">
        <f>0</f>
        <v>0</v>
      </c>
      <c r="S41" s="14">
        <f>0</f>
        <v>0</v>
      </c>
      <c r="T41" s="14">
        <f>0</f>
        <v>0</v>
      </c>
    </row>
    <row r="42" spans="1:21" ht="47.25" customHeight="1">
      <c r="A42" s="10" t="s">
        <v>170</v>
      </c>
      <c r="B42" s="157" t="s">
        <v>264</v>
      </c>
      <c r="C42" s="155">
        <f>0</f>
        <v>0</v>
      </c>
      <c r="D42" s="11">
        <f>0</f>
        <v>0</v>
      </c>
      <c r="E42" s="11">
        <f>0</f>
        <v>0</v>
      </c>
      <c r="F42" s="12">
        <f>0</f>
        <v>0</v>
      </c>
      <c r="G42" s="13">
        <f>0</f>
        <v>0</v>
      </c>
      <c r="H42" s="14">
        <f>0</f>
        <v>0</v>
      </c>
      <c r="I42" s="14">
        <f>0</f>
        <v>0</v>
      </c>
      <c r="J42" s="14">
        <f>0</f>
        <v>0</v>
      </c>
      <c r="K42" s="14">
        <f>0</f>
        <v>0</v>
      </c>
      <c r="L42" s="14">
        <f>0</f>
        <v>0</v>
      </c>
      <c r="M42" s="14">
        <f>0</f>
        <v>0</v>
      </c>
      <c r="N42" s="14">
        <f>0</f>
        <v>0</v>
      </c>
      <c r="O42" s="14">
        <f>0</f>
        <v>0</v>
      </c>
      <c r="P42" s="14">
        <f>0</f>
        <v>0</v>
      </c>
      <c r="Q42" s="14">
        <f>0</f>
        <v>0</v>
      </c>
      <c r="R42" s="14">
        <f>0</f>
        <v>0</v>
      </c>
      <c r="S42" s="14">
        <f>0</f>
        <v>0</v>
      </c>
      <c r="T42" s="14">
        <f>0</f>
        <v>0</v>
      </c>
      <c r="U42" s="187"/>
    </row>
    <row r="43" spans="1:21" ht="43.5" customHeight="1">
      <c r="A43" s="10" t="s">
        <v>171</v>
      </c>
      <c r="B43" s="157" t="s">
        <v>265</v>
      </c>
      <c r="C43" s="155">
        <f>0</f>
        <v>0</v>
      </c>
      <c r="D43" s="11">
        <f>0</f>
        <v>0</v>
      </c>
      <c r="E43" s="11">
        <f>0</f>
        <v>0</v>
      </c>
      <c r="F43" s="12">
        <f>0</f>
        <v>0</v>
      </c>
      <c r="G43" s="13">
        <f>0</f>
        <v>0</v>
      </c>
      <c r="H43" s="14">
        <f>0</f>
        <v>0</v>
      </c>
      <c r="I43" s="14">
        <f>0</f>
        <v>0</v>
      </c>
      <c r="J43" s="14">
        <f>0</f>
        <v>0</v>
      </c>
      <c r="K43" s="14">
        <f>0</f>
        <v>0</v>
      </c>
      <c r="L43" s="14">
        <f>0</f>
        <v>0</v>
      </c>
      <c r="M43" s="14">
        <f>0</f>
        <v>0</v>
      </c>
      <c r="N43" s="14">
        <f>0</f>
        <v>0</v>
      </c>
      <c r="O43" s="14">
        <f>0</f>
        <v>0</v>
      </c>
      <c r="P43" s="14">
        <f>0</f>
        <v>0</v>
      </c>
      <c r="Q43" s="14">
        <f>0</f>
        <v>0</v>
      </c>
      <c r="R43" s="14">
        <f>0</f>
        <v>0</v>
      </c>
      <c r="S43" s="14">
        <f>0</f>
        <v>0</v>
      </c>
      <c r="T43" s="14">
        <f>0</f>
        <v>0</v>
      </c>
      <c r="U43" s="187"/>
    </row>
    <row r="44" spans="1:21" ht="48" customHeight="1">
      <c r="A44" s="10" t="s">
        <v>172</v>
      </c>
      <c r="B44" s="157" t="s">
        <v>266</v>
      </c>
      <c r="C44" s="155">
        <f>0</f>
        <v>0</v>
      </c>
      <c r="D44" s="11">
        <f>0</f>
        <v>0</v>
      </c>
      <c r="E44" s="11">
        <f>0</f>
        <v>0</v>
      </c>
      <c r="F44" s="12">
        <f>0</f>
        <v>0</v>
      </c>
      <c r="G44" s="13">
        <f>0</f>
        <v>0</v>
      </c>
      <c r="H44" s="14">
        <f>0</f>
        <v>0</v>
      </c>
      <c r="I44" s="14">
        <f>0</f>
        <v>0</v>
      </c>
      <c r="J44" s="14">
        <f>0</f>
        <v>0</v>
      </c>
      <c r="K44" s="14">
        <f>0</f>
        <v>0</v>
      </c>
      <c r="L44" s="14">
        <f>0</f>
        <v>0</v>
      </c>
      <c r="M44" s="14">
        <f>0</f>
        <v>0</v>
      </c>
      <c r="N44" s="14">
        <f>0</f>
        <v>0</v>
      </c>
      <c r="O44" s="14">
        <f>0</f>
        <v>0</v>
      </c>
      <c r="P44" s="14">
        <f>0</f>
        <v>0</v>
      </c>
      <c r="Q44" s="14">
        <f>0</f>
        <v>0</v>
      </c>
      <c r="R44" s="14">
        <f>0</f>
        <v>0</v>
      </c>
      <c r="S44" s="14">
        <f>0</f>
        <v>0</v>
      </c>
      <c r="T44" s="14">
        <f>0</f>
        <v>0</v>
      </c>
      <c r="U44" s="187"/>
    </row>
    <row r="45" spans="1:21" ht="22.5" customHeight="1">
      <c r="A45" s="10" t="s">
        <v>267</v>
      </c>
      <c r="B45" s="160" t="s">
        <v>268</v>
      </c>
      <c r="C45" s="155">
        <f>0</f>
        <v>0</v>
      </c>
      <c r="D45" s="11">
        <f>0</f>
        <v>0</v>
      </c>
      <c r="E45" s="11">
        <f>0</f>
        <v>0</v>
      </c>
      <c r="F45" s="12">
        <f>0</f>
        <v>0</v>
      </c>
      <c r="G45" s="13">
        <f>0</f>
        <v>0</v>
      </c>
      <c r="H45" s="14">
        <f>0</f>
        <v>0</v>
      </c>
      <c r="I45" s="14">
        <f>0</f>
        <v>0</v>
      </c>
      <c r="J45" s="14">
        <f>0</f>
        <v>0</v>
      </c>
      <c r="K45" s="14">
        <f>0</f>
        <v>0</v>
      </c>
      <c r="L45" s="14">
        <f>0</f>
        <v>0</v>
      </c>
      <c r="M45" s="14">
        <f>0</f>
        <v>0</v>
      </c>
      <c r="N45" s="14">
        <f>0</f>
        <v>0</v>
      </c>
      <c r="O45" s="14">
        <f>0</f>
        <v>0</v>
      </c>
      <c r="P45" s="14">
        <f>0</f>
        <v>0</v>
      </c>
      <c r="Q45" s="14">
        <f>0</f>
        <v>0</v>
      </c>
      <c r="R45" s="14">
        <f>0</f>
        <v>0</v>
      </c>
      <c r="S45" s="14">
        <f>0</f>
        <v>0</v>
      </c>
      <c r="T45" s="14">
        <f>0</f>
        <v>0</v>
      </c>
    </row>
    <row r="46" spans="1:21" ht="28.5" customHeight="1">
      <c r="A46" s="10" t="s">
        <v>269</v>
      </c>
      <c r="B46" s="160" t="s">
        <v>270</v>
      </c>
      <c r="C46" s="155">
        <f>0</f>
        <v>0</v>
      </c>
      <c r="D46" s="11">
        <f>0</f>
        <v>0</v>
      </c>
      <c r="E46" s="11">
        <f>0</f>
        <v>0</v>
      </c>
      <c r="F46" s="12">
        <f>0</f>
        <v>0</v>
      </c>
      <c r="G46" s="13">
        <f>0</f>
        <v>0</v>
      </c>
      <c r="H46" s="14">
        <f>0</f>
        <v>0</v>
      </c>
      <c r="I46" s="14">
        <f>0</f>
        <v>0</v>
      </c>
      <c r="J46" s="14">
        <f>0</f>
        <v>0</v>
      </c>
      <c r="K46" s="14">
        <f>0</f>
        <v>0</v>
      </c>
      <c r="L46" s="14">
        <f>0</f>
        <v>0</v>
      </c>
      <c r="M46" s="14">
        <f>0</f>
        <v>0</v>
      </c>
      <c r="N46" s="14">
        <f>0</f>
        <v>0</v>
      </c>
      <c r="O46" s="14">
        <f>0</f>
        <v>0</v>
      </c>
      <c r="P46" s="14">
        <f>0</f>
        <v>0</v>
      </c>
      <c r="Q46" s="14">
        <f>0</f>
        <v>0</v>
      </c>
      <c r="R46" s="14">
        <f>0</f>
        <v>0</v>
      </c>
      <c r="S46" s="14">
        <f>0</f>
        <v>0</v>
      </c>
      <c r="T46" s="14">
        <f>0</f>
        <v>0</v>
      </c>
    </row>
    <row r="47" spans="1:21" ht="21.75" customHeight="1">
      <c r="A47" s="10" t="s">
        <v>271</v>
      </c>
      <c r="B47" s="160" t="s">
        <v>272</v>
      </c>
      <c r="C47" s="155">
        <f>0</f>
        <v>0</v>
      </c>
      <c r="D47" s="11">
        <f>0</f>
        <v>0</v>
      </c>
      <c r="E47" s="11">
        <f>0</f>
        <v>0</v>
      </c>
      <c r="F47" s="12">
        <f>0</f>
        <v>0</v>
      </c>
      <c r="G47" s="13">
        <f>0</f>
        <v>0</v>
      </c>
      <c r="H47" s="14">
        <f>0</f>
        <v>0</v>
      </c>
      <c r="I47" s="14">
        <f>0</f>
        <v>0</v>
      </c>
      <c r="J47" s="14">
        <f>0</f>
        <v>0</v>
      </c>
      <c r="K47" s="14">
        <f>0</f>
        <v>0</v>
      </c>
      <c r="L47" s="14">
        <f>0</f>
        <v>0</v>
      </c>
      <c r="M47" s="14">
        <f>0</f>
        <v>0</v>
      </c>
      <c r="N47" s="14">
        <f>0</f>
        <v>0</v>
      </c>
      <c r="O47" s="14">
        <f>0</f>
        <v>0</v>
      </c>
      <c r="P47" s="14">
        <f>0</f>
        <v>0</v>
      </c>
      <c r="Q47" s="14">
        <f>0</f>
        <v>0</v>
      </c>
      <c r="R47" s="14">
        <f>0</f>
        <v>0</v>
      </c>
      <c r="S47" s="14">
        <f>0</f>
        <v>0</v>
      </c>
      <c r="T47" s="14">
        <f>0</f>
        <v>0</v>
      </c>
      <c r="U47" s="187"/>
    </row>
    <row r="48" spans="1:21" ht="27" customHeight="1">
      <c r="A48" s="10" t="s">
        <v>173</v>
      </c>
      <c r="B48" s="154" t="s">
        <v>273</v>
      </c>
      <c r="C48" s="155">
        <f>0</f>
        <v>0</v>
      </c>
      <c r="D48" s="11">
        <f>0</f>
        <v>0</v>
      </c>
      <c r="E48" s="11">
        <f>0</f>
        <v>0</v>
      </c>
      <c r="F48" s="12">
        <f>0</f>
        <v>0</v>
      </c>
      <c r="G48" s="13">
        <f>0</f>
        <v>0</v>
      </c>
      <c r="H48" s="14">
        <f>0</f>
        <v>0</v>
      </c>
      <c r="I48" s="14">
        <f>0</f>
        <v>0</v>
      </c>
      <c r="J48" s="14">
        <f>0</f>
        <v>0</v>
      </c>
      <c r="K48" s="14">
        <f>0</f>
        <v>0</v>
      </c>
      <c r="L48" s="14">
        <f>0</f>
        <v>0</v>
      </c>
      <c r="M48" s="14">
        <f>0</f>
        <v>0</v>
      </c>
      <c r="N48" s="14">
        <f>0</f>
        <v>0</v>
      </c>
      <c r="O48" s="14">
        <f>0</f>
        <v>0</v>
      </c>
      <c r="P48" s="14">
        <f>0</f>
        <v>0</v>
      </c>
      <c r="Q48" s="14">
        <f>0</f>
        <v>0</v>
      </c>
      <c r="R48" s="14">
        <f>0</f>
        <v>0</v>
      </c>
      <c r="S48" s="14">
        <f>0</f>
        <v>0</v>
      </c>
      <c r="T48" s="14">
        <f>0</f>
        <v>0</v>
      </c>
    </row>
    <row r="49" spans="1:21" ht="18" customHeight="1">
      <c r="A49" s="161" t="s">
        <v>274</v>
      </c>
      <c r="B49" s="158" t="s">
        <v>275</v>
      </c>
      <c r="C49" s="159">
        <f>46392864.69</f>
        <v>46392864.689999998</v>
      </c>
      <c r="D49" s="6">
        <f>50127167.81</f>
        <v>50127167.810000002</v>
      </c>
      <c r="E49" s="6">
        <f>51474136</f>
        <v>51474136</v>
      </c>
      <c r="F49" s="7">
        <f>51474136</f>
        <v>51474136</v>
      </c>
      <c r="G49" s="8">
        <f>52564762</f>
        <v>52564762</v>
      </c>
      <c r="H49" s="9">
        <f>51548000</f>
        <v>51548000</v>
      </c>
      <c r="I49" s="9">
        <f>49946000</f>
        <v>49946000</v>
      </c>
      <c r="J49" s="9">
        <f>47844000</f>
        <v>47844000</v>
      </c>
      <c r="K49" s="9">
        <f>42732000</f>
        <v>42732000</v>
      </c>
      <c r="L49" s="9">
        <f>37260000</f>
        <v>37260000</v>
      </c>
      <c r="M49" s="9">
        <f>31600000</f>
        <v>31600000</v>
      </c>
      <c r="N49" s="9">
        <f>25740000</f>
        <v>25740000</v>
      </c>
      <c r="O49" s="9">
        <f>19880000</f>
        <v>19880000</v>
      </c>
      <c r="P49" s="9">
        <f>14020000</f>
        <v>14020000</v>
      </c>
      <c r="Q49" s="9">
        <f>8580000</f>
        <v>8580000</v>
      </c>
      <c r="R49" s="9">
        <f>3080000</f>
        <v>3080000</v>
      </c>
      <c r="S49" s="9">
        <f>1540000</f>
        <v>1540000</v>
      </c>
      <c r="T49" s="9">
        <f>0</f>
        <v>0</v>
      </c>
    </row>
    <row r="50" spans="1:21" ht="33.75" customHeight="1">
      <c r="A50" s="10" t="s">
        <v>276</v>
      </c>
      <c r="B50" s="154" t="s">
        <v>277</v>
      </c>
      <c r="C50" s="155">
        <f>2619047.69</f>
        <v>2619047.69</v>
      </c>
      <c r="D50" s="11">
        <f>1964285.81</f>
        <v>1964285.81</v>
      </c>
      <c r="E50" s="11">
        <f>1309524</f>
        <v>1309524</v>
      </c>
      <c r="F50" s="12">
        <f>1309524</f>
        <v>1309524</v>
      </c>
      <c r="G50" s="13">
        <f>654762</f>
        <v>654762</v>
      </c>
      <c r="H50" s="14">
        <f>0</f>
        <v>0</v>
      </c>
      <c r="I50" s="14">
        <f>0</f>
        <v>0</v>
      </c>
      <c r="J50" s="14">
        <f>0</f>
        <v>0</v>
      </c>
      <c r="K50" s="14">
        <f>0</f>
        <v>0</v>
      </c>
      <c r="L50" s="14">
        <f>0</f>
        <v>0</v>
      </c>
      <c r="M50" s="14">
        <f>0</f>
        <v>0</v>
      </c>
      <c r="N50" s="14">
        <f>0</f>
        <v>0</v>
      </c>
      <c r="O50" s="14">
        <f>0</f>
        <v>0</v>
      </c>
      <c r="P50" s="14">
        <f>0</f>
        <v>0</v>
      </c>
      <c r="Q50" s="14">
        <f>0</f>
        <v>0</v>
      </c>
      <c r="R50" s="14">
        <f>0</f>
        <v>0</v>
      </c>
      <c r="S50" s="14">
        <f>0</f>
        <v>0</v>
      </c>
      <c r="T50" s="14">
        <f>0</f>
        <v>0</v>
      </c>
    </row>
    <row r="51" spans="1:21" ht="36.75" customHeight="1">
      <c r="A51" s="5">
        <v>7</v>
      </c>
      <c r="B51" s="158" t="s">
        <v>174</v>
      </c>
      <c r="C51" s="162" t="s">
        <v>175</v>
      </c>
      <c r="D51" s="15" t="s">
        <v>175</v>
      </c>
      <c r="E51" s="15" t="s">
        <v>175</v>
      </c>
      <c r="F51" s="16" t="s">
        <v>175</v>
      </c>
      <c r="G51" s="17" t="s">
        <v>175</v>
      </c>
      <c r="H51" s="18" t="s">
        <v>175</v>
      </c>
      <c r="I51" s="18" t="s">
        <v>175</v>
      </c>
      <c r="J51" s="18" t="s">
        <v>175</v>
      </c>
      <c r="K51" s="18" t="s">
        <v>175</v>
      </c>
      <c r="L51" s="18" t="s">
        <v>175</v>
      </c>
      <c r="M51" s="18" t="s">
        <v>175</v>
      </c>
      <c r="N51" s="18" t="s">
        <v>175</v>
      </c>
      <c r="O51" s="18" t="s">
        <v>175</v>
      </c>
      <c r="P51" s="18" t="s">
        <v>175</v>
      </c>
      <c r="Q51" s="18" t="s">
        <v>175</v>
      </c>
      <c r="R51" s="18" t="s">
        <v>175</v>
      </c>
      <c r="S51" s="18" t="s">
        <v>175</v>
      </c>
      <c r="T51" s="18" t="s">
        <v>175</v>
      </c>
    </row>
    <row r="52" spans="1:21" ht="37.5" customHeight="1">
      <c r="A52" s="19" t="s">
        <v>278</v>
      </c>
      <c r="B52" s="163" t="s">
        <v>279</v>
      </c>
      <c r="C52" s="155">
        <f>11835222.31</f>
        <v>11835222.310000001</v>
      </c>
      <c r="D52" s="11">
        <f>12233922.28</f>
        <v>12233922.279999999</v>
      </c>
      <c r="E52" s="11">
        <f>5790592</f>
        <v>5790592</v>
      </c>
      <c r="F52" s="12">
        <f>6170269</f>
        <v>6170269</v>
      </c>
      <c r="G52" s="13">
        <f>3777532</f>
        <v>3777532</v>
      </c>
      <c r="H52" s="14">
        <f>7757736</f>
        <v>7757736</v>
      </c>
      <c r="I52" s="14">
        <f>9545643</f>
        <v>9545643</v>
      </c>
      <c r="J52" s="14">
        <f>10998524</f>
        <v>10998524</v>
      </c>
      <c r="K52" s="14">
        <f>14905912</f>
        <v>14905912</v>
      </c>
      <c r="L52" s="14">
        <f>16269594</f>
        <v>16269594</v>
      </c>
      <c r="M52" s="14">
        <f>17691675</f>
        <v>17691675</v>
      </c>
      <c r="N52" s="14">
        <f>19044288</f>
        <v>19044288</v>
      </c>
      <c r="O52" s="14">
        <f>20212046</f>
        <v>20212046</v>
      </c>
      <c r="P52" s="14">
        <f>21234665</f>
        <v>21234665</v>
      </c>
      <c r="Q52" s="14">
        <f>22293603</f>
        <v>22293603</v>
      </c>
      <c r="R52" s="14">
        <f>23186081</f>
        <v>23186081</v>
      </c>
      <c r="S52" s="14">
        <f>23765732</f>
        <v>23765732</v>
      </c>
      <c r="T52" s="14">
        <f>24148623</f>
        <v>24148623</v>
      </c>
    </row>
    <row r="53" spans="1:21" ht="43.5" customHeight="1">
      <c r="A53" s="10" t="s">
        <v>280</v>
      </c>
      <c r="B53" s="154" t="s">
        <v>347</v>
      </c>
      <c r="C53" s="155">
        <f>16301831.23</f>
        <v>16301831.23</v>
      </c>
      <c r="D53" s="11">
        <f>18724087.64</f>
        <v>18724087.640000001</v>
      </c>
      <c r="E53" s="11">
        <f>9003453</f>
        <v>9003453</v>
      </c>
      <c r="F53" s="12">
        <f>9383130</f>
        <v>9383130</v>
      </c>
      <c r="G53" s="13">
        <f>10192062</f>
        <v>10192062</v>
      </c>
      <c r="H53" s="14">
        <f>7757736</f>
        <v>7757736</v>
      </c>
      <c r="I53" s="14">
        <f>9545643</f>
        <v>9545643</v>
      </c>
      <c r="J53" s="14">
        <f>10998524</f>
        <v>10998524</v>
      </c>
      <c r="K53" s="14">
        <f>14905912</f>
        <v>14905912</v>
      </c>
      <c r="L53" s="14">
        <f>16269594</f>
        <v>16269594</v>
      </c>
      <c r="M53" s="14">
        <f>17691675</f>
        <v>17691675</v>
      </c>
      <c r="N53" s="14">
        <f>19044288</f>
        <v>19044288</v>
      </c>
      <c r="O53" s="14">
        <f>20212046</f>
        <v>20212046</v>
      </c>
      <c r="P53" s="14">
        <f>21234665</f>
        <v>21234665</v>
      </c>
      <c r="Q53" s="14">
        <f>22293603</f>
        <v>22293603</v>
      </c>
      <c r="R53" s="14">
        <f>23186081</f>
        <v>23186081</v>
      </c>
      <c r="S53" s="14">
        <f>23765732</f>
        <v>23765732</v>
      </c>
      <c r="T53" s="14">
        <f>24148623</f>
        <v>24148623</v>
      </c>
    </row>
    <row r="54" spans="1:21" ht="18.75" customHeight="1">
      <c r="A54" s="5">
        <v>8</v>
      </c>
      <c r="B54" s="158" t="s">
        <v>178</v>
      </c>
      <c r="C54" s="162" t="s">
        <v>175</v>
      </c>
      <c r="D54" s="15" t="s">
        <v>175</v>
      </c>
      <c r="E54" s="15" t="s">
        <v>175</v>
      </c>
      <c r="F54" s="16" t="s">
        <v>175</v>
      </c>
      <c r="G54" s="17" t="s">
        <v>175</v>
      </c>
      <c r="H54" s="18" t="s">
        <v>175</v>
      </c>
      <c r="I54" s="18" t="s">
        <v>175</v>
      </c>
      <c r="J54" s="18" t="s">
        <v>175</v>
      </c>
      <c r="K54" s="18" t="s">
        <v>175</v>
      </c>
      <c r="L54" s="18" t="s">
        <v>175</v>
      </c>
      <c r="M54" s="18" t="s">
        <v>175</v>
      </c>
      <c r="N54" s="18" t="s">
        <v>175</v>
      </c>
      <c r="O54" s="18" t="s">
        <v>175</v>
      </c>
      <c r="P54" s="18" t="s">
        <v>175</v>
      </c>
      <c r="Q54" s="18" t="s">
        <v>175</v>
      </c>
      <c r="R54" s="18" t="s">
        <v>175</v>
      </c>
      <c r="S54" s="18" t="s">
        <v>175</v>
      </c>
      <c r="T54" s="18" t="s">
        <v>175</v>
      </c>
    </row>
    <row r="55" spans="1:21" ht="95.25" customHeight="1">
      <c r="A55" s="10" t="s">
        <v>176</v>
      </c>
      <c r="B55" s="154" t="s">
        <v>281</v>
      </c>
      <c r="C55" s="162" t="s">
        <v>175</v>
      </c>
      <c r="D55" s="15" t="s">
        <v>175</v>
      </c>
      <c r="E55" s="15" t="s">
        <v>175</v>
      </c>
      <c r="F55" s="16" t="s">
        <v>175</v>
      </c>
      <c r="G55" s="164">
        <f>0.0728</f>
        <v>7.2800000000000004E-2</v>
      </c>
      <c r="H55" s="165">
        <f>0.0644</f>
        <v>6.4399999999999999E-2</v>
      </c>
      <c r="I55" s="165">
        <f>0.0633</f>
        <v>6.3299999999999995E-2</v>
      </c>
      <c r="J55" s="165">
        <f>0.0604</f>
        <v>6.0400000000000002E-2</v>
      </c>
      <c r="K55" s="165">
        <f>0.0429</f>
        <v>4.2900000000000001E-2</v>
      </c>
      <c r="L55" s="165">
        <f>0.0434</f>
        <v>4.3400000000000001E-2</v>
      </c>
      <c r="M55" s="165">
        <f>0.042</f>
        <v>4.2000000000000003E-2</v>
      </c>
      <c r="N55" s="165">
        <f>0.0409</f>
        <v>4.0899999999999999E-2</v>
      </c>
      <c r="O55" s="165">
        <f>0.039</f>
        <v>3.9E-2</v>
      </c>
      <c r="P55" s="165">
        <f>0.037</f>
        <v>3.6999999999999998E-2</v>
      </c>
      <c r="Q55" s="165">
        <f>0.0325</f>
        <v>3.2500000000000001E-2</v>
      </c>
      <c r="R55" s="165">
        <f>0.0312</f>
        <v>3.1199999999999999E-2</v>
      </c>
      <c r="S55" s="165">
        <f>0.0088</f>
        <v>8.8000000000000005E-3</v>
      </c>
      <c r="T55" s="165">
        <f>0.0083</f>
        <v>8.3000000000000001E-3</v>
      </c>
    </row>
    <row r="56" spans="1:21" ht="18" customHeight="1">
      <c r="A56" s="10" t="s">
        <v>282</v>
      </c>
      <c r="B56" s="156" t="s">
        <v>282</v>
      </c>
      <c r="C56" s="162" t="s">
        <v>175</v>
      </c>
      <c r="D56" s="15" t="s">
        <v>175</v>
      </c>
      <c r="E56" s="15" t="s">
        <v>175</v>
      </c>
      <c r="F56" s="16" t="s">
        <v>175</v>
      </c>
      <c r="G56" s="164">
        <f>0.0728</f>
        <v>7.2800000000000004E-2</v>
      </c>
      <c r="H56" s="165">
        <f>0.0644</f>
        <v>6.4399999999999999E-2</v>
      </c>
      <c r="I56" s="165">
        <f>0.0633</f>
        <v>6.3299999999999995E-2</v>
      </c>
      <c r="J56" s="165">
        <f>0.0604</f>
        <v>6.0400000000000002E-2</v>
      </c>
      <c r="K56" s="165">
        <f>0.0429</f>
        <v>4.2900000000000001E-2</v>
      </c>
      <c r="L56" s="165">
        <f>0.0434</f>
        <v>4.3400000000000001E-2</v>
      </c>
      <c r="M56" s="165">
        <f>0.042</f>
        <v>4.2000000000000003E-2</v>
      </c>
      <c r="N56" s="165">
        <f>0.0409</f>
        <v>4.0899999999999999E-2</v>
      </c>
      <c r="O56" s="165">
        <f>0.039</f>
        <v>3.9E-2</v>
      </c>
      <c r="P56" s="165">
        <f>0.037</f>
        <v>3.6999999999999998E-2</v>
      </c>
      <c r="Q56" s="165">
        <f>0.0325</f>
        <v>3.2500000000000001E-2</v>
      </c>
      <c r="R56" s="165">
        <f>0.0312</f>
        <v>3.1199999999999999E-2</v>
      </c>
      <c r="S56" s="165">
        <f>0.0088</f>
        <v>8.8000000000000005E-3</v>
      </c>
      <c r="T56" s="165">
        <f>0.0083</f>
        <v>8.3000000000000001E-3</v>
      </c>
    </row>
    <row r="57" spans="1:21" ht="18" customHeight="1">
      <c r="A57" s="10" t="s">
        <v>283</v>
      </c>
      <c r="B57" s="156" t="s">
        <v>283</v>
      </c>
      <c r="C57" s="162" t="s">
        <v>175</v>
      </c>
      <c r="D57" s="15" t="s">
        <v>175</v>
      </c>
      <c r="E57" s="15" t="s">
        <v>175</v>
      </c>
      <c r="F57" s="16" t="s">
        <v>175</v>
      </c>
      <c r="G57" s="164">
        <f>0.0728</f>
        <v>7.2800000000000004E-2</v>
      </c>
      <c r="H57" s="165">
        <f>0.0644</f>
        <v>6.4399999999999999E-2</v>
      </c>
      <c r="I57" s="165">
        <f>0.0633</f>
        <v>6.3299999999999995E-2</v>
      </c>
      <c r="J57" s="165">
        <f>0.0604</f>
        <v>6.0400000000000002E-2</v>
      </c>
      <c r="K57" s="165">
        <f>0.0429</f>
        <v>4.2900000000000001E-2</v>
      </c>
      <c r="L57" s="165">
        <f>0.0434</f>
        <v>4.3400000000000001E-2</v>
      </c>
      <c r="M57" s="165">
        <f>0.042</f>
        <v>4.2000000000000003E-2</v>
      </c>
      <c r="N57" s="165">
        <f>0.0409</f>
        <v>4.0899999999999999E-2</v>
      </c>
      <c r="O57" s="165">
        <f>0.039</f>
        <v>3.9E-2</v>
      </c>
      <c r="P57" s="165">
        <f>0.037</f>
        <v>3.6999999999999998E-2</v>
      </c>
      <c r="Q57" s="165">
        <f>0.0325</f>
        <v>3.2500000000000001E-2</v>
      </c>
      <c r="R57" s="165">
        <f>0.0312</f>
        <v>3.1199999999999999E-2</v>
      </c>
      <c r="S57" s="165">
        <f>0.0088</f>
        <v>8.8000000000000005E-3</v>
      </c>
      <c r="T57" s="165">
        <f>0.0083</f>
        <v>8.3000000000000001E-3</v>
      </c>
      <c r="U57" s="187"/>
    </row>
    <row r="58" spans="1:21" ht="57.75" customHeight="1">
      <c r="A58" s="10" t="s">
        <v>177</v>
      </c>
      <c r="B58" s="154" t="s">
        <v>348</v>
      </c>
      <c r="C58" s="166">
        <f>0.1307</f>
        <v>0.13070000000000001</v>
      </c>
      <c r="D58" s="167">
        <f>0.1208</f>
        <v>0.1208</v>
      </c>
      <c r="E58" s="167">
        <f>0.0616</f>
        <v>6.1600000000000002E-2</v>
      </c>
      <c r="F58" s="168">
        <f>0.0642</f>
        <v>6.4199999999999993E-2</v>
      </c>
      <c r="G58" s="164">
        <f>0.0491</f>
        <v>4.9099999999999998E-2</v>
      </c>
      <c r="H58" s="165">
        <f>0.0677</f>
        <v>6.7699999999999996E-2</v>
      </c>
      <c r="I58" s="165">
        <f>0.0778</f>
        <v>7.7799999999999994E-2</v>
      </c>
      <c r="J58" s="165">
        <f>0.0855</f>
        <v>8.5500000000000007E-2</v>
      </c>
      <c r="K58" s="165">
        <f>0.1085</f>
        <v>0.1085</v>
      </c>
      <c r="L58" s="165">
        <f>0.1136</f>
        <v>0.11360000000000001</v>
      </c>
      <c r="M58" s="165">
        <f>0.118</f>
        <v>0.11799999999999999</v>
      </c>
      <c r="N58" s="165">
        <f>0.1218</f>
        <v>0.12180000000000001</v>
      </c>
      <c r="O58" s="165">
        <f>0.1246</f>
        <v>0.1246</v>
      </c>
      <c r="P58" s="165">
        <f>0.1263</f>
        <v>0.1263</v>
      </c>
      <c r="Q58" s="165">
        <f>0.1279</f>
        <v>0.12790000000000001</v>
      </c>
      <c r="R58" s="165">
        <f>0.1288</f>
        <v>0.1288</v>
      </c>
      <c r="S58" s="165">
        <f>0.1284</f>
        <v>0.12839999999999999</v>
      </c>
      <c r="T58" s="165">
        <f>0.1271</f>
        <v>0.12709999999999999</v>
      </c>
    </row>
    <row r="59" spans="1:21" ht="18" customHeight="1">
      <c r="A59" s="10" t="s">
        <v>284</v>
      </c>
      <c r="B59" s="156" t="s">
        <v>284</v>
      </c>
      <c r="C59" s="166">
        <f>0.1682</f>
        <v>0.16819999999999999</v>
      </c>
      <c r="D59" s="167">
        <f>0.1191</f>
        <v>0.1191</v>
      </c>
      <c r="E59" s="167">
        <f>0.0903</f>
        <v>9.0300000000000005E-2</v>
      </c>
      <c r="F59" s="168">
        <f>0.0927</f>
        <v>9.2700000000000005E-2</v>
      </c>
      <c r="G59" s="164">
        <f>0.0863</f>
        <v>8.6300000000000002E-2</v>
      </c>
      <c r="H59" s="165">
        <f>0.0741</f>
        <v>7.4099999999999999E-2</v>
      </c>
      <c r="I59" s="165">
        <f>0.0764</f>
        <v>7.6399999999999996E-2</v>
      </c>
      <c r="J59" s="165">
        <f>0.0767</f>
        <v>7.6700000000000004E-2</v>
      </c>
      <c r="K59" s="165">
        <f>0.1001</f>
        <v>0.10009999999999999</v>
      </c>
      <c r="L59" s="165">
        <f>0</f>
        <v>0</v>
      </c>
      <c r="M59" s="165">
        <f>0</f>
        <v>0</v>
      </c>
      <c r="N59" s="165">
        <f>0</f>
        <v>0</v>
      </c>
      <c r="O59" s="165">
        <f>0</f>
        <v>0</v>
      </c>
      <c r="P59" s="165">
        <f>0</f>
        <v>0</v>
      </c>
      <c r="Q59" s="165">
        <f>0</f>
        <v>0</v>
      </c>
      <c r="R59" s="165">
        <f>0</f>
        <v>0</v>
      </c>
      <c r="S59" s="165">
        <f>0</f>
        <v>0</v>
      </c>
      <c r="T59" s="165">
        <f>0</f>
        <v>0</v>
      </c>
      <c r="U59" s="187"/>
    </row>
    <row r="60" spans="1:21" ht="18" customHeight="1">
      <c r="A60" s="10" t="s">
        <v>285</v>
      </c>
      <c r="B60" s="156" t="s">
        <v>285</v>
      </c>
      <c r="C60" s="166">
        <f>0.1307</f>
        <v>0.13070000000000001</v>
      </c>
      <c r="D60" s="167">
        <f>0.1208</f>
        <v>0.1208</v>
      </c>
      <c r="E60" s="167">
        <f>0.0616</f>
        <v>6.1600000000000002E-2</v>
      </c>
      <c r="F60" s="168">
        <f>0.0642</f>
        <v>6.4199999999999993E-2</v>
      </c>
      <c r="G60" s="164">
        <f>0.0491</f>
        <v>4.9099999999999998E-2</v>
      </c>
      <c r="H60" s="165">
        <f>0.0677</f>
        <v>6.7699999999999996E-2</v>
      </c>
      <c r="I60" s="165">
        <f>0.0778</f>
        <v>7.7799999999999994E-2</v>
      </c>
      <c r="J60" s="165">
        <f>0.0855</f>
        <v>8.5500000000000007E-2</v>
      </c>
      <c r="K60" s="165">
        <f>0.1085</f>
        <v>0.1085</v>
      </c>
      <c r="L60" s="165">
        <f>0.1136</f>
        <v>0.11360000000000001</v>
      </c>
      <c r="M60" s="165">
        <f>0.118</f>
        <v>0.11799999999999999</v>
      </c>
      <c r="N60" s="165">
        <f>0.1218</f>
        <v>0.12180000000000001</v>
      </c>
      <c r="O60" s="165">
        <f>0.1246</f>
        <v>0.1246</v>
      </c>
      <c r="P60" s="165">
        <f>0.1263</f>
        <v>0.1263</v>
      </c>
      <c r="Q60" s="165">
        <f>0.1279</f>
        <v>0.12790000000000001</v>
      </c>
      <c r="R60" s="165">
        <f>0.1288</f>
        <v>0.1288</v>
      </c>
      <c r="S60" s="165">
        <f>0.1284</f>
        <v>0.12839999999999999</v>
      </c>
      <c r="T60" s="165">
        <f>0.1271</f>
        <v>0.12709999999999999</v>
      </c>
    </row>
    <row r="61" spans="1:21" ht="111.75" customHeight="1">
      <c r="A61" s="10" t="s">
        <v>286</v>
      </c>
      <c r="B61" s="154" t="s">
        <v>287</v>
      </c>
      <c r="C61" s="162" t="s">
        <v>175</v>
      </c>
      <c r="D61" s="15" t="s">
        <v>175</v>
      </c>
      <c r="E61" s="15" t="s">
        <v>175</v>
      </c>
      <c r="F61" s="16" t="s">
        <v>175</v>
      </c>
      <c r="G61" s="164">
        <f>0.1259</f>
        <v>0.12590000000000001</v>
      </c>
      <c r="H61" s="165">
        <f>0.0986</f>
        <v>9.8599999999999993E-2</v>
      </c>
      <c r="I61" s="165">
        <f>0.0836</f>
        <v>8.3599999999999994E-2</v>
      </c>
      <c r="J61" s="165">
        <f>0.0789</f>
        <v>7.8899999999999998E-2</v>
      </c>
      <c r="K61" s="165">
        <f>0.0757</f>
        <v>7.5700000000000003E-2</v>
      </c>
      <c r="L61" s="165">
        <f>0.0844</f>
        <v>8.4400000000000003E-2</v>
      </c>
      <c r="M61" s="165">
        <f>0.0805</f>
        <v>8.0500000000000002E-2</v>
      </c>
      <c r="N61" s="165">
        <f>0.0886</f>
        <v>8.8599999999999998E-2</v>
      </c>
      <c r="O61" s="165">
        <f>0.099</f>
        <v>9.9000000000000005E-2</v>
      </c>
      <c r="P61" s="165">
        <f>0.1071</f>
        <v>0.1071</v>
      </c>
      <c r="Q61" s="165">
        <f>0.114</f>
        <v>0.114</v>
      </c>
      <c r="R61" s="165">
        <f>0.1201</f>
        <v>0.1201</v>
      </c>
      <c r="S61" s="165">
        <f>0.123</f>
        <v>0.123</v>
      </c>
      <c r="T61" s="165">
        <f>0.1251</f>
        <v>0.12509999999999999</v>
      </c>
    </row>
    <row r="62" spans="1:21" ht="118.5" customHeight="1">
      <c r="A62" s="10" t="s">
        <v>288</v>
      </c>
      <c r="B62" s="156" t="s">
        <v>289</v>
      </c>
      <c r="C62" s="162" t="s">
        <v>175</v>
      </c>
      <c r="D62" s="15" t="s">
        <v>175</v>
      </c>
      <c r="E62" s="15" t="s">
        <v>175</v>
      </c>
      <c r="F62" s="16" t="s">
        <v>175</v>
      </c>
      <c r="G62" s="164">
        <f>0.1267</f>
        <v>0.12670000000000001</v>
      </c>
      <c r="H62" s="165">
        <f>0.0994</f>
        <v>9.9400000000000002E-2</v>
      </c>
      <c r="I62" s="165">
        <f>0.0844</f>
        <v>8.4400000000000003E-2</v>
      </c>
      <c r="J62" s="165">
        <f>0.0789</f>
        <v>7.8899999999999998E-2</v>
      </c>
      <c r="K62" s="165">
        <f>0.0757</f>
        <v>7.5700000000000003E-2</v>
      </c>
      <c r="L62" s="165">
        <f>0.0844</f>
        <v>8.4400000000000003E-2</v>
      </c>
      <c r="M62" s="165">
        <f>0.0809</f>
        <v>8.09E-2</v>
      </c>
      <c r="N62" s="165">
        <f>0.0886</f>
        <v>8.8599999999999998E-2</v>
      </c>
      <c r="O62" s="165">
        <f>0.099</f>
        <v>9.9000000000000005E-2</v>
      </c>
      <c r="P62" s="165">
        <f>0.1071</f>
        <v>0.1071</v>
      </c>
      <c r="Q62" s="165">
        <f>0.114</f>
        <v>0.114</v>
      </c>
      <c r="R62" s="165">
        <f>0.1201</f>
        <v>0.1201</v>
      </c>
      <c r="S62" s="165">
        <f>0.123</f>
        <v>0.123</v>
      </c>
      <c r="T62" s="165">
        <f>0.1251</f>
        <v>0.12509999999999999</v>
      </c>
    </row>
    <row r="63" spans="1:21" ht="108" customHeight="1">
      <c r="A63" s="10" t="s">
        <v>290</v>
      </c>
      <c r="B63" s="154" t="s">
        <v>184</v>
      </c>
      <c r="C63" s="162" t="s">
        <v>175</v>
      </c>
      <c r="D63" s="15" t="s">
        <v>175</v>
      </c>
      <c r="E63" s="15" t="s">
        <v>175</v>
      </c>
      <c r="F63" s="16" t="s">
        <v>175</v>
      </c>
      <c r="G63" s="169" t="str">
        <f>IF(G55&lt;=G61,"Spełniona","Nie spełniona")</f>
        <v>Spełniona</v>
      </c>
      <c r="H63" s="170" t="str">
        <f t="shared" ref="H63:T63" si="5">IF(H55&lt;=H61,"Spełniona","Nie spełniona")</f>
        <v>Spełniona</v>
      </c>
      <c r="I63" s="170" t="str">
        <f t="shared" si="5"/>
        <v>Spełniona</v>
      </c>
      <c r="J63" s="170" t="str">
        <f t="shared" si="5"/>
        <v>Spełniona</v>
      </c>
      <c r="K63" s="170" t="str">
        <f t="shared" si="5"/>
        <v>Spełniona</v>
      </c>
      <c r="L63" s="170" t="str">
        <f t="shared" si="5"/>
        <v>Spełniona</v>
      </c>
      <c r="M63" s="170" t="str">
        <f t="shared" si="5"/>
        <v>Spełniona</v>
      </c>
      <c r="N63" s="170" t="str">
        <f t="shared" si="5"/>
        <v>Spełniona</v>
      </c>
      <c r="O63" s="170" t="str">
        <f t="shared" si="5"/>
        <v>Spełniona</v>
      </c>
      <c r="P63" s="170" t="str">
        <f t="shared" si="5"/>
        <v>Spełniona</v>
      </c>
      <c r="Q63" s="170" t="str">
        <f t="shared" si="5"/>
        <v>Spełniona</v>
      </c>
      <c r="R63" s="170" t="str">
        <f t="shared" si="5"/>
        <v>Spełniona</v>
      </c>
      <c r="S63" s="170" t="str">
        <f t="shared" si="5"/>
        <v>Spełniona</v>
      </c>
      <c r="T63" s="170" t="str">
        <f t="shared" si="5"/>
        <v>Spełniona</v>
      </c>
    </row>
    <row r="64" spans="1:21" ht="105.75" customHeight="1">
      <c r="A64" s="10" t="s">
        <v>291</v>
      </c>
      <c r="B64" s="156" t="s">
        <v>185</v>
      </c>
      <c r="C64" s="162" t="s">
        <v>175</v>
      </c>
      <c r="D64" s="15" t="s">
        <v>175</v>
      </c>
      <c r="E64" s="15" t="s">
        <v>175</v>
      </c>
      <c r="F64" s="16" t="s">
        <v>175</v>
      </c>
      <c r="G64" s="169" t="str">
        <f>IF(G55&lt;=G62,"Spełniona","Nie spełniona")</f>
        <v>Spełniona</v>
      </c>
      <c r="H64" s="170" t="str">
        <f t="shared" ref="H64:T64" si="6">IF(H55&lt;=H62,"Spełniona","Nie spełniona")</f>
        <v>Spełniona</v>
      </c>
      <c r="I64" s="170" t="str">
        <f t="shared" si="6"/>
        <v>Spełniona</v>
      </c>
      <c r="J64" s="170" t="str">
        <f t="shared" si="6"/>
        <v>Spełniona</v>
      </c>
      <c r="K64" s="170" t="str">
        <f t="shared" si="6"/>
        <v>Spełniona</v>
      </c>
      <c r="L64" s="170" t="str">
        <f t="shared" si="6"/>
        <v>Spełniona</v>
      </c>
      <c r="M64" s="170" t="str">
        <f t="shared" si="6"/>
        <v>Spełniona</v>
      </c>
      <c r="N64" s="170" t="str">
        <f t="shared" si="6"/>
        <v>Spełniona</v>
      </c>
      <c r="O64" s="170" t="str">
        <f t="shared" si="6"/>
        <v>Spełniona</v>
      </c>
      <c r="P64" s="170" t="str">
        <f t="shared" si="6"/>
        <v>Spełniona</v>
      </c>
      <c r="Q64" s="170" t="str">
        <f t="shared" si="6"/>
        <v>Spełniona</v>
      </c>
      <c r="R64" s="170" t="str">
        <f t="shared" si="6"/>
        <v>Spełniona</v>
      </c>
      <c r="S64" s="170" t="str">
        <f t="shared" si="6"/>
        <v>Spełniona</v>
      </c>
      <c r="T64" s="170" t="str">
        <f t="shared" si="6"/>
        <v>Spełniona</v>
      </c>
    </row>
    <row r="65" spans="1:21" ht="47.25" customHeight="1">
      <c r="A65" s="5">
        <v>9</v>
      </c>
      <c r="B65" s="158" t="s">
        <v>191</v>
      </c>
      <c r="C65" s="162" t="s">
        <v>175</v>
      </c>
      <c r="D65" s="15" t="s">
        <v>175</v>
      </c>
      <c r="E65" s="15" t="s">
        <v>175</v>
      </c>
      <c r="F65" s="16" t="s">
        <v>175</v>
      </c>
      <c r="G65" s="17" t="s">
        <v>175</v>
      </c>
      <c r="H65" s="18" t="s">
        <v>175</v>
      </c>
      <c r="I65" s="18" t="s">
        <v>175</v>
      </c>
      <c r="J65" s="18" t="s">
        <v>175</v>
      </c>
      <c r="K65" s="18" t="s">
        <v>175</v>
      </c>
      <c r="L65" s="18" t="s">
        <v>175</v>
      </c>
      <c r="M65" s="18" t="s">
        <v>175</v>
      </c>
      <c r="N65" s="18" t="s">
        <v>175</v>
      </c>
      <c r="O65" s="18" t="s">
        <v>175</v>
      </c>
      <c r="P65" s="18" t="s">
        <v>175</v>
      </c>
      <c r="Q65" s="18" t="s">
        <v>175</v>
      </c>
      <c r="R65" s="18" t="s">
        <v>175</v>
      </c>
      <c r="S65" s="18" t="s">
        <v>175</v>
      </c>
      <c r="T65" s="18" t="s">
        <v>175</v>
      </c>
    </row>
    <row r="66" spans="1:21" ht="48.75" customHeight="1">
      <c r="A66" s="10" t="s">
        <v>179</v>
      </c>
      <c r="B66" s="154" t="s">
        <v>292</v>
      </c>
      <c r="C66" s="155">
        <f>1117061.86</f>
        <v>1117061.8600000001</v>
      </c>
      <c r="D66" s="11">
        <f>1625820.8</f>
        <v>1625820.8</v>
      </c>
      <c r="E66" s="11">
        <f>3043760</f>
        <v>3043760</v>
      </c>
      <c r="F66" s="12">
        <f>3017230</f>
        <v>3017230</v>
      </c>
      <c r="G66" s="13">
        <f>1760195</f>
        <v>1760195</v>
      </c>
      <c r="H66" s="14">
        <f>1676565</f>
        <v>1676565</v>
      </c>
      <c r="I66" s="14">
        <f>1022437</f>
        <v>1022437</v>
      </c>
      <c r="J66" s="14">
        <f>903540</f>
        <v>903540</v>
      </c>
      <c r="K66" s="14">
        <f>0</f>
        <v>0</v>
      </c>
      <c r="L66" s="14">
        <f>0</f>
        <v>0</v>
      </c>
      <c r="M66" s="14">
        <f>0</f>
        <v>0</v>
      </c>
      <c r="N66" s="14">
        <f>0</f>
        <v>0</v>
      </c>
      <c r="O66" s="14">
        <f>0</f>
        <v>0</v>
      </c>
      <c r="P66" s="14">
        <f>0</f>
        <v>0</v>
      </c>
      <c r="Q66" s="14">
        <f>0</f>
        <v>0</v>
      </c>
      <c r="R66" s="14">
        <f>0</f>
        <v>0</v>
      </c>
      <c r="S66" s="14">
        <f>0</f>
        <v>0</v>
      </c>
      <c r="T66" s="14">
        <f>0</f>
        <v>0</v>
      </c>
    </row>
    <row r="67" spans="1:21" ht="72.75" customHeight="1">
      <c r="A67" s="10" t="s">
        <v>293</v>
      </c>
      <c r="B67" s="156" t="s">
        <v>294</v>
      </c>
      <c r="C67" s="155">
        <f>1117061.86</f>
        <v>1117061.8600000001</v>
      </c>
      <c r="D67" s="11">
        <f>1625820.8</f>
        <v>1625820.8</v>
      </c>
      <c r="E67" s="11">
        <f>3043760</f>
        <v>3043760</v>
      </c>
      <c r="F67" s="12">
        <f>3017230</f>
        <v>3017230</v>
      </c>
      <c r="G67" s="13">
        <f>1760195</f>
        <v>1760195</v>
      </c>
      <c r="H67" s="14">
        <f>1676565</f>
        <v>1676565</v>
      </c>
      <c r="I67" s="14">
        <f>1022437</f>
        <v>1022437</v>
      </c>
      <c r="J67" s="14">
        <f>0</f>
        <v>0</v>
      </c>
      <c r="K67" s="14">
        <f>0</f>
        <v>0</v>
      </c>
      <c r="L67" s="14">
        <f>0</f>
        <v>0</v>
      </c>
      <c r="M67" s="14">
        <f>0</f>
        <v>0</v>
      </c>
      <c r="N67" s="14">
        <f>0</f>
        <v>0</v>
      </c>
      <c r="O67" s="14">
        <f>0</f>
        <v>0</v>
      </c>
      <c r="P67" s="14">
        <f>0</f>
        <v>0</v>
      </c>
      <c r="Q67" s="14">
        <f>0</f>
        <v>0</v>
      </c>
      <c r="R67" s="14">
        <f>0</f>
        <v>0</v>
      </c>
      <c r="S67" s="14">
        <f>0</f>
        <v>0</v>
      </c>
      <c r="T67" s="14">
        <f>0</f>
        <v>0</v>
      </c>
    </row>
    <row r="68" spans="1:21" ht="34.5" customHeight="1">
      <c r="A68" s="10" t="s">
        <v>295</v>
      </c>
      <c r="B68" s="157" t="s">
        <v>296</v>
      </c>
      <c r="C68" s="155">
        <f>1117061.86</f>
        <v>1117061.8600000001</v>
      </c>
      <c r="D68" s="11">
        <f>1560662.78</f>
        <v>1560662.78</v>
      </c>
      <c r="E68" s="11">
        <f>2822279</f>
        <v>2822279</v>
      </c>
      <c r="F68" s="12">
        <f>2797264</f>
        <v>2797264</v>
      </c>
      <c r="G68" s="13">
        <f>1555693</f>
        <v>1555693</v>
      </c>
      <c r="H68" s="14">
        <f>1642153</f>
        <v>1642153</v>
      </c>
      <c r="I68" s="14">
        <f>1009621</f>
        <v>1009621</v>
      </c>
      <c r="J68" s="14">
        <f>0</f>
        <v>0</v>
      </c>
      <c r="K68" s="14">
        <f>0</f>
        <v>0</v>
      </c>
      <c r="L68" s="14">
        <f>0</f>
        <v>0</v>
      </c>
      <c r="M68" s="14">
        <f>0</f>
        <v>0</v>
      </c>
      <c r="N68" s="14">
        <f>0</f>
        <v>0</v>
      </c>
      <c r="O68" s="14">
        <f>0</f>
        <v>0</v>
      </c>
      <c r="P68" s="14">
        <f>0</f>
        <v>0</v>
      </c>
      <c r="Q68" s="14">
        <f>0</f>
        <v>0</v>
      </c>
      <c r="R68" s="14">
        <f>0</f>
        <v>0</v>
      </c>
      <c r="S68" s="14">
        <f>0</f>
        <v>0</v>
      </c>
      <c r="T68" s="14">
        <f>0</f>
        <v>0</v>
      </c>
      <c r="U68" s="187"/>
    </row>
    <row r="69" spans="1:21" ht="57" customHeight="1">
      <c r="A69" s="10" t="s">
        <v>180</v>
      </c>
      <c r="B69" s="154" t="s">
        <v>297</v>
      </c>
      <c r="C69" s="155">
        <f>181441</f>
        <v>181441</v>
      </c>
      <c r="D69" s="11">
        <f>586344.48</f>
        <v>586344.48</v>
      </c>
      <c r="E69" s="11">
        <f>0</f>
        <v>0</v>
      </c>
      <c r="F69" s="12">
        <f>0</f>
        <v>0</v>
      </c>
      <c r="G69" s="13">
        <f>0</f>
        <v>0</v>
      </c>
      <c r="H69" s="14">
        <f>0</f>
        <v>0</v>
      </c>
      <c r="I69" s="14">
        <f>0</f>
        <v>0</v>
      </c>
      <c r="J69" s="14">
        <f>0</f>
        <v>0</v>
      </c>
      <c r="K69" s="14">
        <f>0</f>
        <v>0</v>
      </c>
      <c r="L69" s="14">
        <f>0</f>
        <v>0</v>
      </c>
      <c r="M69" s="14">
        <f>0</f>
        <v>0</v>
      </c>
      <c r="N69" s="14">
        <f>0</f>
        <v>0</v>
      </c>
      <c r="O69" s="14">
        <f>0</f>
        <v>0</v>
      </c>
      <c r="P69" s="14">
        <f>0</f>
        <v>0</v>
      </c>
      <c r="Q69" s="14">
        <f>0</f>
        <v>0</v>
      </c>
      <c r="R69" s="14">
        <f>0</f>
        <v>0</v>
      </c>
      <c r="S69" s="14">
        <f>0</f>
        <v>0</v>
      </c>
      <c r="T69" s="14">
        <f>0</f>
        <v>0</v>
      </c>
    </row>
    <row r="70" spans="1:21" ht="57" customHeight="1">
      <c r="A70" s="10" t="s">
        <v>298</v>
      </c>
      <c r="B70" s="156" t="s">
        <v>299</v>
      </c>
      <c r="C70" s="155">
        <f>181441</f>
        <v>181441</v>
      </c>
      <c r="D70" s="11">
        <f>586344.48</f>
        <v>586344.48</v>
      </c>
      <c r="E70" s="11">
        <f>0</f>
        <v>0</v>
      </c>
      <c r="F70" s="12">
        <f>0</f>
        <v>0</v>
      </c>
      <c r="G70" s="13">
        <f>0</f>
        <v>0</v>
      </c>
      <c r="H70" s="14">
        <f>0</f>
        <v>0</v>
      </c>
      <c r="I70" s="14">
        <f>0</f>
        <v>0</v>
      </c>
      <c r="J70" s="14">
        <f>0</f>
        <v>0</v>
      </c>
      <c r="K70" s="14">
        <f>0</f>
        <v>0</v>
      </c>
      <c r="L70" s="14">
        <f>0</f>
        <v>0</v>
      </c>
      <c r="M70" s="14">
        <f>0</f>
        <v>0</v>
      </c>
      <c r="N70" s="14">
        <f>0</f>
        <v>0</v>
      </c>
      <c r="O70" s="14">
        <f>0</f>
        <v>0</v>
      </c>
      <c r="P70" s="14">
        <f>0</f>
        <v>0</v>
      </c>
      <c r="Q70" s="14">
        <f>0</f>
        <v>0</v>
      </c>
      <c r="R70" s="14">
        <f>0</f>
        <v>0</v>
      </c>
      <c r="S70" s="14">
        <f>0</f>
        <v>0</v>
      </c>
      <c r="T70" s="14">
        <f>0</f>
        <v>0</v>
      </c>
    </row>
    <row r="71" spans="1:21" ht="35.25" customHeight="1">
      <c r="A71" s="10" t="s">
        <v>300</v>
      </c>
      <c r="B71" s="157" t="s">
        <v>296</v>
      </c>
      <c r="C71" s="155">
        <f>1120</f>
        <v>1120</v>
      </c>
      <c r="D71" s="11">
        <f>586344.48</f>
        <v>586344.48</v>
      </c>
      <c r="E71" s="11">
        <f>0</f>
        <v>0</v>
      </c>
      <c r="F71" s="12">
        <f>0</f>
        <v>0</v>
      </c>
      <c r="G71" s="13">
        <f>0</f>
        <v>0</v>
      </c>
      <c r="H71" s="14">
        <f>0</f>
        <v>0</v>
      </c>
      <c r="I71" s="14">
        <f>0</f>
        <v>0</v>
      </c>
      <c r="J71" s="14">
        <f>0</f>
        <v>0</v>
      </c>
      <c r="K71" s="14">
        <f>0</f>
        <v>0</v>
      </c>
      <c r="L71" s="14">
        <f>0</f>
        <v>0</v>
      </c>
      <c r="M71" s="14">
        <f>0</f>
        <v>0</v>
      </c>
      <c r="N71" s="14">
        <f>0</f>
        <v>0</v>
      </c>
      <c r="O71" s="14">
        <f>0</f>
        <v>0</v>
      </c>
      <c r="P71" s="14">
        <f>0</f>
        <v>0</v>
      </c>
      <c r="Q71" s="14">
        <f>0</f>
        <v>0</v>
      </c>
      <c r="R71" s="14">
        <f>0</f>
        <v>0</v>
      </c>
      <c r="S71" s="14">
        <f>0</f>
        <v>0</v>
      </c>
      <c r="T71" s="14">
        <f>0</f>
        <v>0</v>
      </c>
    </row>
    <row r="72" spans="1:21" ht="48" customHeight="1">
      <c r="A72" s="10" t="s">
        <v>181</v>
      </c>
      <c r="B72" s="154" t="s">
        <v>195</v>
      </c>
      <c r="C72" s="155">
        <f>1214289.48</f>
        <v>1214289.48</v>
      </c>
      <c r="D72" s="11">
        <f>1441015.01</f>
        <v>1441015.01</v>
      </c>
      <c r="E72" s="11">
        <f>3264599</f>
        <v>3264599</v>
      </c>
      <c r="F72" s="12">
        <f>3243673</f>
        <v>3243673</v>
      </c>
      <c r="G72" s="13">
        <f>2965153</f>
        <v>2965153</v>
      </c>
      <c r="H72" s="14">
        <f>1729285</f>
        <v>1729285</v>
      </c>
      <c r="I72" s="14">
        <f>1022437</f>
        <v>1022437</v>
      </c>
      <c r="J72" s="14">
        <f>903540</f>
        <v>903540</v>
      </c>
      <c r="K72" s="14">
        <f>0</f>
        <v>0</v>
      </c>
      <c r="L72" s="14">
        <f>0</f>
        <v>0</v>
      </c>
      <c r="M72" s="14">
        <f>0</f>
        <v>0</v>
      </c>
      <c r="N72" s="14">
        <f>0</f>
        <v>0</v>
      </c>
      <c r="O72" s="14">
        <f>0</f>
        <v>0</v>
      </c>
      <c r="P72" s="14">
        <f>0</f>
        <v>0</v>
      </c>
      <c r="Q72" s="14">
        <f>0</f>
        <v>0</v>
      </c>
      <c r="R72" s="14">
        <f>0</f>
        <v>0</v>
      </c>
      <c r="S72" s="14">
        <f>0</f>
        <v>0</v>
      </c>
      <c r="T72" s="14">
        <f>0</f>
        <v>0</v>
      </c>
    </row>
    <row r="73" spans="1:21" ht="60.75" customHeight="1">
      <c r="A73" s="10" t="s">
        <v>301</v>
      </c>
      <c r="B73" s="156" t="s">
        <v>302</v>
      </c>
      <c r="C73" s="155">
        <f>1214289.48</f>
        <v>1214289.48</v>
      </c>
      <c r="D73" s="11">
        <f>1441015.01</f>
        <v>1441015.01</v>
      </c>
      <c r="E73" s="11">
        <f>3264599</f>
        <v>3264599</v>
      </c>
      <c r="F73" s="12">
        <f>3243673</f>
        <v>3243673</v>
      </c>
      <c r="G73" s="13">
        <f>2965153</f>
        <v>2965153</v>
      </c>
      <c r="H73" s="14">
        <f>1729285</f>
        <v>1729285</v>
      </c>
      <c r="I73" s="14">
        <f>1022437</f>
        <v>1022437</v>
      </c>
      <c r="J73" s="14">
        <f>0</f>
        <v>0</v>
      </c>
      <c r="K73" s="14">
        <f>0</f>
        <v>0</v>
      </c>
      <c r="L73" s="14">
        <f>0</f>
        <v>0</v>
      </c>
      <c r="M73" s="14">
        <f>0</f>
        <v>0</v>
      </c>
      <c r="N73" s="14">
        <f>0</f>
        <v>0</v>
      </c>
      <c r="O73" s="14">
        <f>0</f>
        <v>0</v>
      </c>
      <c r="P73" s="14">
        <f>0</f>
        <v>0</v>
      </c>
      <c r="Q73" s="14">
        <f>0</f>
        <v>0</v>
      </c>
      <c r="R73" s="14">
        <f>0</f>
        <v>0</v>
      </c>
      <c r="S73" s="14">
        <f>0</f>
        <v>0</v>
      </c>
      <c r="T73" s="14">
        <f>0</f>
        <v>0</v>
      </c>
    </row>
    <row r="74" spans="1:21" ht="37.5" customHeight="1">
      <c r="A74" s="10" t="s">
        <v>303</v>
      </c>
      <c r="B74" s="157" t="s">
        <v>304</v>
      </c>
      <c r="C74" s="155">
        <f>1117060.7</f>
        <v>1117060.7</v>
      </c>
      <c r="D74" s="11">
        <f>1322318.02</f>
        <v>1322318.02</v>
      </c>
      <c r="E74" s="11">
        <f>2929006</f>
        <v>2929006</v>
      </c>
      <c r="F74" s="12">
        <f>2909275</f>
        <v>2909275</v>
      </c>
      <c r="G74" s="13">
        <f>2584555</f>
        <v>2584555</v>
      </c>
      <c r="H74" s="14">
        <f>738612</f>
        <v>738612</v>
      </c>
      <c r="I74" s="14">
        <f>106080</f>
        <v>106080</v>
      </c>
      <c r="J74" s="14">
        <f>0</f>
        <v>0</v>
      </c>
      <c r="K74" s="14">
        <f>0</f>
        <v>0</v>
      </c>
      <c r="L74" s="14">
        <f>0</f>
        <v>0</v>
      </c>
      <c r="M74" s="14">
        <f>0</f>
        <v>0</v>
      </c>
      <c r="N74" s="14">
        <f>0</f>
        <v>0</v>
      </c>
      <c r="O74" s="14">
        <f>0</f>
        <v>0</v>
      </c>
      <c r="P74" s="14">
        <f>0</f>
        <v>0</v>
      </c>
      <c r="Q74" s="14">
        <f>0</f>
        <v>0</v>
      </c>
      <c r="R74" s="14">
        <f>0</f>
        <v>0</v>
      </c>
      <c r="S74" s="14">
        <f>0</f>
        <v>0</v>
      </c>
      <c r="T74" s="14">
        <f>0</f>
        <v>0</v>
      </c>
    </row>
    <row r="75" spans="1:21" ht="51" customHeight="1">
      <c r="A75" s="10" t="s">
        <v>183</v>
      </c>
      <c r="B75" s="154" t="s">
        <v>196</v>
      </c>
      <c r="C75" s="155">
        <f>861627.63</f>
        <v>861627.63</v>
      </c>
      <c r="D75" s="11">
        <f>204170.41</f>
        <v>204170.41</v>
      </c>
      <c r="E75" s="11">
        <f>70572</f>
        <v>70572</v>
      </c>
      <c r="F75" s="12">
        <f>80330</f>
        <v>80330</v>
      </c>
      <c r="G75" s="13">
        <f>0</f>
        <v>0</v>
      </c>
      <c r="H75" s="14">
        <f>0</f>
        <v>0</v>
      </c>
      <c r="I75" s="14">
        <f>0</f>
        <v>0</v>
      </c>
      <c r="J75" s="14">
        <f>0</f>
        <v>0</v>
      </c>
      <c r="K75" s="14">
        <f>0</f>
        <v>0</v>
      </c>
      <c r="L75" s="14">
        <f>0</f>
        <v>0</v>
      </c>
      <c r="M75" s="14">
        <f>0</f>
        <v>0</v>
      </c>
      <c r="N75" s="14">
        <f>0</f>
        <v>0</v>
      </c>
      <c r="O75" s="14">
        <f>0</f>
        <v>0</v>
      </c>
      <c r="P75" s="14">
        <f>0</f>
        <v>0</v>
      </c>
      <c r="Q75" s="14">
        <f>0</f>
        <v>0</v>
      </c>
      <c r="R75" s="14">
        <f>0</f>
        <v>0</v>
      </c>
      <c r="S75" s="14">
        <f>0</f>
        <v>0</v>
      </c>
      <c r="T75" s="14">
        <f>0</f>
        <v>0</v>
      </c>
    </row>
    <row r="76" spans="1:21" ht="61.5" customHeight="1">
      <c r="A76" s="10" t="s">
        <v>305</v>
      </c>
      <c r="B76" s="156" t="s">
        <v>306</v>
      </c>
      <c r="C76" s="155">
        <f>861627.63</f>
        <v>861627.63</v>
      </c>
      <c r="D76" s="11">
        <f>204170.41</f>
        <v>204170.41</v>
      </c>
      <c r="E76" s="11">
        <f>70572</f>
        <v>70572</v>
      </c>
      <c r="F76" s="12">
        <f>80330</f>
        <v>80330</v>
      </c>
      <c r="G76" s="13">
        <f>0</f>
        <v>0</v>
      </c>
      <c r="H76" s="14">
        <f>0</f>
        <v>0</v>
      </c>
      <c r="I76" s="14">
        <f>0</f>
        <v>0</v>
      </c>
      <c r="J76" s="14">
        <f>0</f>
        <v>0</v>
      </c>
      <c r="K76" s="14">
        <f>0</f>
        <v>0</v>
      </c>
      <c r="L76" s="14">
        <f>0</f>
        <v>0</v>
      </c>
      <c r="M76" s="14">
        <f>0</f>
        <v>0</v>
      </c>
      <c r="N76" s="14">
        <f>0</f>
        <v>0</v>
      </c>
      <c r="O76" s="14">
        <f>0</f>
        <v>0</v>
      </c>
      <c r="P76" s="14">
        <f>0</f>
        <v>0</v>
      </c>
      <c r="Q76" s="14">
        <f>0</f>
        <v>0</v>
      </c>
      <c r="R76" s="14">
        <f>0</f>
        <v>0</v>
      </c>
      <c r="S76" s="14">
        <f>0</f>
        <v>0</v>
      </c>
      <c r="T76" s="14">
        <f>0</f>
        <v>0</v>
      </c>
    </row>
    <row r="77" spans="1:21" ht="37.5" customHeight="1">
      <c r="A77" s="10" t="s">
        <v>307</v>
      </c>
      <c r="B77" s="157" t="s">
        <v>304</v>
      </c>
      <c r="C77" s="155">
        <f>586344.48</f>
        <v>586344.48</v>
      </c>
      <c r="D77" s="11">
        <f>0</f>
        <v>0</v>
      </c>
      <c r="E77" s="11">
        <f>0</f>
        <v>0</v>
      </c>
      <c r="F77" s="12">
        <f>0</f>
        <v>0</v>
      </c>
      <c r="G77" s="13">
        <f>0</f>
        <v>0</v>
      </c>
      <c r="H77" s="14">
        <f>0</f>
        <v>0</v>
      </c>
      <c r="I77" s="14">
        <f>0</f>
        <v>0</v>
      </c>
      <c r="J77" s="14">
        <f>0</f>
        <v>0</v>
      </c>
      <c r="K77" s="14">
        <f>0</f>
        <v>0</v>
      </c>
      <c r="L77" s="14">
        <f>0</f>
        <v>0</v>
      </c>
      <c r="M77" s="14">
        <f>0</f>
        <v>0</v>
      </c>
      <c r="N77" s="14">
        <f>0</f>
        <v>0</v>
      </c>
      <c r="O77" s="14">
        <f>0</f>
        <v>0</v>
      </c>
      <c r="P77" s="14">
        <f>0</f>
        <v>0</v>
      </c>
      <c r="Q77" s="14">
        <f>0</f>
        <v>0</v>
      </c>
      <c r="R77" s="14">
        <f>0</f>
        <v>0</v>
      </c>
      <c r="S77" s="14">
        <f>0</f>
        <v>0</v>
      </c>
      <c r="T77" s="14">
        <f>0</f>
        <v>0</v>
      </c>
    </row>
    <row r="78" spans="1:21" ht="37.5" customHeight="1">
      <c r="A78" s="5">
        <v>10</v>
      </c>
      <c r="B78" s="158" t="s">
        <v>308</v>
      </c>
      <c r="C78" s="162" t="s">
        <v>175</v>
      </c>
      <c r="D78" s="15" t="s">
        <v>175</v>
      </c>
      <c r="E78" s="15" t="s">
        <v>175</v>
      </c>
      <c r="F78" s="16" t="s">
        <v>175</v>
      </c>
      <c r="G78" s="17" t="s">
        <v>175</v>
      </c>
      <c r="H78" s="18" t="s">
        <v>175</v>
      </c>
      <c r="I78" s="18" t="s">
        <v>175</v>
      </c>
      <c r="J78" s="18" t="s">
        <v>175</v>
      </c>
      <c r="K78" s="18" t="s">
        <v>175</v>
      </c>
      <c r="L78" s="18" t="s">
        <v>175</v>
      </c>
      <c r="M78" s="18" t="s">
        <v>175</v>
      </c>
      <c r="N78" s="18" t="s">
        <v>175</v>
      </c>
      <c r="O78" s="18" t="s">
        <v>175</v>
      </c>
      <c r="P78" s="18" t="s">
        <v>175</v>
      </c>
      <c r="Q78" s="18" t="s">
        <v>175</v>
      </c>
      <c r="R78" s="18" t="s">
        <v>175</v>
      </c>
      <c r="S78" s="18" t="s">
        <v>175</v>
      </c>
      <c r="T78" s="18" t="s">
        <v>175</v>
      </c>
    </row>
    <row r="79" spans="1:21" ht="35.25" customHeight="1">
      <c r="A79" s="10" t="s">
        <v>186</v>
      </c>
      <c r="B79" s="171" t="s">
        <v>309</v>
      </c>
      <c r="C79" s="155">
        <f>19651893.88</f>
        <v>19651893.879999999</v>
      </c>
      <c r="D79" s="11">
        <f>28121021.88</f>
        <v>28121021.879999999</v>
      </c>
      <c r="E79" s="11">
        <f>19307832</f>
        <v>19307832</v>
      </c>
      <c r="F79" s="12">
        <f>19307832</f>
        <v>19307832</v>
      </c>
      <c r="G79" s="13">
        <f>20319849</f>
        <v>20319849</v>
      </c>
      <c r="H79" s="14">
        <f>16785433</f>
        <v>16785433</v>
      </c>
      <c r="I79" s="14">
        <f>14852437</f>
        <v>14852437</v>
      </c>
      <c r="J79" s="14">
        <f>11763540</f>
        <v>11763540</v>
      </c>
      <c r="K79" s="14">
        <f>11590000</f>
        <v>11590000</v>
      </c>
      <c r="L79" s="14">
        <f>6050000</f>
        <v>6050000</v>
      </c>
      <c r="M79" s="14">
        <f>950000</f>
        <v>950000</v>
      </c>
      <c r="N79" s="14">
        <f>1050000</f>
        <v>1050000</v>
      </c>
      <c r="O79" s="14">
        <f>700000</f>
        <v>700000</v>
      </c>
      <c r="P79" s="14">
        <f>0</f>
        <v>0</v>
      </c>
      <c r="Q79" s="14">
        <f>0</f>
        <v>0</v>
      </c>
      <c r="R79" s="14">
        <f>0</f>
        <v>0</v>
      </c>
      <c r="S79" s="14">
        <f>0</f>
        <v>0</v>
      </c>
      <c r="T79" s="14">
        <f>0</f>
        <v>0</v>
      </c>
    </row>
    <row r="80" spans="1:21" ht="18" customHeight="1">
      <c r="A80" s="10" t="s">
        <v>310</v>
      </c>
      <c r="B80" s="156" t="s">
        <v>189</v>
      </c>
      <c r="C80" s="155">
        <f>1317922.84</f>
        <v>1317922.8400000001</v>
      </c>
      <c r="D80" s="11">
        <f>1763345.01</f>
        <v>1763345.01</v>
      </c>
      <c r="E80" s="11">
        <f>3647747</f>
        <v>3647747</v>
      </c>
      <c r="F80" s="12">
        <f>3647747</f>
        <v>3647747</v>
      </c>
      <c r="G80" s="13">
        <f>3349568</f>
        <v>3349568</v>
      </c>
      <c r="H80" s="14">
        <f>2215433</f>
        <v>2215433</v>
      </c>
      <c r="I80" s="14">
        <f>1132437</f>
        <v>1132437</v>
      </c>
      <c r="J80" s="14">
        <f>903540</f>
        <v>903540</v>
      </c>
      <c r="K80" s="14">
        <f>0</f>
        <v>0</v>
      </c>
      <c r="L80" s="14">
        <f>0</f>
        <v>0</v>
      </c>
      <c r="M80" s="14">
        <f>0</f>
        <v>0</v>
      </c>
      <c r="N80" s="14">
        <f>0</f>
        <v>0</v>
      </c>
      <c r="O80" s="14">
        <f>0</f>
        <v>0</v>
      </c>
      <c r="P80" s="14">
        <f>0</f>
        <v>0</v>
      </c>
      <c r="Q80" s="14">
        <f>0</f>
        <v>0</v>
      </c>
      <c r="R80" s="14">
        <f>0</f>
        <v>0</v>
      </c>
      <c r="S80" s="14">
        <f>0</f>
        <v>0</v>
      </c>
      <c r="T80" s="14">
        <f>0</f>
        <v>0</v>
      </c>
    </row>
    <row r="81" spans="1:21" ht="18" customHeight="1">
      <c r="A81" s="10" t="s">
        <v>311</v>
      </c>
      <c r="B81" s="156" t="s">
        <v>190</v>
      </c>
      <c r="C81" s="155">
        <f>18333971.04</f>
        <v>18333971.039999999</v>
      </c>
      <c r="D81" s="11">
        <f>26357676.87</f>
        <v>26357676.870000001</v>
      </c>
      <c r="E81" s="11">
        <f>15660085</f>
        <v>15660085</v>
      </c>
      <c r="F81" s="12">
        <f>15660085</f>
        <v>15660085</v>
      </c>
      <c r="G81" s="13">
        <f>16970281</f>
        <v>16970281</v>
      </c>
      <c r="H81" s="14">
        <f>14570000</f>
        <v>14570000</v>
      </c>
      <c r="I81" s="14">
        <f>13720000</f>
        <v>13720000</v>
      </c>
      <c r="J81" s="14">
        <f>10860000</f>
        <v>10860000</v>
      </c>
      <c r="K81" s="14">
        <f>11590000</f>
        <v>11590000</v>
      </c>
      <c r="L81" s="14">
        <f>6050000</f>
        <v>6050000</v>
      </c>
      <c r="M81" s="14">
        <f>950000</f>
        <v>950000</v>
      </c>
      <c r="N81" s="14">
        <f>1050000</f>
        <v>1050000</v>
      </c>
      <c r="O81" s="14">
        <f>700000</f>
        <v>700000</v>
      </c>
      <c r="P81" s="14">
        <f>0</f>
        <v>0</v>
      </c>
      <c r="Q81" s="14">
        <f>0</f>
        <v>0</v>
      </c>
      <c r="R81" s="14">
        <f>0</f>
        <v>0</v>
      </c>
      <c r="S81" s="14">
        <f>0</f>
        <v>0</v>
      </c>
      <c r="T81" s="14">
        <f>0</f>
        <v>0</v>
      </c>
    </row>
    <row r="82" spans="1:21" ht="51" customHeight="1">
      <c r="A82" s="10" t="s">
        <v>312</v>
      </c>
      <c r="B82" s="154" t="s">
        <v>197</v>
      </c>
      <c r="C82" s="155">
        <f>0</f>
        <v>0</v>
      </c>
      <c r="D82" s="11">
        <f>0</f>
        <v>0</v>
      </c>
      <c r="E82" s="11">
        <f>0</f>
        <v>0</v>
      </c>
      <c r="F82" s="12">
        <f>0</f>
        <v>0</v>
      </c>
      <c r="G82" s="13">
        <f>0</f>
        <v>0</v>
      </c>
      <c r="H82" s="14">
        <f>0</f>
        <v>0</v>
      </c>
      <c r="I82" s="14">
        <f>0</f>
        <v>0</v>
      </c>
      <c r="J82" s="14">
        <f>0</f>
        <v>0</v>
      </c>
      <c r="K82" s="14">
        <f>0</f>
        <v>0</v>
      </c>
      <c r="L82" s="14">
        <f>0</f>
        <v>0</v>
      </c>
      <c r="M82" s="14">
        <f>0</f>
        <v>0</v>
      </c>
      <c r="N82" s="14">
        <f>0</f>
        <v>0</v>
      </c>
      <c r="O82" s="14">
        <f>0</f>
        <v>0</v>
      </c>
      <c r="P82" s="14">
        <f>0</f>
        <v>0</v>
      </c>
      <c r="Q82" s="14">
        <f>0</f>
        <v>0</v>
      </c>
      <c r="R82" s="14">
        <f>0</f>
        <v>0</v>
      </c>
      <c r="S82" s="14">
        <f>0</f>
        <v>0</v>
      </c>
      <c r="T82" s="14">
        <f>0</f>
        <v>0</v>
      </c>
    </row>
    <row r="83" spans="1:21" ht="66.75" customHeight="1">
      <c r="A83" s="10" t="s">
        <v>313</v>
      </c>
      <c r="B83" s="154" t="s">
        <v>314</v>
      </c>
      <c r="C83" s="155">
        <f>654761.88</f>
        <v>654761.88</v>
      </c>
      <c r="D83" s="11">
        <f>654761.88</f>
        <v>654761.88</v>
      </c>
      <c r="E83" s="11">
        <f>654762</f>
        <v>654762</v>
      </c>
      <c r="F83" s="12">
        <f>654762</f>
        <v>654762</v>
      </c>
      <c r="G83" s="13">
        <f>654762</f>
        <v>654762</v>
      </c>
      <c r="H83" s="14">
        <f>654762</f>
        <v>654762</v>
      </c>
      <c r="I83" s="14">
        <f>0</f>
        <v>0</v>
      </c>
      <c r="J83" s="14">
        <f>0</f>
        <v>0</v>
      </c>
      <c r="K83" s="14">
        <f>0</f>
        <v>0</v>
      </c>
      <c r="L83" s="14">
        <f>0</f>
        <v>0</v>
      </c>
      <c r="M83" s="14">
        <f>0</f>
        <v>0</v>
      </c>
      <c r="N83" s="14">
        <f>0</f>
        <v>0</v>
      </c>
      <c r="O83" s="14">
        <f>0</f>
        <v>0</v>
      </c>
      <c r="P83" s="14">
        <f>0</f>
        <v>0</v>
      </c>
      <c r="Q83" s="14">
        <f>0</f>
        <v>0</v>
      </c>
      <c r="R83" s="14">
        <f>0</f>
        <v>0</v>
      </c>
      <c r="S83" s="14">
        <f>0</f>
        <v>0</v>
      </c>
      <c r="T83" s="14">
        <f>0</f>
        <v>0</v>
      </c>
    </row>
    <row r="84" spans="1:21" ht="71.25" customHeight="1">
      <c r="A84" s="10" t="s">
        <v>315</v>
      </c>
      <c r="B84" s="154" t="s">
        <v>182</v>
      </c>
      <c r="C84" s="155">
        <f>0</f>
        <v>0</v>
      </c>
      <c r="D84" s="11">
        <f>0</f>
        <v>0</v>
      </c>
      <c r="E84" s="11">
        <f>0</f>
        <v>0</v>
      </c>
      <c r="F84" s="12">
        <f>0</f>
        <v>0</v>
      </c>
      <c r="G84" s="13">
        <f>0</f>
        <v>0</v>
      </c>
      <c r="H84" s="14">
        <f>0</f>
        <v>0</v>
      </c>
      <c r="I84" s="14">
        <f>0</f>
        <v>0</v>
      </c>
      <c r="J84" s="14">
        <f>0</f>
        <v>0</v>
      </c>
      <c r="K84" s="14">
        <f>0</f>
        <v>0</v>
      </c>
      <c r="L84" s="14">
        <f>0</f>
        <v>0</v>
      </c>
      <c r="M84" s="14">
        <f>0</f>
        <v>0</v>
      </c>
      <c r="N84" s="14">
        <f>0</f>
        <v>0</v>
      </c>
      <c r="O84" s="14">
        <f>0</f>
        <v>0</v>
      </c>
      <c r="P84" s="14">
        <f>0</f>
        <v>0</v>
      </c>
      <c r="Q84" s="14">
        <f>0</f>
        <v>0</v>
      </c>
      <c r="R84" s="14">
        <f>0</f>
        <v>0</v>
      </c>
      <c r="S84" s="14">
        <f>0</f>
        <v>0</v>
      </c>
      <c r="T84" s="14">
        <f>0</f>
        <v>0</v>
      </c>
    </row>
    <row r="85" spans="1:21" ht="71.25" customHeight="1">
      <c r="A85" s="10" t="s">
        <v>316</v>
      </c>
      <c r="B85" s="154" t="s">
        <v>317</v>
      </c>
      <c r="C85" s="155">
        <f>2619047.69</f>
        <v>2619047.69</v>
      </c>
      <c r="D85" s="11">
        <f>1964285.81</f>
        <v>1964285.81</v>
      </c>
      <c r="E85" s="11">
        <f>1309524</f>
        <v>1309524</v>
      </c>
      <c r="F85" s="12">
        <f>1309524</f>
        <v>1309524</v>
      </c>
      <c r="G85" s="13">
        <f>654762</f>
        <v>654762</v>
      </c>
      <c r="H85" s="14">
        <f>0</f>
        <v>0</v>
      </c>
      <c r="I85" s="14">
        <f>0</f>
        <v>0</v>
      </c>
      <c r="J85" s="14">
        <f>0</f>
        <v>0</v>
      </c>
      <c r="K85" s="14">
        <f>0</f>
        <v>0</v>
      </c>
      <c r="L85" s="14">
        <f>0</f>
        <v>0</v>
      </c>
      <c r="M85" s="14">
        <f>0</f>
        <v>0</v>
      </c>
      <c r="N85" s="14">
        <f>0</f>
        <v>0</v>
      </c>
      <c r="O85" s="14">
        <f>0</f>
        <v>0</v>
      </c>
      <c r="P85" s="14">
        <f>0</f>
        <v>0</v>
      </c>
      <c r="Q85" s="14">
        <f>0</f>
        <v>0</v>
      </c>
      <c r="R85" s="14">
        <f>0</f>
        <v>0</v>
      </c>
      <c r="S85" s="14">
        <f>0</f>
        <v>0</v>
      </c>
      <c r="T85" s="14">
        <f>0</f>
        <v>0</v>
      </c>
    </row>
    <row r="86" spans="1:21" ht="47.25" customHeight="1">
      <c r="A86" s="10" t="s">
        <v>318</v>
      </c>
      <c r="B86" s="154" t="s">
        <v>319</v>
      </c>
      <c r="C86" s="155">
        <f>6677276</f>
        <v>6677276</v>
      </c>
      <c r="D86" s="11">
        <f>6560935</f>
        <v>6560935</v>
      </c>
      <c r="E86" s="11">
        <f>5788270</f>
        <v>5788270</v>
      </c>
      <c r="F86" s="12">
        <f>5788270</f>
        <v>5788270</v>
      </c>
      <c r="G86" s="13">
        <f>5254612</f>
        <v>5254612</v>
      </c>
      <c r="H86" s="14">
        <f>4542000</f>
        <v>4542000</v>
      </c>
      <c r="I86" s="14">
        <f>4742000</f>
        <v>4742000</v>
      </c>
      <c r="J86" s="14">
        <f>4242000</f>
        <v>4242000</v>
      </c>
      <c r="K86" s="14">
        <f>4392000</f>
        <v>4392000</v>
      </c>
      <c r="L86" s="14">
        <f>4592000</f>
        <v>4592000</v>
      </c>
      <c r="M86" s="14">
        <f>4300000</f>
        <v>4300000</v>
      </c>
      <c r="N86" s="14">
        <f>4300000</f>
        <v>4300000</v>
      </c>
      <c r="O86" s="14">
        <f>4300000</f>
        <v>4300000</v>
      </c>
      <c r="P86" s="14">
        <f>3600000</f>
        <v>3600000</v>
      </c>
      <c r="Q86" s="14">
        <f>3000000</f>
        <v>3000000</v>
      </c>
      <c r="R86" s="14">
        <f>2900000</f>
        <v>2900000</v>
      </c>
      <c r="S86" s="14">
        <f>0</f>
        <v>0</v>
      </c>
      <c r="T86" s="14">
        <f>0</f>
        <v>0</v>
      </c>
    </row>
    <row r="87" spans="1:21" ht="20.25" customHeight="1">
      <c r="A87" s="10" t="s">
        <v>320</v>
      </c>
      <c r="B87" s="154" t="s">
        <v>321</v>
      </c>
      <c r="C87" s="155">
        <f>654761.88</f>
        <v>654761.88</v>
      </c>
      <c r="D87" s="11">
        <f>654761.88</f>
        <v>654761.88</v>
      </c>
      <c r="E87" s="11">
        <f>654762</f>
        <v>654762</v>
      </c>
      <c r="F87" s="12">
        <f>654762</f>
        <v>654762</v>
      </c>
      <c r="G87" s="13">
        <f>654762</f>
        <v>654762</v>
      </c>
      <c r="H87" s="14">
        <f>654762</f>
        <v>654762</v>
      </c>
      <c r="I87" s="14">
        <f>0</f>
        <v>0</v>
      </c>
      <c r="J87" s="14">
        <f>0</f>
        <v>0</v>
      </c>
      <c r="K87" s="14">
        <f>0</f>
        <v>0</v>
      </c>
      <c r="L87" s="14">
        <f>0</f>
        <v>0</v>
      </c>
      <c r="M87" s="14">
        <f>0</f>
        <v>0</v>
      </c>
      <c r="N87" s="14">
        <f>0</f>
        <v>0</v>
      </c>
      <c r="O87" s="14">
        <f>0</f>
        <v>0</v>
      </c>
      <c r="P87" s="14">
        <f>0</f>
        <v>0</v>
      </c>
      <c r="Q87" s="14">
        <f>0</f>
        <v>0</v>
      </c>
      <c r="R87" s="14">
        <f>0</f>
        <v>0</v>
      </c>
      <c r="S87" s="14">
        <f>0</f>
        <v>0</v>
      </c>
      <c r="T87" s="14">
        <f>0</f>
        <v>0</v>
      </c>
    </row>
    <row r="88" spans="1:21" ht="34.5" customHeight="1">
      <c r="A88" s="10" t="s">
        <v>322</v>
      </c>
      <c r="B88" s="156" t="s">
        <v>323</v>
      </c>
      <c r="C88" s="155">
        <f>0</f>
        <v>0</v>
      </c>
      <c r="D88" s="11">
        <f>0</f>
        <v>0</v>
      </c>
      <c r="E88" s="11">
        <f>0</f>
        <v>0</v>
      </c>
      <c r="F88" s="12">
        <f>0</f>
        <v>0</v>
      </c>
      <c r="G88" s="13">
        <f>0</f>
        <v>0</v>
      </c>
      <c r="H88" s="14">
        <f>0</f>
        <v>0</v>
      </c>
      <c r="I88" s="14">
        <f>0</f>
        <v>0</v>
      </c>
      <c r="J88" s="14">
        <f>0</f>
        <v>0</v>
      </c>
      <c r="K88" s="14">
        <f>0</f>
        <v>0</v>
      </c>
      <c r="L88" s="14">
        <f>0</f>
        <v>0</v>
      </c>
      <c r="M88" s="14">
        <f>0</f>
        <v>0</v>
      </c>
      <c r="N88" s="14">
        <f>0</f>
        <v>0</v>
      </c>
      <c r="O88" s="14">
        <f>0</f>
        <v>0</v>
      </c>
      <c r="P88" s="14">
        <f>0</f>
        <v>0</v>
      </c>
      <c r="Q88" s="14">
        <f>0</f>
        <v>0</v>
      </c>
      <c r="R88" s="14">
        <f>0</f>
        <v>0</v>
      </c>
      <c r="S88" s="14">
        <f>0</f>
        <v>0</v>
      </c>
      <c r="T88" s="14">
        <f>0</f>
        <v>0</v>
      </c>
    </row>
    <row r="89" spans="1:21" ht="39" customHeight="1">
      <c r="A89" s="10" t="s">
        <v>324</v>
      </c>
      <c r="B89" s="156" t="s">
        <v>325</v>
      </c>
      <c r="C89" s="155">
        <f>654761.88</f>
        <v>654761.88</v>
      </c>
      <c r="D89" s="11">
        <f>654761.88</f>
        <v>654761.88</v>
      </c>
      <c r="E89" s="11">
        <f>654762</f>
        <v>654762</v>
      </c>
      <c r="F89" s="12">
        <f>654762</f>
        <v>654762</v>
      </c>
      <c r="G89" s="13">
        <f>654762</f>
        <v>654762</v>
      </c>
      <c r="H89" s="14">
        <f>654762</f>
        <v>654762</v>
      </c>
      <c r="I89" s="14">
        <f>0</f>
        <v>0</v>
      </c>
      <c r="J89" s="14">
        <f>0</f>
        <v>0</v>
      </c>
      <c r="K89" s="14">
        <f>0</f>
        <v>0</v>
      </c>
      <c r="L89" s="14">
        <f>0</f>
        <v>0</v>
      </c>
      <c r="M89" s="14">
        <f>0</f>
        <v>0</v>
      </c>
      <c r="N89" s="14">
        <f>0</f>
        <v>0</v>
      </c>
      <c r="O89" s="14">
        <f>0</f>
        <v>0</v>
      </c>
      <c r="P89" s="14">
        <f>0</f>
        <v>0</v>
      </c>
      <c r="Q89" s="14">
        <f>0</f>
        <v>0</v>
      </c>
      <c r="R89" s="14">
        <f>0</f>
        <v>0</v>
      </c>
      <c r="S89" s="14">
        <f>0</f>
        <v>0</v>
      </c>
      <c r="T89" s="14">
        <f>0</f>
        <v>0</v>
      </c>
      <c r="U89" s="187"/>
    </row>
    <row r="90" spans="1:21" ht="34.5" customHeight="1">
      <c r="A90" s="10" t="s">
        <v>326</v>
      </c>
      <c r="B90" s="157" t="s">
        <v>327</v>
      </c>
      <c r="C90" s="155">
        <f>0</f>
        <v>0</v>
      </c>
      <c r="D90" s="11">
        <f>0</f>
        <v>0</v>
      </c>
      <c r="E90" s="11">
        <f>0</f>
        <v>0</v>
      </c>
      <c r="F90" s="12">
        <f>0</f>
        <v>0</v>
      </c>
      <c r="G90" s="13">
        <f>0</f>
        <v>0</v>
      </c>
      <c r="H90" s="14">
        <f>0</f>
        <v>0</v>
      </c>
      <c r="I90" s="14">
        <f>0</f>
        <v>0</v>
      </c>
      <c r="J90" s="14">
        <f>0</f>
        <v>0</v>
      </c>
      <c r="K90" s="14">
        <f>0</f>
        <v>0</v>
      </c>
      <c r="L90" s="14">
        <f>0</f>
        <v>0</v>
      </c>
      <c r="M90" s="14">
        <f>0</f>
        <v>0</v>
      </c>
      <c r="N90" s="14">
        <f>0</f>
        <v>0</v>
      </c>
      <c r="O90" s="14">
        <f>0</f>
        <v>0</v>
      </c>
      <c r="P90" s="14">
        <f>0</f>
        <v>0</v>
      </c>
      <c r="Q90" s="14">
        <f>0</f>
        <v>0</v>
      </c>
      <c r="R90" s="14">
        <f>0</f>
        <v>0</v>
      </c>
      <c r="S90" s="14">
        <f>0</f>
        <v>0</v>
      </c>
      <c r="T90" s="14">
        <f>0</f>
        <v>0</v>
      </c>
    </row>
    <row r="91" spans="1:21" ht="34.5" customHeight="1">
      <c r="A91" s="10" t="s">
        <v>328</v>
      </c>
      <c r="B91" s="160" t="s">
        <v>329</v>
      </c>
      <c r="C91" s="155">
        <f>0</f>
        <v>0</v>
      </c>
      <c r="D91" s="11">
        <f>0</f>
        <v>0</v>
      </c>
      <c r="E91" s="11">
        <f>0</f>
        <v>0</v>
      </c>
      <c r="F91" s="12">
        <f>0</f>
        <v>0</v>
      </c>
      <c r="G91" s="13">
        <f>0</f>
        <v>0</v>
      </c>
      <c r="H91" s="14">
        <f>0</f>
        <v>0</v>
      </c>
      <c r="I91" s="14">
        <f>0</f>
        <v>0</v>
      </c>
      <c r="J91" s="14">
        <f>0</f>
        <v>0</v>
      </c>
      <c r="K91" s="14">
        <f>0</f>
        <v>0</v>
      </c>
      <c r="L91" s="14">
        <f>0</f>
        <v>0</v>
      </c>
      <c r="M91" s="14">
        <f>0</f>
        <v>0</v>
      </c>
      <c r="N91" s="14">
        <f>0</f>
        <v>0</v>
      </c>
      <c r="O91" s="14">
        <f>0</f>
        <v>0</v>
      </c>
      <c r="P91" s="14">
        <f>0</f>
        <v>0</v>
      </c>
      <c r="Q91" s="14">
        <f>0</f>
        <v>0</v>
      </c>
      <c r="R91" s="14">
        <f>0</f>
        <v>0</v>
      </c>
      <c r="S91" s="14">
        <f>0</f>
        <v>0</v>
      </c>
      <c r="T91" s="14">
        <f>0</f>
        <v>0</v>
      </c>
    </row>
    <row r="92" spans="1:21" ht="39" customHeight="1">
      <c r="A92" s="10" t="s">
        <v>330</v>
      </c>
      <c r="B92" s="156" t="s">
        <v>198</v>
      </c>
      <c r="C92" s="155">
        <f>0</f>
        <v>0</v>
      </c>
      <c r="D92" s="11">
        <f>0</f>
        <v>0</v>
      </c>
      <c r="E92" s="11">
        <f>0</f>
        <v>0</v>
      </c>
      <c r="F92" s="12">
        <f>0</f>
        <v>0</v>
      </c>
      <c r="G92" s="13">
        <f>0</f>
        <v>0</v>
      </c>
      <c r="H92" s="14">
        <f>0</f>
        <v>0</v>
      </c>
      <c r="I92" s="14">
        <f>0</f>
        <v>0</v>
      </c>
      <c r="J92" s="14">
        <f>0</f>
        <v>0</v>
      </c>
      <c r="K92" s="14">
        <f>0</f>
        <v>0</v>
      </c>
      <c r="L92" s="14">
        <f>0</f>
        <v>0</v>
      </c>
      <c r="M92" s="14">
        <f>0</f>
        <v>0</v>
      </c>
      <c r="N92" s="14">
        <f>0</f>
        <v>0</v>
      </c>
      <c r="O92" s="14">
        <f>0</f>
        <v>0</v>
      </c>
      <c r="P92" s="14">
        <f>0</f>
        <v>0</v>
      </c>
      <c r="Q92" s="14">
        <f>0</f>
        <v>0</v>
      </c>
      <c r="R92" s="14">
        <f>0</f>
        <v>0</v>
      </c>
      <c r="S92" s="14">
        <f>0</f>
        <v>0</v>
      </c>
      <c r="T92" s="14">
        <f>0</f>
        <v>0</v>
      </c>
    </row>
    <row r="93" spans="1:21" ht="50.25" customHeight="1">
      <c r="A93" s="10" t="s">
        <v>331</v>
      </c>
      <c r="B93" s="154" t="s">
        <v>332</v>
      </c>
      <c r="C93" s="155">
        <f>0</f>
        <v>0</v>
      </c>
      <c r="D93" s="11">
        <f>0</f>
        <v>0</v>
      </c>
      <c r="E93" s="11">
        <f>0</f>
        <v>0</v>
      </c>
      <c r="F93" s="12">
        <f>0</f>
        <v>0</v>
      </c>
      <c r="G93" s="13">
        <f>0</f>
        <v>0</v>
      </c>
      <c r="H93" s="14">
        <f>0</f>
        <v>0</v>
      </c>
      <c r="I93" s="14">
        <f>0</f>
        <v>0</v>
      </c>
      <c r="J93" s="14">
        <f>0</f>
        <v>0</v>
      </c>
      <c r="K93" s="14">
        <f>0</f>
        <v>0</v>
      </c>
      <c r="L93" s="14">
        <f>0</f>
        <v>0</v>
      </c>
      <c r="M93" s="14">
        <f>0</f>
        <v>0</v>
      </c>
      <c r="N93" s="14">
        <f>0</f>
        <v>0</v>
      </c>
      <c r="O93" s="14">
        <f>0</f>
        <v>0</v>
      </c>
      <c r="P93" s="14">
        <f>0</f>
        <v>0</v>
      </c>
      <c r="Q93" s="14">
        <f>0</f>
        <v>0</v>
      </c>
      <c r="R93" s="14">
        <f>0</f>
        <v>0</v>
      </c>
      <c r="S93" s="14">
        <f>0</f>
        <v>0</v>
      </c>
      <c r="T93" s="14">
        <f>0</f>
        <v>0</v>
      </c>
    </row>
    <row r="94" spans="1:21" ht="44.25" customHeight="1">
      <c r="A94" s="10" t="s">
        <v>333</v>
      </c>
      <c r="B94" s="154" t="s">
        <v>334</v>
      </c>
      <c r="C94" s="155">
        <f>0</f>
        <v>0</v>
      </c>
      <c r="D94" s="11">
        <f>0</f>
        <v>0</v>
      </c>
      <c r="E94" s="11">
        <f>0</f>
        <v>0</v>
      </c>
      <c r="F94" s="12">
        <f>0</f>
        <v>0</v>
      </c>
      <c r="G94" s="13">
        <f>0</f>
        <v>0</v>
      </c>
      <c r="H94" s="14">
        <f>0</f>
        <v>0</v>
      </c>
      <c r="I94" s="14">
        <f>0</f>
        <v>0</v>
      </c>
      <c r="J94" s="14">
        <f>0</f>
        <v>0</v>
      </c>
      <c r="K94" s="14">
        <f>0</f>
        <v>0</v>
      </c>
      <c r="L94" s="14">
        <f>0</f>
        <v>0</v>
      </c>
      <c r="M94" s="14">
        <f>0</f>
        <v>0</v>
      </c>
      <c r="N94" s="14">
        <f>0</f>
        <v>0</v>
      </c>
      <c r="O94" s="14">
        <f>0</f>
        <v>0</v>
      </c>
      <c r="P94" s="14">
        <f>0</f>
        <v>0</v>
      </c>
      <c r="Q94" s="14">
        <f>0</f>
        <v>0</v>
      </c>
      <c r="R94" s="14">
        <f>0</f>
        <v>0</v>
      </c>
      <c r="S94" s="14">
        <f>0</f>
        <v>0</v>
      </c>
      <c r="T94" s="14">
        <f>0</f>
        <v>0</v>
      </c>
    </row>
    <row r="95" spans="1:21" ht="37.5" customHeight="1">
      <c r="A95" s="5">
        <v>11</v>
      </c>
      <c r="B95" s="158" t="s">
        <v>335</v>
      </c>
      <c r="C95" s="162" t="s">
        <v>175</v>
      </c>
      <c r="D95" s="15" t="s">
        <v>175</v>
      </c>
      <c r="E95" s="15" t="s">
        <v>175</v>
      </c>
      <c r="F95" s="16" t="s">
        <v>175</v>
      </c>
      <c r="G95" s="17" t="s">
        <v>175</v>
      </c>
      <c r="H95" s="18" t="s">
        <v>175</v>
      </c>
      <c r="I95" s="18" t="s">
        <v>175</v>
      </c>
      <c r="J95" s="18" t="s">
        <v>175</v>
      </c>
      <c r="K95" s="18" t="s">
        <v>175</v>
      </c>
      <c r="L95" s="18" t="s">
        <v>175</v>
      </c>
      <c r="M95" s="18" t="s">
        <v>175</v>
      </c>
      <c r="N95" s="18" t="s">
        <v>175</v>
      </c>
      <c r="O95" s="18" t="s">
        <v>175</v>
      </c>
      <c r="P95" s="18" t="s">
        <v>175</v>
      </c>
      <c r="Q95" s="18" t="s">
        <v>175</v>
      </c>
      <c r="R95" s="18" t="s">
        <v>175</v>
      </c>
      <c r="S95" s="18" t="s">
        <v>175</v>
      </c>
      <c r="T95" s="18" t="s">
        <v>175</v>
      </c>
    </row>
    <row r="96" spans="1:21" ht="33" customHeight="1">
      <c r="A96" s="10" t="s">
        <v>187</v>
      </c>
      <c r="B96" s="154" t="s">
        <v>336</v>
      </c>
      <c r="C96" s="155">
        <f>0</f>
        <v>0</v>
      </c>
      <c r="D96" s="11">
        <f>0</f>
        <v>0</v>
      </c>
      <c r="E96" s="11">
        <f>0</f>
        <v>0</v>
      </c>
      <c r="F96" s="12">
        <f>0</f>
        <v>0</v>
      </c>
      <c r="G96" s="13">
        <f>0</f>
        <v>0</v>
      </c>
      <c r="H96" s="14">
        <f>0</f>
        <v>0</v>
      </c>
      <c r="I96" s="14">
        <f>0</f>
        <v>0</v>
      </c>
      <c r="J96" s="14">
        <f>0</f>
        <v>0</v>
      </c>
      <c r="K96" s="14">
        <f>0</f>
        <v>0</v>
      </c>
      <c r="L96" s="14">
        <f>0</f>
        <v>0</v>
      </c>
      <c r="M96" s="14">
        <f>0</f>
        <v>0</v>
      </c>
      <c r="N96" s="14">
        <f>0</f>
        <v>0</v>
      </c>
      <c r="O96" s="14">
        <f>0</f>
        <v>0</v>
      </c>
      <c r="P96" s="14">
        <f>0</f>
        <v>0</v>
      </c>
      <c r="Q96" s="14">
        <f>0</f>
        <v>0</v>
      </c>
      <c r="R96" s="14">
        <f>0</f>
        <v>0</v>
      </c>
      <c r="S96" s="14">
        <f>0</f>
        <v>0</v>
      </c>
      <c r="T96" s="14">
        <f>0</f>
        <v>0</v>
      </c>
    </row>
    <row r="97" spans="1:21" ht="39" customHeight="1">
      <c r="A97" s="10" t="s">
        <v>337</v>
      </c>
      <c r="B97" s="156" t="s">
        <v>338</v>
      </c>
      <c r="C97" s="155">
        <f>0</f>
        <v>0</v>
      </c>
      <c r="D97" s="11">
        <f>0</f>
        <v>0</v>
      </c>
      <c r="E97" s="11">
        <f>0</f>
        <v>0</v>
      </c>
      <c r="F97" s="12">
        <f>0</f>
        <v>0</v>
      </c>
      <c r="G97" s="13">
        <f>0</f>
        <v>0</v>
      </c>
      <c r="H97" s="14">
        <f>0</f>
        <v>0</v>
      </c>
      <c r="I97" s="14">
        <f>0</f>
        <v>0</v>
      </c>
      <c r="J97" s="14">
        <f>0</f>
        <v>0</v>
      </c>
      <c r="K97" s="14">
        <f>0</f>
        <v>0</v>
      </c>
      <c r="L97" s="14">
        <f>0</f>
        <v>0</v>
      </c>
      <c r="M97" s="14">
        <f>0</f>
        <v>0</v>
      </c>
      <c r="N97" s="14">
        <f>0</f>
        <v>0</v>
      </c>
      <c r="O97" s="14">
        <f>0</f>
        <v>0</v>
      </c>
      <c r="P97" s="14">
        <f>0</f>
        <v>0</v>
      </c>
      <c r="Q97" s="14">
        <f>0</f>
        <v>0</v>
      </c>
      <c r="R97" s="14">
        <f>0</f>
        <v>0</v>
      </c>
      <c r="S97" s="14">
        <f>0</f>
        <v>0</v>
      </c>
      <c r="T97" s="14">
        <f>0</f>
        <v>0</v>
      </c>
      <c r="U97" s="187"/>
    </row>
    <row r="98" spans="1:21" ht="44.25" customHeight="1">
      <c r="A98" s="10" t="s">
        <v>188</v>
      </c>
      <c r="B98" s="154" t="s">
        <v>339</v>
      </c>
      <c r="C98" s="155">
        <f>0</f>
        <v>0</v>
      </c>
      <c r="D98" s="11">
        <f>0</f>
        <v>0</v>
      </c>
      <c r="E98" s="11">
        <f>0</f>
        <v>0</v>
      </c>
      <c r="F98" s="12">
        <f>0</f>
        <v>0</v>
      </c>
      <c r="G98" s="13">
        <f>0</f>
        <v>0</v>
      </c>
      <c r="H98" s="14">
        <f>0</f>
        <v>0</v>
      </c>
      <c r="I98" s="14">
        <f>0</f>
        <v>0</v>
      </c>
      <c r="J98" s="14">
        <f>0</f>
        <v>0</v>
      </c>
      <c r="K98" s="14">
        <f>0</f>
        <v>0</v>
      </c>
      <c r="L98" s="14">
        <f>0</f>
        <v>0</v>
      </c>
      <c r="M98" s="14">
        <f>0</f>
        <v>0</v>
      </c>
      <c r="N98" s="14">
        <f>0</f>
        <v>0</v>
      </c>
      <c r="O98" s="14">
        <f>0</f>
        <v>0</v>
      </c>
      <c r="P98" s="14">
        <f>0</f>
        <v>0</v>
      </c>
      <c r="Q98" s="14">
        <f>0</f>
        <v>0</v>
      </c>
      <c r="R98" s="14">
        <f>0</f>
        <v>0</v>
      </c>
      <c r="S98" s="14">
        <f>0</f>
        <v>0</v>
      </c>
      <c r="T98" s="14">
        <f>0</f>
        <v>0</v>
      </c>
    </row>
    <row r="99" spans="1:21" ht="36">
      <c r="A99" s="5">
        <v>12</v>
      </c>
      <c r="B99" s="158" t="s">
        <v>340</v>
      </c>
      <c r="C99" s="162" t="s">
        <v>175</v>
      </c>
      <c r="D99" s="15" t="s">
        <v>175</v>
      </c>
      <c r="E99" s="15" t="s">
        <v>175</v>
      </c>
      <c r="F99" s="16" t="s">
        <v>175</v>
      </c>
      <c r="G99" s="17" t="s">
        <v>175</v>
      </c>
      <c r="H99" s="18" t="s">
        <v>175</v>
      </c>
      <c r="I99" s="18" t="s">
        <v>175</v>
      </c>
      <c r="J99" s="18" t="s">
        <v>175</v>
      </c>
      <c r="K99" s="18" t="s">
        <v>175</v>
      </c>
      <c r="L99" s="18" t="s">
        <v>175</v>
      </c>
      <c r="M99" s="18" t="s">
        <v>175</v>
      </c>
      <c r="N99" s="18" t="s">
        <v>175</v>
      </c>
      <c r="O99" s="18" t="s">
        <v>175</v>
      </c>
      <c r="P99" s="18" t="s">
        <v>175</v>
      </c>
      <c r="Q99" s="18" t="s">
        <v>175</v>
      </c>
      <c r="R99" s="18" t="s">
        <v>175</v>
      </c>
      <c r="S99" s="18" t="s">
        <v>175</v>
      </c>
      <c r="T99" s="18" t="s">
        <v>175</v>
      </c>
    </row>
    <row r="100" spans="1:21" ht="36">
      <c r="A100" s="10" t="s">
        <v>192</v>
      </c>
      <c r="B100" s="154" t="s">
        <v>341</v>
      </c>
      <c r="C100" s="155">
        <f>0</f>
        <v>0</v>
      </c>
      <c r="D100" s="11">
        <f>0</f>
        <v>0</v>
      </c>
      <c r="E100" s="11">
        <f>0</f>
        <v>0</v>
      </c>
      <c r="F100" s="12">
        <f>0</f>
        <v>0</v>
      </c>
      <c r="G100" s="13">
        <f>0</f>
        <v>0</v>
      </c>
      <c r="H100" s="14">
        <f>0</f>
        <v>0</v>
      </c>
      <c r="I100" s="14">
        <f>0</f>
        <v>0</v>
      </c>
      <c r="J100" s="14">
        <f>0</f>
        <v>0</v>
      </c>
      <c r="K100" s="14">
        <f>0</f>
        <v>0</v>
      </c>
      <c r="L100" s="14">
        <f>0</f>
        <v>0</v>
      </c>
      <c r="M100" s="14">
        <f>0</f>
        <v>0</v>
      </c>
      <c r="N100" s="14">
        <f>0</f>
        <v>0</v>
      </c>
      <c r="O100" s="14">
        <f>0</f>
        <v>0</v>
      </c>
      <c r="P100" s="14">
        <f>0</f>
        <v>0</v>
      </c>
      <c r="Q100" s="14">
        <f>0</f>
        <v>0</v>
      </c>
      <c r="R100" s="14">
        <f>0</f>
        <v>0</v>
      </c>
      <c r="S100" s="14">
        <f>0</f>
        <v>0</v>
      </c>
      <c r="T100" s="14">
        <f>0</f>
        <v>0</v>
      </c>
    </row>
    <row r="101" spans="1:21" ht="33" customHeight="1">
      <c r="A101" s="10" t="s">
        <v>193</v>
      </c>
      <c r="B101" s="154" t="s">
        <v>342</v>
      </c>
      <c r="C101" s="162" t="s">
        <v>175</v>
      </c>
      <c r="D101" s="15" t="s">
        <v>175</v>
      </c>
      <c r="E101" s="15" t="s">
        <v>175</v>
      </c>
      <c r="F101" s="16" t="s">
        <v>175</v>
      </c>
      <c r="G101" s="172">
        <f>0</f>
        <v>0</v>
      </c>
      <c r="H101" s="173">
        <f>0</f>
        <v>0</v>
      </c>
      <c r="I101" s="173">
        <f>0</f>
        <v>0</v>
      </c>
      <c r="J101" s="173">
        <f>0</f>
        <v>0</v>
      </c>
      <c r="K101" s="173">
        <f>0</f>
        <v>0</v>
      </c>
      <c r="L101" s="173">
        <f>0</f>
        <v>0</v>
      </c>
      <c r="M101" s="173">
        <f>0</f>
        <v>0</v>
      </c>
      <c r="N101" s="173">
        <f>0</f>
        <v>0</v>
      </c>
      <c r="O101" s="173">
        <f>0</f>
        <v>0</v>
      </c>
      <c r="P101" s="173">
        <f>0</f>
        <v>0</v>
      </c>
      <c r="Q101" s="173">
        <f>0</f>
        <v>0</v>
      </c>
      <c r="R101" s="173">
        <f>0</f>
        <v>0</v>
      </c>
      <c r="S101" s="173">
        <f>0</f>
        <v>0</v>
      </c>
      <c r="T101" s="173">
        <f>0</f>
        <v>0</v>
      </c>
    </row>
    <row r="102" spans="1:21" ht="32.25" customHeight="1">
      <c r="A102" s="20" t="s">
        <v>194</v>
      </c>
      <c r="B102" s="174" t="s">
        <v>343</v>
      </c>
      <c r="C102" s="175" t="s">
        <v>175</v>
      </c>
      <c r="D102" s="176" t="s">
        <v>175</v>
      </c>
      <c r="E102" s="176" t="s">
        <v>175</v>
      </c>
      <c r="F102" s="177" t="s">
        <v>175</v>
      </c>
      <c r="G102" s="178">
        <f>0</f>
        <v>0</v>
      </c>
      <c r="H102" s="179">
        <f>0</f>
        <v>0</v>
      </c>
      <c r="I102" s="179">
        <f>0</f>
        <v>0</v>
      </c>
      <c r="J102" s="179">
        <f>0</f>
        <v>0</v>
      </c>
      <c r="K102" s="179">
        <f>0</f>
        <v>0</v>
      </c>
      <c r="L102" s="179">
        <f>0</f>
        <v>0</v>
      </c>
      <c r="M102" s="179">
        <f>0</f>
        <v>0</v>
      </c>
      <c r="N102" s="179">
        <f>0</f>
        <v>0</v>
      </c>
      <c r="O102" s="179">
        <f>0</f>
        <v>0</v>
      </c>
      <c r="P102" s="179">
        <f>0</f>
        <v>0</v>
      </c>
      <c r="Q102" s="179">
        <f>0</f>
        <v>0</v>
      </c>
      <c r="R102" s="179">
        <f>0</f>
        <v>0</v>
      </c>
      <c r="S102" s="179">
        <f>0</f>
        <v>0</v>
      </c>
      <c r="T102" s="179">
        <f>0</f>
        <v>0</v>
      </c>
    </row>
    <row r="103" spans="1:21">
      <c r="A103" s="180"/>
      <c r="B103" s="180"/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5"/>
    </row>
  </sheetData>
  <sheetProtection formatCells="0" formatColumns="0" formatRows="0" insertColumns="0" deleteColumns="0"/>
  <mergeCells count="2">
    <mergeCell ref="C2:D2"/>
    <mergeCell ref="A1:T1"/>
  </mergeCells>
  <conditionalFormatting sqref="G55:T56">
    <cfRule type="expression" dxfId="1" priority="8" stopIfTrue="1">
      <formula>LEFT(G55,3)="Nie"</formula>
    </cfRule>
  </conditionalFormatting>
  <conditionalFormatting sqref="G63:T64">
    <cfRule type="cellIs" dxfId="0" priority="5" stopIfTrue="1" operator="equal">
      <formula>"Nie spełniona"</formula>
    </cfRule>
  </conditionalFormatting>
  <pageMargins left="0.11811023622047245" right="0.11811023622047245" top="1.3779527559055118" bottom="0.98425196850393704" header="0.74803149606299213" footer="0.59055118110236227"/>
  <pageSetup paperSize="9" scale="57" orientation="landscape" blackAndWhite="1" horizontalDpi="4294967293" verticalDpi="4294967293" r:id="rId1"/>
  <headerFooter differentOddEven="1" differentFirst="1" alignWithMargins="0">
    <oddFooter>&amp;C&amp;P</oddFooter>
    <evenFooter>&amp;C&amp;P</evenFooter>
    <firstHeader>&amp;RZałącznik Nr 1
do uchwały Nr ............
Rady Powiatu w Otwocku
z dnia ........................</firstHeader>
    <firstFooter>&amp;C&amp;P</firstFooter>
  </headerFooter>
  <rowBreaks count="3" manualBreakCount="3">
    <brk id="48" max="19" man="1"/>
    <brk id="74" max="19" man="1"/>
    <brk id="89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85"/>
  <sheetViews>
    <sheetView tabSelected="1" zoomScaleNormal="100" workbookViewId="0">
      <pane ySplit="5" topLeftCell="A20" activePane="bottomLeft" state="frozen"/>
      <selection pane="bottomLeft" activeCell="K85" sqref="K85"/>
    </sheetView>
  </sheetViews>
  <sheetFormatPr defaultRowHeight="12.75"/>
  <cols>
    <col min="1" max="1" width="7.85546875" style="128" customWidth="1"/>
    <col min="2" max="2" width="56.85546875" style="22" customWidth="1"/>
    <col min="3" max="3" width="19.42578125" style="24" customWidth="1"/>
    <col min="4" max="5" width="7.42578125" style="24" customWidth="1"/>
    <col min="6" max="6" width="13.7109375" style="25" customWidth="1"/>
    <col min="7" max="7" width="13" style="22" customWidth="1"/>
    <col min="8" max="8" width="13.7109375" style="22" customWidth="1"/>
    <col min="9" max="9" width="14.5703125" style="22" customWidth="1"/>
    <col min="10" max="10" width="13.7109375" style="22" customWidth="1"/>
    <col min="11" max="11" width="13.5703125" style="22" customWidth="1"/>
    <col min="12" max="15" width="12.140625" style="22" customWidth="1"/>
    <col min="16" max="16" width="13" style="25" customWidth="1"/>
    <col min="17" max="244" width="9.140625" style="22"/>
    <col min="245" max="245" width="1" style="22" customWidth="1"/>
    <col min="246" max="246" width="39.140625" style="22" customWidth="1"/>
    <col min="247" max="247" width="21.42578125" style="22" customWidth="1"/>
    <col min="248" max="248" width="11.28515625" style="22" customWidth="1"/>
    <col min="249" max="249" width="9.5703125" style="22" customWidth="1"/>
    <col min="250" max="250" width="13.5703125" style="22" customWidth="1"/>
    <col min="251" max="260" width="12.140625" style="22" customWidth="1"/>
    <col min="261" max="270" width="0" style="22" hidden="1" customWidth="1"/>
    <col min="271" max="271" width="14.140625" style="22" customWidth="1"/>
    <col min="272" max="500" width="9.140625" style="22"/>
    <col min="501" max="501" width="1" style="22" customWidth="1"/>
    <col min="502" max="502" width="39.140625" style="22" customWidth="1"/>
    <col min="503" max="503" width="21.42578125" style="22" customWidth="1"/>
    <col min="504" max="504" width="11.28515625" style="22" customWidth="1"/>
    <col min="505" max="505" width="9.5703125" style="22" customWidth="1"/>
    <col min="506" max="506" width="13.5703125" style="22" customWidth="1"/>
    <col min="507" max="516" width="12.140625" style="22" customWidth="1"/>
    <col min="517" max="526" width="0" style="22" hidden="1" customWidth="1"/>
    <col min="527" max="527" width="14.140625" style="22" customWidth="1"/>
    <col min="528" max="756" width="9.140625" style="22"/>
    <col min="757" max="757" width="1" style="22" customWidth="1"/>
    <col min="758" max="758" width="39.140625" style="22" customWidth="1"/>
    <col min="759" max="759" width="21.42578125" style="22" customWidth="1"/>
    <col min="760" max="760" width="11.28515625" style="22" customWidth="1"/>
    <col min="761" max="761" width="9.5703125" style="22" customWidth="1"/>
    <col min="762" max="762" width="13.5703125" style="22" customWidth="1"/>
    <col min="763" max="772" width="12.140625" style="22" customWidth="1"/>
    <col min="773" max="782" width="0" style="22" hidden="1" customWidth="1"/>
    <col min="783" max="783" width="14.140625" style="22" customWidth="1"/>
    <col min="784" max="1012" width="9.140625" style="22"/>
    <col min="1013" max="1013" width="1" style="22" customWidth="1"/>
    <col min="1014" max="1014" width="39.140625" style="22" customWidth="1"/>
    <col min="1015" max="1015" width="21.42578125" style="22" customWidth="1"/>
    <col min="1016" max="1016" width="11.28515625" style="22" customWidth="1"/>
    <col min="1017" max="1017" width="9.5703125" style="22" customWidth="1"/>
    <col min="1018" max="1018" width="13.5703125" style="22" customWidth="1"/>
    <col min="1019" max="1028" width="12.140625" style="22" customWidth="1"/>
    <col min="1029" max="1038" width="0" style="22" hidden="1" customWidth="1"/>
    <col min="1039" max="1039" width="14.140625" style="22" customWidth="1"/>
    <col min="1040" max="1268" width="9.140625" style="22"/>
    <col min="1269" max="1269" width="1" style="22" customWidth="1"/>
    <col min="1270" max="1270" width="39.140625" style="22" customWidth="1"/>
    <col min="1271" max="1271" width="21.42578125" style="22" customWidth="1"/>
    <col min="1272" max="1272" width="11.28515625" style="22" customWidth="1"/>
    <col min="1273" max="1273" width="9.5703125" style="22" customWidth="1"/>
    <col min="1274" max="1274" width="13.5703125" style="22" customWidth="1"/>
    <col min="1275" max="1284" width="12.140625" style="22" customWidth="1"/>
    <col min="1285" max="1294" width="0" style="22" hidden="1" customWidth="1"/>
    <col min="1295" max="1295" width="14.140625" style="22" customWidth="1"/>
    <col min="1296" max="1524" width="9.140625" style="22"/>
    <col min="1525" max="1525" width="1" style="22" customWidth="1"/>
    <col min="1526" max="1526" width="39.140625" style="22" customWidth="1"/>
    <col min="1527" max="1527" width="21.42578125" style="22" customWidth="1"/>
    <col min="1528" max="1528" width="11.28515625" style="22" customWidth="1"/>
    <col min="1529" max="1529" width="9.5703125" style="22" customWidth="1"/>
    <col min="1530" max="1530" width="13.5703125" style="22" customWidth="1"/>
    <col min="1531" max="1540" width="12.140625" style="22" customWidth="1"/>
    <col min="1541" max="1550" width="0" style="22" hidden="1" customWidth="1"/>
    <col min="1551" max="1551" width="14.140625" style="22" customWidth="1"/>
    <col min="1552" max="1780" width="9.140625" style="22"/>
    <col min="1781" max="1781" width="1" style="22" customWidth="1"/>
    <col min="1782" max="1782" width="39.140625" style="22" customWidth="1"/>
    <col min="1783" max="1783" width="21.42578125" style="22" customWidth="1"/>
    <col min="1784" max="1784" width="11.28515625" style="22" customWidth="1"/>
    <col min="1785" max="1785" width="9.5703125" style="22" customWidth="1"/>
    <col min="1786" max="1786" width="13.5703125" style="22" customWidth="1"/>
    <col min="1787" max="1796" width="12.140625" style="22" customWidth="1"/>
    <col min="1797" max="1806" width="0" style="22" hidden="1" customWidth="1"/>
    <col min="1807" max="1807" width="14.140625" style="22" customWidth="1"/>
    <col min="1808" max="2036" width="9.140625" style="22"/>
    <col min="2037" max="2037" width="1" style="22" customWidth="1"/>
    <col min="2038" max="2038" width="39.140625" style="22" customWidth="1"/>
    <col min="2039" max="2039" width="21.42578125" style="22" customWidth="1"/>
    <col min="2040" max="2040" width="11.28515625" style="22" customWidth="1"/>
    <col min="2041" max="2041" width="9.5703125" style="22" customWidth="1"/>
    <col min="2042" max="2042" width="13.5703125" style="22" customWidth="1"/>
    <col min="2043" max="2052" width="12.140625" style="22" customWidth="1"/>
    <col min="2053" max="2062" width="0" style="22" hidden="1" customWidth="1"/>
    <col min="2063" max="2063" width="14.140625" style="22" customWidth="1"/>
    <col min="2064" max="2292" width="9.140625" style="22"/>
    <col min="2293" max="2293" width="1" style="22" customWidth="1"/>
    <col min="2294" max="2294" width="39.140625" style="22" customWidth="1"/>
    <col min="2295" max="2295" width="21.42578125" style="22" customWidth="1"/>
    <col min="2296" max="2296" width="11.28515625" style="22" customWidth="1"/>
    <col min="2297" max="2297" width="9.5703125" style="22" customWidth="1"/>
    <col min="2298" max="2298" width="13.5703125" style="22" customWidth="1"/>
    <col min="2299" max="2308" width="12.140625" style="22" customWidth="1"/>
    <col min="2309" max="2318" width="0" style="22" hidden="1" customWidth="1"/>
    <col min="2319" max="2319" width="14.140625" style="22" customWidth="1"/>
    <col min="2320" max="2548" width="9.140625" style="22"/>
    <col min="2549" max="2549" width="1" style="22" customWidth="1"/>
    <col min="2550" max="2550" width="39.140625" style="22" customWidth="1"/>
    <col min="2551" max="2551" width="21.42578125" style="22" customWidth="1"/>
    <col min="2552" max="2552" width="11.28515625" style="22" customWidth="1"/>
    <col min="2553" max="2553" width="9.5703125" style="22" customWidth="1"/>
    <col min="2554" max="2554" width="13.5703125" style="22" customWidth="1"/>
    <col min="2555" max="2564" width="12.140625" style="22" customWidth="1"/>
    <col min="2565" max="2574" width="0" style="22" hidden="1" customWidth="1"/>
    <col min="2575" max="2575" width="14.140625" style="22" customWidth="1"/>
    <col min="2576" max="2804" width="9.140625" style="22"/>
    <col min="2805" max="2805" width="1" style="22" customWidth="1"/>
    <col min="2806" max="2806" width="39.140625" style="22" customWidth="1"/>
    <col min="2807" max="2807" width="21.42578125" style="22" customWidth="1"/>
    <col min="2808" max="2808" width="11.28515625" style="22" customWidth="1"/>
    <col min="2809" max="2809" width="9.5703125" style="22" customWidth="1"/>
    <col min="2810" max="2810" width="13.5703125" style="22" customWidth="1"/>
    <col min="2811" max="2820" width="12.140625" style="22" customWidth="1"/>
    <col min="2821" max="2830" width="0" style="22" hidden="1" customWidth="1"/>
    <col min="2831" max="2831" width="14.140625" style="22" customWidth="1"/>
    <col min="2832" max="3060" width="9.140625" style="22"/>
    <col min="3061" max="3061" width="1" style="22" customWidth="1"/>
    <col min="3062" max="3062" width="39.140625" style="22" customWidth="1"/>
    <col min="3063" max="3063" width="21.42578125" style="22" customWidth="1"/>
    <col min="3064" max="3064" width="11.28515625" style="22" customWidth="1"/>
    <col min="3065" max="3065" width="9.5703125" style="22" customWidth="1"/>
    <col min="3066" max="3066" width="13.5703125" style="22" customWidth="1"/>
    <col min="3067" max="3076" width="12.140625" style="22" customWidth="1"/>
    <col min="3077" max="3086" width="0" style="22" hidden="1" customWidth="1"/>
    <col min="3087" max="3087" width="14.140625" style="22" customWidth="1"/>
    <col min="3088" max="3316" width="9.140625" style="22"/>
    <col min="3317" max="3317" width="1" style="22" customWidth="1"/>
    <col min="3318" max="3318" width="39.140625" style="22" customWidth="1"/>
    <col min="3319" max="3319" width="21.42578125" style="22" customWidth="1"/>
    <col min="3320" max="3320" width="11.28515625" style="22" customWidth="1"/>
    <col min="3321" max="3321" width="9.5703125" style="22" customWidth="1"/>
    <col min="3322" max="3322" width="13.5703125" style="22" customWidth="1"/>
    <col min="3323" max="3332" width="12.140625" style="22" customWidth="1"/>
    <col min="3333" max="3342" width="0" style="22" hidden="1" customWidth="1"/>
    <col min="3343" max="3343" width="14.140625" style="22" customWidth="1"/>
    <col min="3344" max="3572" width="9.140625" style="22"/>
    <col min="3573" max="3573" width="1" style="22" customWidth="1"/>
    <col min="3574" max="3574" width="39.140625" style="22" customWidth="1"/>
    <col min="3575" max="3575" width="21.42578125" style="22" customWidth="1"/>
    <col min="3576" max="3576" width="11.28515625" style="22" customWidth="1"/>
    <col min="3577" max="3577" width="9.5703125" style="22" customWidth="1"/>
    <col min="3578" max="3578" width="13.5703125" style="22" customWidth="1"/>
    <col min="3579" max="3588" width="12.140625" style="22" customWidth="1"/>
    <col min="3589" max="3598" width="0" style="22" hidden="1" customWidth="1"/>
    <col min="3599" max="3599" width="14.140625" style="22" customWidth="1"/>
    <col min="3600" max="3828" width="9.140625" style="22"/>
    <col min="3829" max="3829" width="1" style="22" customWidth="1"/>
    <col min="3830" max="3830" width="39.140625" style="22" customWidth="1"/>
    <col min="3831" max="3831" width="21.42578125" style="22" customWidth="1"/>
    <col min="3832" max="3832" width="11.28515625" style="22" customWidth="1"/>
    <col min="3833" max="3833" width="9.5703125" style="22" customWidth="1"/>
    <col min="3834" max="3834" width="13.5703125" style="22" customWidth="1"/>
    <col min="3835" max="3844" width="12.140625" style="22" customWidth="1"/>
    <col min="3845" max="3854" width="0" style="22" hidden="1" customWidth="1"/>
    <col min="3855" max="3855" width="14.140625" style="22" customWidth="1"/>
    <col min="3856" max="4084" width="9.140625" style="22"/>
    <col min="4085" max="4085" width="1" style="22" customWidth="1"/>
    <col min="4086" max="4086" width="39.140625" style="22" customWidth="1"/>
    <col min="4087" max="4087" width="21.42578125" style="22" customWidth="1"/>
    <col min="4088" max="4088" width="11.28515625" style="22" customWidth="1"/>
    <col min="4089" max="4089" width="9.5703125" style="22" customWidth="1"/>
    <col min="4090" max="4090" width="13.5703125" style="22" customWidth="1"/>
    <col min="4091" max="4100" width="12.140625" style="22" customWidth="1"/>
    <col min="4101" max="4110" width="0" style="22" hidden="1" customWidth="1"/>
    <col min="4111" max="4111" width="14.140625" style="22" customWidth="1"/>
    <col min="4112" max="4340" width="9.140625" style="22"/>
    <col min="4341" max="4341" width="1" style="22" customWidth="1"/>
    <col min="4342" max="4342" width="39.140625" style="22" customWidth="1"/>
    <col min="4343" max="4343" width="21.42578125" style="22" customWidth="1"/>
    <col min="4344" max="4344" width="11.28515625" style="22" customWidth="1"/>
    <col min="4345" max="4345" width="9.5703125" style="22" customWidth="1"/>
    <col min="4346" max="4346" width="13.5703125" style="22" customWidth="1"/>
    <col min="4347" max="4356" width="12.140625" style="22" customWidth="1"/>
    <col min="4357" max="4366" width="0" style="22" hidden="1" customWidth="1"/>
    <col min="4367" max="4367" width="14.140625" style="22" customWidth="1"/>
    <col min="4368" max="4596" width="9.140625" style="22"/>
    <col min="4597" max="4597" width="1" style="22" customWidth="1"/>
    <col min="4598" max="4598" width="39.140625" style="22" customWidth="1"/>
    <col min="4599" max="4599" width="21.42578125" style="22" customWidth="1"/>
    <col min="4600" max="4600" width="11.28515625" style="22" customWidth="1"/>
    <col min="4601" max="4601" width="9.5703125" style="22" customWidth="1"/>
    <col min="4602" max="4602" width="13.5703125" style="22" customWidth="1"/>
    <col min="4603" max="4612" width="12.140625" style="22" customWidth="1"/>
    <col min="4613" max="4622" width="0" style="22" hidden="1" customWidth="1"/>
    <col min="4623" max="4623" width="14.140625" style="22" customWidth="1"/>
    <col min="4624" max="4852" width="9.140625" style="22"/>
    <col min="4853" max="4853" width="1" style="22" customWidth="1"/>
    <col min="4854" max="4854" width="39.140625" style="22" customWidth="1"/>
    <col min="4855" max="4855" width="21.42578125" style="22" customWidth="1"/>
    <col min="4856" max="4856" width="11.28515625" style="22" customWidth="1"/>
    <col min="4857" max="4857" width="9.5703125" style="22" customWidth="1"/>
    <col min="4858" max="4858" width="13.5703125" style="22" customWidth="1"/>
    <col min="4859" max="4868" width="12.140625" style="22" customWidth="1"/>
    <col min="4869" max="4878" width="0" style="22" hidden="1" customWidth="1"/>
    <col min="4879" max="4879" width="14.140625" style="22" customWidth="1"/>
    <col min="4880" max="5108" width="9.140625" style="22"/>
    <col min="5109" max="5109" width="1" style="22" customWidth="1"/>
    <col min="5110" max="5110" width="39.140625" style="22" customWidth="1"/>
    <col min="5111" max="5111" width="21.42578125" style="22" customWidth="1"/>
    <col min="5112" max="5112" width="11.28515625" style="22" customWidth="1"/>
    <col min="5113" max="5113" width="9.5703125" style="22" customWidth="1"/>
    <col min="5114" max="5114" width="13.5703125" style="22" customWidth="1"/>
    <col min="5115" max="5124" width="12.140625" style="22" customWidth="1"/>
    <col min="5125" max="5134" width="0" style="22" hidden="1" customWidth="1"/>
    <col min="5135" max="5135" width="14.140625" style="22" customWidth="1"/>
    <col min="5136" max="5364" width="9.140625" style="22"/>
    <col min="5365" max="5365" width="1" style="22" customWidth="1"/>
    <col min="5366" max="5366" width="39.140625" style="22" customWidth="1"/>
    <col min="5367" max="5367" width="21.42578125" style="22" customWidth="1"/>
    <col min="5368" max="5368" width="11.28515625" style="22" customWidth="1"/>
    <col min="5369" max="5369" width="9.5703125" style="22" customWidth="1"/>
    <col min="5370" max="5370" width="13.5703125" style="22" customWidth="1"/>
    <col min="5371" max="5380" width="12.140625" style="22" customWidth="1"/>
    <col min="5381" max="5390" width="0" style="22" hidden="1" customWidth="1"/>
    <col min="5391" max="5391" width="14.140625" style="22" customWidth="1"/>
    <col min="5392" max="5620" width="9.140625" style="22"/>
    <col min="5621" max="5621" width="1" style="22" customWidth="1"/>
    <col min="5622" max="5622" width="39.140625" style="22" customWidth="1"/>
    <col min="5623" max="5623" width="21.42578125" style="22" customWidth="1"/>
    <col min="5624" max="5624" width="11.28515625" style="22" customWidth="1"/>
    <col min="5625" max="5625" width="9.5703125" style="22" customWidth="1"/>
    <col min="5626" max="5626" width="13.5703125" style="22" customWidth="1"/>
    <col min="5627" max="5636" width="12.140625" style="22" customWidth="1"/>
    <col min="5637" max="5646" width="0" style="22" hidden="1" customWidth="1"/>
    <col min="5647" max="5647" width="14.140625" style="22" customWidth="1"/>
    <col min="5648" max="5876" width="9.140625" style="22"/>
    <col min="5877" max="5877" width="1" style="22" customWidth="1"/>
    <col min="5878" max="5878" width="39.140625" style="22" customWidth="1"/>
    <col min="5879" max="5879" width="21.42578125" style="22" customWidth="1"/>
    <col min="5880" max="5880" width="11.28515625" style="22" customWidth="1"/>
    <col min="5881" max="5881" width="9.5703125" style="22" customWidth="1"/>
    <col min="5882" max="5882" width="13.5703125" style="22" customWidth="1"/>
    <col min="5883" max="5892" width="12.140625" style="22" customWidth="1"/>
    <col min="5893" max="5902" width="0" style="22" hidden="1" customWidth="1"/>
    <col min="5903" max="5903" width="14.140625" style="22" customWidth="1"/>
    <col min="5904" max="6132" width="9.140625" style="22"/>
    <col min="6133" max="6133" width="1" style="22" customWidth="1"/>
    <col min="6134" max="6134" width="39.140625" style="22" customWidth="1"/>
    <col min="6135" max="6135" width="21.42578125" style="22" customWidth="1"/>
    <col min="6136" max="6136" width="11.28515625" style="22" customWidth="1"/>
    <col min="6137" max="6137" width="9.5703125" style="22" customWidth="1"/>
    <col min="6138" max="6138" width="13.5703125" style="22" customWidth="1"/>
    <col min="6139" max="6148" width="12.140625" style="22" customWidth="1"/>
    <col min="6149" max="6158" width="0" style="22" hidden="1" customWidth="1"/>
    <col min="6159" max="6159" width="14.140625" style="22" customWidth="1"/>
    <col min="6160" max="6388" width="9.140625" style="22"/>
    <col min="6389" max="6389" width="1" style="22" customWidth="1"/>
    <col min="6390" max="6390" width="39.140625" style="22" customWidth="1"/>
    <col min="6391" max="6391" width="21.42578125" style="22" customWidth="1"/>
    <col min="6392" max="6392" width="11.28515625" style="22" customWidth="1"/>
    <col min="6393" max="6393" width="9.5703125" style="22" customWidth="1"/>
    <col min="6394" max="6394" width="13.5703125" style="22" customWidth="1"/>
    <col min="6395" max="6404" width="12.140625" style="22" customWidth="1"/>
    <col min="6405" max="6414" width="0" style="22" hidden="1" customWidth="1"/>
    <col min="6415" max="6415" width="14.140625" style="22" customWidth="1"/>
    <col min="6416" max="6644" width="9.140625" style="22"/>
    <col min="6645" max="6645" width="1" style="22" customWidth="1"/>
    <col min="6646" max="6646" width="39.140625" style="22" customWidth="1"/>
    <col min="6647" max="6647" width="21.42578125" style="22" customWidth="1"/>
    <col min="6648" max="6648" width="11.28515625" style="22" customWidth="1"/>
    <col min="6649" max="6649" width="9.5703125" style="22" customWidth="1"/>
    <col min="6650" max="6650" width="13.5703125" style="22" customWidth="1"/>
    <col min="6651" max="6660" width="12.140625" style="22" customWidth="1"/>
    <col min="6661" max="6670" width="0" style="22" hidden="1" customWidth="1"/>
    <col min="6671" max="6671" width="14.140625" style="22" customWidth="1"/>
    <col min="6672" max="6900" width="9.140625" style="22"/>
    <col min="6901" max="6901" width="1" style="22" customWidth="1"/>
    <col min="6902" max="6902" width="39.140625" style="22" customWidth="1"/>
    <col min="6903" max="6903" width="21.42578125" style="22" customWidth="1"/>
    <col min="6904" max="6904" width="11.28515625" style="22" customWidth="1"/>
    <col min="6905" max="6905" width="9.5703125" style="22" customWidth="1"/>
    <col min="6906" max="6906" width="13.5703125" style="22" customWidth="1"/>
    <col min="6907" max="6916" width="12.140625" style="22" customWidth="1"/>
    <col min="6917" max="6926" width="0" style="22" hidden="1" customWidth="1"/>
    <col min="6927" max="6927" width="14.140625" style="22" customWidth="1"/>
    <col min="6928" max="7156" width="9.140625" style="22"/>
    <col min="7157" max="7157" width="1" style="22" customWidth="1"/>
    <col min="7158" max="7158" width="39.140625" style="22" customWidth="1"/>
    <col min="7159" max="7159" width="21.42578125" style="22" customWidth="1"/>
    <col min="7160" max="7160" width="11.28515625" style="22" customWidth="1"/>
    <col min="7161" max="7161" width="9.5703125" style="22" customWidth="1"/>
    <col min="7162" max="7162" width="13.5703125" style="22" customWidth="1"/>
    <col min="7163" max="7172" width="12.140625" style="22" customWidth="1"/>
    <col min="7173" max="7182" width="0" style="22" hidden="1" customWidth="1"/>
    <col min="7183" max="7183" width="14.140625" style="22" customWidth="1"/>
    <col min="7184" max="7412" width="9.140625" style="22"/>
    <col min="7413" max="7413" width="1" style="22" customWidth="1"/>
    <col min="7414" max="7414" width="39.140625" style="22" customWidth="1"/>
    <col min="7415" max="7415" width="21.42578125" style="22" customWidth="1"/>
    <col min="7416" max="7416" width="11.28515625" style="22" customWidth="1"/>
    <col min="7417" max="7417" width="9.5703125" style="22" customWidth="1"/>
    <col min="7418" max="7418" width="13.5703125" style="22" customWidth="1"/>
    <col min="7419" max="7428" width="12.140625" style="22" customWidth="1"/>
    <col min="7429" max="7438" width="0" style="22" hidden="1" customWidth="1"/>
    <col min="7439" max="7439" width="14.140625" style="22" customWidth="1"/>
    <col min="7440" max="7668" width="9.140625" style="22"/>
    <col min="7669" max="7669" width="1" style="22" customWidth="1"/>
    <col min="7670" max="7670" width="39.140625" style="22" customWidth="1"/>
    <col min="7671" max="7671" width="21.42578125" style="22" customWidth="1"/>
    <col min="7672" max="7672" width="11.28515625" style="22" customWidth="1"/>
    <col min="7673" max="7673" width="9.5703125" style="22" customWidth="1"/>
    <col min="7674" max="7674" width="13.5703125" style="22" customWidth="1"/>
    <col min="7675" max="7684" width="12.140625" style="22" customWidth="1"/>
    <col min="7685" max="7694" width="0" style="22" hidden="1" customWidth="1"/>
    <col min="7695" max="7695" width="14.140625" style="22" customWidth="1"/>
    <col min="7696" max="7924" width="9.140625" style="22"/>
    <col min="7925" max="7925" width="1" style="22" customWidth="1"/>
    <col min="7926" max="7926" width="39.140625" style="22" customWidth="1"/>
    <col min="7927" max="7927" width="21.42578125" style="22" customWidth="1"/>
    <col min="7928" max="7928" width="11.28515625" style="22" customWidth="1"/>
    <col min="7929" max="7929" width="9.5703125" style="22" customWidth="1"/>
    <col min="7930" max="7930" width="13.5703125" style="22" customWidth="1"/>
    <col min="7931" max="7940" width="12.140625" style="22" customWidth="1"/>
    <col min="7941" max="7950" width="0" style="22" hidden="1" customWidth="1"/>
    <col min="7951" max="7951" width="14.140625" style="22" customWidth="1"/>
    <col min="7952" max="8180" width="9.140625" style="22"/>
    <col min="8181" max="8181" width="1" style="22" customWidth="1"/>
    <col min="8182" max="8182" width="39.140625" style="22" customWidth="1"/>
    <col min="8183" max="8183" width="21.42578125" style="22" customWidth="1"/>
    <col min="8184" max="8184" width="11.28515625" style="22" customWidth="1"/>
    <col min="8185" max="8185" width="9.5703125" style="22" customWidth="1"/>
    <col min="8186" max="8186" width="13.5703125" style="22" customWidth="1"/>
    <col min="8187" max="8196" width="12.140625" style="22" customWidth="1"/>
    <col min="8197" max="8206" width="0" style="22" hidden="1" customWidth="1"/>
    <col min="8207" max="8207" width="14.140625" style="22" customWidth="1"/>
    <col min="8208" max="8436" width="9.140625" style="22"/>
    <col min="8437" max="8437" width="1" style="22" customWidth="1"/>
    <col min="8438" max="8438" width="39.140625" style="22" customWidth="1"/>
    <col min="8439" max="8439" width="21.42578125" style="22" customWidth="1"/>
    <col min="8440" max="8440" width="11.28515625" style="22" customWidth="1"/>
    <col min="8441" max="8441" width="9.5703125" style="22" customWidth="1"/>
    <col min="8442" max="8442" width="13.5703125" style="22" customWidth="1"/>
    <col min="8443" max="8452" width="12.140625" style="22" customWidth="1"/>
    <col min="8453" max="8462" width="0" style="22" hidden="1" customWidth="1"/>
    <col min="8463" max="8463" width="14.140625" style="22" customWidth="1"/>
    <col min="8464" max="8692" width="9.140625" style="22"/>
    <col min="8693" max="8693" width="1" style="22" customWidth="1"/>
    <col min="8694" max="8694" width="39.140625" style="22" customWidth="1"/>
    <col min="8695" max="8695" width="21.42578125" style="22" customWidth="1"/>
    <col min="8696" max="8696" width="11.28515625" style="22" customWidth="1"/>
    <col min="8697" max="8697" width="9.5703125" style="22" customWidth="1"/>
    <col min="8698" max="8698" width="13.5703125" style="22" customWidth="1"/>
    <col min="8699" max="8708" width="12.140625" style="22" customWidth="1"/>
    <col min="8709" max="8718" width="0" style="22" hidden="1" customWidth="1"/>
    <col min="8719" max="8719" width="14.140625" style="22" customWidth="1"/>
    <col min="8720" max="8948" width="9.140625" style="22"/>
    <col min="8949" max="8949" width="1" style="22" customWidth="1"/>
    <col min="8950" max="8950" width="39.140625" style="22" customWidth="1"/>
    <col min="8951" max="8951" width="21.42578125" style="22" customWidth="1"/>
    <col min="8952" max="8952" width="11.28515625" style="22" customWidth="1"/>
    <col min="8953" max="8953" width="9.5703125" style="22" customWidth="1"/>
    <col min="8954" max="8954" width="13.5703125" style="22" customWidth="1"/>
    <col min="8955" max="8964" width="12.140625" style="22" customWidth="1"/>
    <col min="8965" max="8974" width="0" style="22" hidden="1" customWidth="1"/>
    <col min="8975" max="8975" width="14.140625" style="22" customWidth="1"/>
    <col min="8976" max="9204" width="9.140625" style="22"/>
    <col min="9205" max="9205" width="1" style="22" customWidth="1"/>
    <col min="9206" max="9206" width="39.140625" style="22" customWidth="1"/>
    <col min="9207" max="9207" width="21.42578125" style="22" customWidth="1"/>
    <col min="9208" max="9208" width="11.28515625" style="22" customWidth="1"/>
    <col min="9209" max="9209" width="9.5703125" style="22" customWidth="1"/>
    <col min="9210" max="9210" width="13.5703125" style="22" customWidth="1"/>
    <col min="9211" max="9220" width="12.140625" style="22" customWidth="1"/>
    <col min="9221" max="9230" width="0" style="22" hidden="1" customWidth="1"/>
    <col min="9231" max="9231" width="14.140625" style="22" customWidth="1"/>
    <col min="9232" max="9460" width="9.140625" style="22"/>
    <col min="9461" max="9461" width="1" style="22" customWidth="1"/>
    <col min="9462" max="9462" width="39.140625" style="22" customWidth="1"/>
    <col min="9463" max="9463" width="21.42578125" style="22" customWidth="1"/>
    <col min="9464" max="9464" width="11.28515625" style="22" customWidth="1"/>
    <col min="9465" max="9465" width="9.5703125" style="22" customWidth="1"/>
    <col min="9466" max="9466" width="13.5703125" style="22" customWidth="1"/>
    <col min="9467" max="9476" width="12.140625" style="22" customWidth="1"/>
    <col min="9477" max="9486" width="0" style="22" hidden="1" customWidth="1"/>
    <col min="9487" max="9487" width="14.140625" style="22" customWidth="1"/>
    <col min="9488" max="9716" width="9.140625" style="22"/>
    <col min="9717" max="9717" width="1" style="22" customWidth="1"/>
    <col min="9718" max="9718" width="39.140625" style="22" customWidth="1"/>
    <col min="9719" max="9719" width="21.42578125" style="22" customWidth="1"/>
    <col min="9720" max="9720" width="11.28515625" style="22" customWidth="1"/>
    <col min="9721" max="9721" width="9.5703125" style="22" customWidth="1"/>
    <col min="9722" max="9722" width="13.5703125" style="22" customWidth="1"/>
    <col min="9723" max="9732" width="12.140625" style="22" customWidth="1"/>
    <col min="9733" max="9742" width="0" style="22" hidden="1" customWidth="1"/>
    <col min="9743" max="9743" width="14.140625" style="22" customWidth="1"/>
    <col min="9744" max="9972" width="9.140625" style="22"/>
    <col min="9973" max="9973" width="1" style="22" customWidth="1"/>
    <col min="9974" max="9974" width="39.140625" style="22" customWidth="1"/>
    <col min="9975" max="9975" width="21.42578125" style="22" customWidth="1"/>
    <col min="9976" max="9976" width="11.28515625" style="22" customWidth="1"/>
    <col min="9977" max="9977" width="9.5703125" style="22" customWidth="1"/>
    <col min="9978" max="9978" width="13.5703125" style="22" customWidth="1"/>
    <col min="9979" max="9988" width="12.140625" style="22" customWidth="1"/>
    <col min="9989" max="9998" width="0" style="22" hidden="1" customWidth="1"/>
    <col min="9999" max="9999" width="14.140625" style="22" customWidth="1"/>
    <col min="10000" max="10228" width="9.140625" style="22"/>
    <col min="10229" max="10229" width="1" style="22" customWidth="1"/>
    <col min="10230" max="10230" width="39.140625" style="22" customWidth="1"/>
    <col min="10231" max="10231" width="21.42578125" style="22" customWidth="1"/>
    <col min="10232" max="10232" width="11.28515625" style="22" customWidth="1"/>
    <col min="10233" max="10233" width="9.5703125" style="22" customWidth="1"/>
    <col min="10234" max="10234" width="13.5703125" style="22" customWidth="1"/>
    <col min="10235" max="10244" width="12.140625" style="22" customWidth="1"/>
    <col min="10245" max="10254" width="0" style="22" hidden="1" customWidth="1"/>
    <col min="10255" max="10255" width="14.140625" style="22" customWidth="1"/>
    <col min="10256" max="10484" width="9.140625" style="22"/>
    <col min="10485" max="10485" width="1" style="22" customWidth="1"/>
    <col min="10486" max="10486" width="39.140625" style="22" customWidth="1"/>
    <col min="10487" max="10487" width="21.42578125" style="22" customWidth="1"/>
    <col min="10488" max="10488" width="11.28515625" style="22" customWidth="1"/>
    <col min="10489" max="10489" width="9.5703125" style="22" customWidth="1"/>
    <col min="10490" max="10490" width="13.5703125" style="22" customWidth="1"/>
    <col min="10491" max="10500" width="12.140625" style="22" customWidth="1"/>
    <col min="10501" max="10510" width="0" style="22" hidden="1" customWidth="1"/>
    <col min="10511" max="10511" width="14.140625" style="22" customWidth="1"/>
    <col min="10512" max="10740" width="9.140625" style="22"/>
    <col min="10741" max="10741" width="1" style="22" customWidth="1"/>
    <col min="10742" max="10742" width="39.140625" style="22" customWidth="1"/>
    <col min="10743" max="10743" width="21.42578125" style="22" customWidth="1"/>
    <col min="10744" max="10744" width="11.28515625" style="22" customWidth="1"/>
    <col min="10745" max="10745" width="9.5703125" style="22" customWidth="1"/>
    <col min="10746" max="10746" width="13.5703125" style="22" customWidth="1"/>
    <col min="10747" max="10756" width="12.140625" style="22" customWidth="1"/>
    <col min="10757" max="10766" width="0" style="22" hidden="1" customWidth="1"/>
    <col min="10767" max="10767" width="14.140625" style="22" customWidth="1"/>
    <col min="10768" max="10996" width="9.140625" style="22"/>
    <col min="10997" max="10997" width="1" style="22" customWidth="1"/>
    <col min="10998" max="10998" width="39.140625" style="22" customWidth="1"/>
    <col min="10999" max="10999" width="21.42578125" style="22" customWidth="1"/>
    <col min="11000" max="11000" width="11.28515625" style="22" customWidth="1"/>
    <col min="11001" max="11001" width="9.5703125" style="22" customWidth="1"/>
    <col min="11002" max="11002" width="13.5703125" style="22" customWidth="1"/>
    <col min="11003" max="11012" width="12.140625" style="22" customWidth="1"/>
    <col min="11013" max="11022" width="0" style="22" hidden="1" customWidth="1"/>
    <col min="11023" max="11023" width="14.140625" style="22" customWidth="1"/>
    <col min="11024" max="11252" width="9.140625" style="22"/>
    <col min="11253" max="11253" width="1" style="22" customWidth="1"/>
    <col min="11254" max="11254" width="39.140625" style="22" customWidth="1"/>
    <col min="11255" max="11255" width="21.42578125" style="22" customWidth="1"/>
    <col min="11256" max="11256" width="11.28515625" style="22" customWidth="1"/>
    <col min="11257" max="11257" width="9.5703125" style="22" customWidth="1"/>
    <col min="11258" max="11258" width="13.5703125" style="22" customWidth="1"/>
    <col min="11259" max="11268" width="12.140625" style="22" customWidth="1"/>
    <col min="11269" max="11278" width="0" style="22" hidden="1" customWidth="1"/>
    <col min="11279" max="11279" width="14.140625" style="22" customWidth="1"/>
    <col min="11280" max="11508" width="9.140625" style="22"/>
    <col min="11509" max="11509" width="1" style="22" customWidth="1"/>
    <col min="11510" max="11510" width="39.140625" style="22" customWidth="1"/>
    <col min="11511" max="11511" width="21.42578125" style="22" customWidth="1"/>
    <col min="11512" max="11512" width="11.28515625" style="22" customWidth="1"/>
    <col min="11513" max="11513" width="9.5703125" style="22" customWidth="1"/>
    <col min="11514" max="11514" width="13.5703125" style="22" customWidth="1"/>
    <col min="11515" max="11524" width="12.140625" style="22" customWidth="1"/>
    <col min="11525" max="11534" width="0" style="22" hidden="1" customWidth="1"/>
    <col min="11535" max="11535" width="14.140625" style="22" customWidth="1"/>
    <col min="11536" max="11764" width="9.140625" style="22"/>
    <col min="11765" max="11765" width="1" style="22" customWidth="1"/>
    <col min="11766" max="11766" width="39.140625" style="22" customWidth="1"/>
    <col min="11767" max="11767" width="21.42578125" style="22" customWidth="1"/>
    <col min="11768" max="11768" width="11.28515625" style="22" customWidth="1"/>
    <col min="11769" max="11769" width="9.5703125" style="22" customWidth="1"/>
    <col min="11770" max="11770" width="13.5703125" style="22" customWidth="1"/>
    <col min="11771" max="11780" width="12.140625" style="22" customWidth="1"/>
    <col min="11781" max="11790" width="0" style="22" hidden="1" customWidth="1"/>
    <col min="11791" max="11791" width="14.140625" style="22" customWidth="1"/>
    <col min="11792" max="12020" width="9.140625" style="22"/>
    <col min="12021" max="12021" width="1" style="22" customWidth="1"/>
    <col min="12022" max="12022" width="39.140625" style="22" customWidth="1"/>
    <col min="12023" max="12023" width="21.42578125" style="22" customWidth="1"/>
    <col min="12024" max="12024" width="11.28515625" style="22" customWidth="1"/>
    <col min="12025" max="12025" width="9.5703125" style="22" customWidth="1"/>
    <col min="12026" max="12026" width="13.5703125" style="22" customWidth="1"/>
    <col min="12027" max="12036" width="12.140625" style="22" customWidth="1"/>
    <col min="12037" max="12046" width="0" style="22" hidden="1" customWidth="1"/>
    <col min="12047" max="12047" width="14.140625" style="22" customWidth="1"/>
    <col min="12048" max="12276" width="9.140625" style="22"/>
    <col min="12277" max="12277" width="1" style="22" customWidth="1"/>
    <col min="12278" max="12278" width="39.140625" style="22" customWidth="1"/>
    <col min="12279" max="12279" width="21.42578125" style="22" customWidth="1"/>
    <col min="12280" max="12280" width="11.28515625" style="22" customWidth="1"/>
    <col min="12281" max="12281" width="9.5703125" style="22" customWidth="1"/>
    <col min="12282" max="12282" width="13.5703125" style="22" customWidth="1"/>
    <col min="12283" max="12292" width="12.140625" style="22" customWidth="1"/>
    <col min="12293" max="12302" width="0" style="22" hidden="1" customWidth="1"/>
    <col min="12303" max="12303" width="14.140625" style="22" customWidth="1"/>
    <col min="12304" max="12532" width="9.140625" style="22"/>
    <col min="12533" max="12533" width="1" style="22" customWidth="1"/>
    <col min="12534" max="12534" width="39.140625" style="22" customWidth="1"/>
    <col min="12535" max="12535" width="21.42578125" style="22" customWidth="1"/>
    <col min="12536" max="12536" width="11.28515625" style="22" customWidth="1"/>
    <col min="12537" max="12537" width="9.5703125" style="22" customWidth="1"/>
    <col min="12538" max="12538" width="13.5703125" style="22" customWidth="1"/>
    <col min="12539" max="12548" width="12.140625" style="22" customWidth="1"/>
    <col min="12549" max="12558" width="0" style="22" hidden="1" customWidth="1"/>
    <col min="12559" max="12559" width="14.140625" style="22" customWidth="1"/>
    <col min="12560" max="12788" width="9.140625" style="22"/>
    <col min="12789" max="12789" width="1" style="22" customWidth="1"/>
    <col min="12790" max="12790" width="39.140625" style="22" customWidth="1"/>
    <col min="12791" max="12791" width="21.42578125" style="22" customWidth="1"/>
    <col min="12792" max="12792" width="11.28515625" style="22" customWidth="1"/>
    <col min="12793" max="12793" width="9.5703125" style="22" customWidth="1"/>
    <col min="12794" max="12794" width="13.5703125" style="22" customWidth="1"/>
    <col min="12795" max="12804" width="12.140625" style="22" customWidth="1"/>
    <col min="12805" max="12814" width="0" style="22" hidden="1" customWidth="1"/>
    <col min="12815" max="12815" width="14.140625" style="22" customWidth="1"/>
    <col min="12816" max="13044" width="9.140625" style="22"/>
    <col min="13045" max="13045" width="1" style="22" customWidth="1"/>
    <col min="13046" max="13046" width="39.140625" style="22" customWidth="1"/>
    <col min="13047" max="13047" width="21.42578125" style="22" customWidth="1"/>
    <col min="13048" max="13048" width="11.28515625" style="22" customWidth="1"/>
    <col min="13049" max="13049" width="9.5703125" style="22" customWidth="1"/>
    <col min="13050" max="13050" width="13.5703125" style="22" customWidth="1"/>
    <col min="13051" max="13060" width="12.140625" style="22" customWidth="1"/>
    <col min="13061" max="13070" width="0" style="22" hidden="1" customWidth="1"/>
    <col min="13071" max="13071" width="14.140625" style="22" customWidth="1"/>
    <col min="13072" max="13300" width="9.140625" style="22"/>
    <col min="13301" max="13301" width="1" style="22" customWidth="1"/>
    <col min="13302" max="13302" width="39.140625" style="22" customWidth="1"/>
    <col min="13303" max="13303" width="21.42578125" style="22" customWidth="1"/>
    <col min="13304" max="13304" width="11.28515625" style="22" customWidth="1"/>
    <col min="13305" max="13305" width="9.5703125" style="22" customWidth="1"/>
    <col min="13306" max="13306" width="13.5703125" style="22" customWidth="1"/>
    <col min="13307" max="13316" width="12.140625" style="22" customWidth="1"/>
    <col min="13317" max="13326" width="0" style="22" hidden="1" customWidth="1"/>
    <col min="13327" max="13327" width="14.140625" style="22" customWidth="1"/>
    <col min="13328" max="13556" width="9.140625" style="22"/>
    <col min="13557" max="13557" width="1" style="22" customWidth="1"/>
    <col min="13558" max="13558" width="39.140625" style="22" customWidth="1"/>
    <col min="13559" max="13559" width="21.42578125" style="22" customWidth="1"/>
    <col min="13560" max="13560" width="11.28515625" style="22" customWidth="1"/>
    <col min="13561" max="13561" width="9.5703125" style="22" customWidth="1"/>
    <col min="13562" max="13562" width="13.5703125" style="22" customWidth="1"/>
    <col min="13563" max="13572" width="12.140625" style="22" customWidth="1"/>
    <col min="13573" max="13582" width="0" style="22" hidden="1" customWidth="1"/>
    <col min="13583" max="13583" width="14.140625" style="22" customWidth="1"/>
    <col min="13584" max="13812" width="9.140625" style="22"/>
    <col min="13813" max="13813" width="1" style="22" customWidth="1"/>
    <col min="13814" max="13814" width="39.140625" style="22" customWidth="1"/>
    <col min="13815" max="13815" width="21.42578125" style="22" customWidth="1"/>
    <col min="13816" max="13816" width="11.28515625" style="22" customWidth="1"/>
    <col min="13817" max="13817" width="9.5703125" style="22" customWidth="1"/>
    <col min="13818" max="13818" width="13.5703125" style="22" customWidth="1"/>
    <col min="13819" max="13828" width="12.140625" style="22" customWidth="1"/>
    <col min="13829" max="13838" width="0" style="22" hidden="1" customWidth="1"/>
    <col min="13839" max="13839" width="14.140625" style="22" customWidth="1"/>
    <col min="13840" max="14068" width="9.140625" style="22"/>
    <col min="14069" max="14069" width="1" style="22" customWidth="1"/>
    <col min="14070" max="14070" width="39.140625" style="22" customWidth="1"/>
    <col min="14071" max="14071" width="21.42578125" style="22" customWidth="1"/>
    <col min="14072" max="14072" width="11.28515625" style="22" customWidth="1"/>
    <col min="14073" max="14073" width="9.5703125" style="22" customWidth="1"/>
    <col min="14074" max="14074" width="13.5703125" style="22" customWidth="1"/>
    <col min="14075" max="14084" width="12.140625" style="22" customWidth="1"/>
    <col min="14085" max="14094" width="0" style="22" hidden="1" customWidth="1"/>
    <col min="14095" max="14095" width="14.140625" style="22" customWidth="1"/>
    <col min="14096" max="14324" width="9.140625" style="22"/>
    <col min="14325" max="14325" width="1" style="22" customWidth="1"/>
    <col min="14326" max="14326" width="39.140625" style="22" customWidth="1"/>
    <col min="14327" max="14327" width="21.42578125" style="22" customWidth="1"/>
    <col min="14328" max="14328" width="11.28515625" style="22" customWidth="1"/>
    <col min="14329" max="14329" width="9.5703125" style="22" customWidth="1"/>
    <col min="14330" max="14330" width="13.5703125" style="22" customWidth="1"/>
    <col min="14331" max="14340" width="12.140625" style="22" customWidth="1"/>
    <col min="14341" max="14350" width="0" style="22" hidden="1" customWidth="1"/>
    <col min="14351" max="14351" width="14.140625" style="22" customWidth="1"/>
    <col min="14352" max="14580" width="9.140625" style="22"/>
    <col min="14581" max="14581" width="1" style="22" customWidth="1"/>
    <col min="14582" max="14582" width="39.140625" style="22" customWidth="1"/>
    <col min="14583" max="14583" width="21.42578125" style="22" customWidth="1"/>
    <col min="14584" max="14584" width="11.28515625" style="22" customWidth="1"/>
    <col min="14585" max="14585" width="9.5703125" style="22" customWidth="1"/>
    <col min="14586" max="14586" width="13.5703125" style="22" customWidth="1"/>
    <col min="14587" max="14596" width="12.140625" style="22" customWidth="1"/>
    <col min="14597" max="14606" width="0" style="22" hidden="1" customWidth="1"/>
    <col min="14607" max="14607" width="14.140625" style="22" customWidth="1"/>
    <col min="14608" max="14836" width="9.140625" style="22"/>
    <col min="14837" max="14837" width="1" style="22" customWidth="1"/>
    <col min="14838" max="14838" width="39.140625" style="22" customWidth="1"/>
    <col min="14839" max="14839" width="21.42578125" style="22" customWidth="1"/>
    <col min="14840" max="14840" width="11.28515625" style="22" customWidth="1"/>
    <col min="14841" max="14841" width="9.5703125" style="22" customWidth="1"/>
    <col min="14842" max="14842" width="13.5703125" style="22" customWidth="1"/>
    <col min="14843" max="14852" width="12.140625" style="22" customWidth="1"/>
    <col min="14853" max="14862" width="0" style="22" hidden="1" customWidth="1"/>
    <col min="14863" max="14863" width="14.140625" style="22" customWidth="1"/>
    <col min="14864" max="15092" width="9.140625" style="22"/>
    <col min="15093" max="15093" width="1" style="22" customWidth="1"/>
    <col min="15094" max="15094" width="39.140625" style="22" customWidth="1"/>
    <col min="15095" max="15095" width="21.42578125" style="22" customWidth="1"/>
    <col min="15096" max="15096" width="11.28515625" style="22" customWidth="1"/>
    <col min="15097" max="15097" width="9.5703125" style="22" customWidth="1"/>
    <col min="15098" max="15098" width="13.5703125" style="22" customWidth="1"/>
    <col min="15099" max="15108" width="12.140625" style="22" customWidth="1"/>
    <col min="15109" max="15118" width="0" style="22" hidden="1" customWidth="1"/>
    <col min="15119" max="15119" width="14.140625" style="22" customWidth="1"/>
    <col min="15120" max="15348" width="9.140625" style="22"/>
    <col min="15349" max="15349" width="1" style="22" customWidth="1"/>
    <col min="15350" max="15350" width="39.140625" style="22" customWidth="1"/>
    <col min="15351" max="15351" width="21.42578125" style="22" customWidth="1"/>
    <col min="15352" max="15352" width="11.28515625" style="22" customWidth="1"/>
    <col min="15353" max="15353" width="9.5703125" style="22" customWidth="1"/>
    <col min="15354" max="15354" width="13.5703125" style="22" customWidth="1"/>
    <col min="15355" max="15364" width="12.140625" style="22" customWidth="1"/>
    <col min="15365" max="15374" width="0" style="22" hidden="1" customWidth="1"/>
    <col min="15375" max="15375" width="14.140625" style="22" customWidth="1"/>
    <col min="15376" max="15604" width="9.140625" style="22"/>
    <col min="15605" max="15605" width="1" style="22" customWidth="1"/>
    <col min="15606" max="15606" width="39.140625" style="22" customWidth="1"/>
    <col min="15607" max="15607" width="21.42578125" style="22" customWidth="1"/>
    <col min="15608" max="15608" width="11.28515625" style="22" customWidth="1"/>
    <col min="15609" max="15609" width="9.5703125" style="22" customWidth="1"/>
    <col min="15610" max="15610" width="13.5703125" style="22" customWidth="1"/>
    <col min="15611" max="15620" width="12.140625" style="22" customWidth="1"/>
    <col min="15621" max="15630" width="0" style="22" hidden="1" customWidth="1"/>
    <col min="15631" max="15631" width="14.140625" style="22" customWidth="1"/>
    <col min="15632" max="15860" width="9.140625" style="22"/>
    <col min="15861" max="15861" width="1" style="22" customWidth="1"/>
    <col min="15862" max="15862" width="39.140625" style="22" customWidth="1"/>
    <col min="15863" max="15863" width="21.42578125" style="22" customWidth="1"/>
    <col min="15864" max="15864" width="11.28515625" style="22" customWidth="1"/>
    <col min="15865" max="15865" width="9.5703125" style="22" customWidth="1"/>
    <col min="15866" max="15866" width="13.5703125" style="22" customWidth="1"/>
    <col min="15867" max="15876" width="12.140625" style="22" customWidth="1"/>
    <col min="15877" max="15886" width="0" style="22" hidden="1" customWidth="1"/>
    <col min="15887" max="15887" width="14.140625" style="22" customWidth="1"/>
    <col min="15888" max="16116" width="9.140625" style="22"/>
    <col min="16117" max="16117" width="1" style="22" customWidth="1"/>
    <col min="16118" max="16118" width="39.140625" style="22" customWidth="1"/>
    <col min="16119" max="16119" width="21.42578125" style="22" customWidth="1"/>
    <col min="16120" max="16120" width="11.28515625" style="22" customWidth="1"/>
    <col min="16121" max="16121" width="9.5703125" style="22" customWidth="1"/>
    <col min="16122" max="16122" width="13.5703125" style="22" customWidth="1"/>
    <col min="16123" max="16132" width="12.140625" style="22" customWidth="1"/>
    <col min="16133" max="16142" width="0" style="22" hidden="1" customWidth="1"/>
    <col min="16143" max="16143" width="14.140625" style="22" customWidth="1"/>
    <col min="16144" max="16384" width="9.140625" style="22"/>
  </cols>
  <sheetData>
    <row r="1" spans="1:16" s="23" customFormat="1" ht="22.5" customHeight="1">
      <c r="A1" s="206" t="s">
        <v>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</row>
    <row r="2" spans="1:16" ht="12.75" customHeight="1"/>
    <row r="3" spans="1:16" ht="12.75" customHeight="1"/>
    <row r="4" spans="1:16" ht="31.5" customHeight="1">
      <c r="A4" s="207" t="s">
        <v>1</v>
      </c>
      <c r="B4" s="207" t="s">
        <v>2</v>
      </c>
      <c r="C4" s="207" t="s">
        <v>3</v>
      </c>
      <c r="D4" s="207" t="s">
        <v>4</v>
      </c>
      <c r="E4" s="207"/>
      <c r="F4" s="208" t="s">
        <v>5</v>
      </c>
      <c r="G4" s="26"/>
      <c r="H4" s="26"/>
      <c r="I4" s="26"/>
      <c r="J4" s="26"/>
      <c r="K4" s="26"/>
      <c r="L4" s="26"/>
      <c r="M4" s="26"/>
      <c r="N4" s="26"/>
      <c r="O4" s="26"/>
      <c r="P4" s="208" t="s">
        <v>6</v>
      </c>
    </row>
    <row r="5" spans="1:16" s="24" customFormat="1" ht="23.25" customHeight="1">
      <c r="A5" s="207"/>
      <c r="B5" s="207"/>
      <c r="C5" s="207"/>
      <c r="D5" s="27" t="s">
        <v>7</v>
      </c>
      <c r="E5" s="27" t="s">
        <v>8</v>
      </c>
      <c r="F5" s="208"/>
      <c r="G5" s="28">
        <v>2020</v>
      </c>
      <c r="H5" s="28">
        <v>2021</v>
      </c>
      <c r="I5" s="28">
        <v>2022</v>
      </c>
      <c r="J5" s="28">
        <v>2023</v>
      </c>
      <c r="K5" s="28">
        <v>2024</v>
      </c>
      <c r="L5" s="28">
        <v>2025</v>
      </c>
      <c r="M5" s="28">
        <v>2026</v>
      </c>
      <c r="N5" s="28">
        <v>2027</v>
      </c>
      <c r="O5" s="28">
        <v>2028</v>
      </c>
      <c r="P5" s="208"/>
    </row>
    <row r="6" spans="1:16" s="31" customFormat="1" ht="15" customHeight="1">
      <c r="A6" s="30">
        <v>1</v>
      </c>
      <c r="B6" s="29">
        <v>2</v>
      </c>
      <c r="C6" s="29">
        <v>3</v>
      </c>
      <c r="D6" s="29">
        <v>4</v>
      </c>
      <c r="E6" s="29">
        <v>5</v>
      </c>
      <c r="F6" s="30">
        <v>6</v>
      </c>
      <c r="G6" s="29">
        <v>7</v>
      </c>
      <c r="H6" s="29">
        <v>8</v>
      </c>
      <c r="I6" s="29">
        <v>9</v>
      </c>
      <c r="J6" s="29">
        <v>10</v>
      </c>
      <c r="K6" s="29">
        <v>11</v>
      </c>
      <c r="L6" s="29">
        <v>12</v>
      </c>
      <c r="M6" s="29">
        <v>13</v>
      </c>
      <c r="N6" s="29">
        <v>14</v>
      </c>
      <c r="O6" s="29">
        <v>15</v>
      </c>
      <c r="P6" s="29">
        <v>16</v>
      </c>
    </row>
    <row r="7" spans="1:16" s="34" customFormat="1" ht="18.75" customHeight="1">
      <c r="A7" s="32" t="s">
        <v>9</v>
      </c>
      <c r="B7" s="205" t="s">
        <v>10</v>
      </c>
      <c r="C7" s="205"/>
      <c r="D7" s="205"/>
      <c r="E7" s="205"/>
      <c r="F7" s="33">
        <f t="shared" ref="F7:P7" si="0">SUM(F10,F22,F25)</f>
        <v>108124664</v>
      </c>
      <c r="G7" s="33">
        <f t="shared" si="0"/>
        <v>20319849</v>
      </c>
      <c r="H7" s="33">
        <f t="shared" si="0"/>
        <v>16785433</v>
      </c>
      <c r="I7" s="33">
        <f t="shared" si="0"/>
        <v>14852437</v>
      </c>
      <c r="J7" s="33">
        <f t="shared" si="0"/>
        <v>11763540</v>
      </c>
      <c r="K7" s="33">
        <f t="shared" si="0"/>
        <v>11590000</v>
      </c>
      <c r="L7" s="33">
        <f t="shared" si="0"/>
        <v>6050000</v>
      </c>
      <c r="M7" s="33">
        <f t="shared" si="0"/>
        <v>950000</v>
      </c>
      <c r="N7" s="33">
        <f t="shared" si="0"/>
        <v>1050000</v>
      </c>
      <c r="O7" s="33">
        <f t="shared" si="0"/>
        <v>700000</v>
      </c>
      <c r="P7" s="33">
        <f t="shared" si="0"/>
        <v>84061259</v>
      </c>
    </row>
    <row r="8" spans="1:16" s="34" customFormat="1" ht="18.75" customHeight="1">
      <c r="A8" s="32" t="s">
        <v>11</v>
      </c>
      <c r="B8" s="205" t="s">
        <v>12</v>
      </c>
      <c r="C8" s="205"/>
      <c r="D8" s="205"/>
      <c r="E8" s="205"/>
      <c r="F8" s="33">
        <f t="shared" ref="F8:P8" si="1">SUM(F11,F23,F26)</f>
        <v>11538973</v>
      </c>
      <c r="G8" s="33">
        <f t="shared" si="1"/>
        <v>3349568</v>
      </c>
      <c r="H8" s="33">
        <f t="shared" si="1"/>
        <v>2215433</v>
      </c>
      <c r="I8" s="33">
        <f t="shared" si="1"/>
        <v>1132437</v>
      </c>
      <c r="J8" s="33">
        <f t="shared" si="1"/>
        <v>903540</v>
      </c>
      <c r="K8" s="33">
        <f t="shared" si="1"/>
        <v>0</v>
      </c>
      <c r="L8" s="33">
        <f t="shared" si="1"/>
        <v>0</v>
      </c>
      <c r="M8" s="33">
        <f t="shared" si="1"/>
        <v>0</v>
      </c>
      <c r="N8" s="33">
        <f t="shared" si="1"/>
        <v>0</v>
      </c>
      <c r="O8" s="33">
        <f t="shared" si="1"/>
        <v>0</v>
      </c>
      <c r="P8" s="33">
        <f t="shared" si="1"/>
        <v>7600978</v>
      </c>
    </row>
    <row r="9" spans="1:16" s="34" customFormat="1" ht="18.75" customHeight="1">
      <c r="A9" s="32" t="s">
        <v>13</v>
      </c>
      <c r="B9" s="205" t="s">
        <v>14</v>
      </c>
      <c r="C9" s="205"/>
      <c r="D9" s="205"/>
      <c r="E9" s="205"/>
      <c r="F9" s="33">
        <f t="shared" ref="F9:P9" si="2">SUM(F21,F24,F30)</f>
        <v>96585691</v>
      </c>
      <c r="G9" s="33">
        <f t="shared" si="2"/>
        <v>16970281</v>
      </c>
      <c r="H9" s="33">
        <f t="shared" si="2"/>
        <v>14570000</v>
      </c>
      <c r="I9" s="33">
        <f t="shared" si="2"/>
        <v>13720000</v>
      </c>
      <c r="J9" s="33">
        <f t="shared" si="2"/>
        <v>10860000</v>
      </c>
      <c r="K9" s="33">
        <f t="shared" si="2"/>
        <v>11590000</v>
      </c>
      <c r="L9" s="33">
        <f t="shared" si="2"/>
        <v>6050000</v>
      </c>
      <c r="M9" s="33">
        <f t="shared" si="2"/>
        <v>950000</v>
      </c>
      <c r="N9" s="33">
        <f t="shared" si="2"/>
        <v>1050000</v>
      </c>
      <c r="O9" s="33">
        <f t="shared" si="2"/>
        <v>700000</v>
      </c>
      <c r="P9" s="33">
        <f t="shared" si="2"/>
        <v>76460281</v>
      </c>
    </row>
    <row r="10" spans="1:16" s="36" customFormat="1" ht="48.75" customHeight="1">
      <c r="A10" s="32" t="s">
        <v>15</v>
      </c>
      <c r="B10" s="205" t="s">
        <v>122</v>
      </c>
      <c r="C10" s="205"/>
      <c r="D10" s="205"/>
      <c r="E10" s="205"/>
      <c r="F10" s="35">
        <f>SUM(F11,F21)</f>
        <v>9598769</v>
      </c>
      <c r="G10" s="35">
        <f t="shared" ref="G10:P10" si="3">SUM(G11,G21)</f>
        <v>2868420</v>
      </c>
      <c r="H10" s="35">
        <f t="shared" si="3"/>
        <v>1729285</v>
      </c>
      <c r="I10" s="35">
        <f t="shared" si="3"/>
        <v>1022437</v>
      </c>
      <c r="J10" s="35">
        <f t="shared" si="3"/>
        <v>903540</v>
      </c>
      <c r="K10" s="35">
        <f t="shared" si="3"/>
        <v>0</v>
      </c>
      <c r="L10" s="35">
        <f t="shared" si="3"/>
        <v>0</v>
      </c>
      <c r="M10" s="35">
        <f t="shared" si="3"/>
        <v>0</v>
      </c>
      <c r="N10" s="35">
        <f t="shared" si="3"/>
        <v>0</v>
      </c>
      <c r="O10" s="35">
        <f t="shared" si="3"/>
        <v>0</v>
      </c>
      <c r="P10" s="35">
        <f t="shared" si="3"/>
        <v>6523682</v>
      </c>
    </row>
    <row r="11" spans="1:16" s="34" customFormat="1" ht="18.75" customHeight="1">
      <c r="A11" s="32" t="s">
        <v>16</v>
      </c>
      <c r="B11" s="205" t="s">
        <v>12</v>
      </c>
      <c r="C11" s="205"/>
      <c r="D11" s="205"/>
      <c r="E11" s="205"/>
      <c r="F11" s="33">
        <f>SUM(F12:F20)</f>
        <v>9598769</v>
      </c>
      <c r="G11" s="33">
        <f>SUM(G12:G20)</f>
        <v>2868420</v>
      </c>
      <c r="H11" s="33">
        <f t="shared" ref="H11:O11" si="4">SUM(H12:H20)</f>
        <v>1729285</v>
      </c>
      <c r="I11" s="33">
        <f t="shared" si="4"/>
        <v>1022437</v>
      </c>
      <c r="J11" s="33">
        <f t="shared" si="4"/>
        <v>903540</v>
      </c>
      <c r="K11" s="33">
        <f t="shared" si="4"/>
        <v>0</v>
      </c>
      <c r="L11" s="33">
        <f t="shared" si="4"/>
        <v>0</v>
      </c>
      <c r="M11" s="33">
        <f t="shared" si="4"/>
        <v>0</v>
      </c>
      <c r="N11" s="33">
        <f t="shared" si="4"/>
        <v>0</v>
      </c>
      <c r="O11" s="33">
        <f t="shared" si="4"/>
        <v>0</v>
      </c>
      <c r="P11" s="33">
        <f>SUM(P12:P20)</f>
        <v>6523682</v>
      </c>
    </row>
    <row r="12" spans="1:16" s="43" customFormat="1" ht="42" customHeight="1">
      <c r="A12" s="39" t="s">
        <v>98</v>
      </c>
      <c r="B12" s="37" t="s">
        <v>22</v>
      </c>
      <c r="C12" s="38" t="s">
        <v>18</v>
      </c>
      <c r="D12" s="39">
        <v>2018</v>
      </c>
      <c r="E12" s="39">
        <v>2020</v>
      </c>
      <c r="F12" s="40">
        <v>643517</v>
      </c>
      <c r="G12" s="41">
        <v>134772</v>
      </c>
      <c r="H12" s="41"/>
      <c r="I12" s="41"/>
      <c r="J12" s="41"/>
      <c r="K12" s="41"/>
      <c r="L12" s="41"/>
      <c r="M12" s="41"/>
      <c r="N12" s="41"/>
      <c r="O12" s="41"/>
      <c r="P12" s="42">
        <f t="shared" ref="P12:P20" si="5">SUM(G12:N12)</f>
        <v>134772</v>
      </c>
    </row>
    <row r="13" spans="1:16" s="43" customFormat="1" ht="42" customHeight="1">
      <c r="A13" s="39" t="s">
        <v>99</v>
      </c>
      <c r="B13" s="37" t="s">
        <v>106</v>
      </c>
      <c r="C13" s="38" t="s">
        <v>108</v>
      </c>
      <c r="D13" s="39">
        <v>2019</v>
      </c>
      <c r="E13" s="39">
        <v>2022</v>
      </c>
      <c r="F13" s="40">
        <v>805245</v>
      </c>
      <c r="G13" s="41">
        <v>109523</v>
      </c>
      <c r="H13" s="41">
        <v>109536</v>
      </c>
      <c r="I13" s="41">
        <v>59275</v>
      </c>
      <c r="J13" s="41"/>
      <c r="K13" s="41"/>
      <c r="L13" s="41"/>
      <c r="M13" s="41"/>
      <c r="N13" s="41"/>
      <c r="O13" s="41"/>
      <c r="P13" s="42">
        <f t="shared" si="5"/>
        <v>278334</v>
      </c>
    </row>
    <row r="14" spans="1:16" s="43" customFormat="1" ht="42" customHeight="1">
      <c r="A14" s="39" t="s">
        <v>100</v>
      </c>
      <c r="B14" s="37" t="s">
        <v>107</v>
      </c>
      <c r="C14" s="38" t="s">
        <v>18</v>
      </c>
      <c r="D14" s="39">
        <v>2019</v>
      </c>
      <c r="E14" s="39">
        <v>2022</v>
      </c>
      <c r="F14" s="40">
        <v>830404</v>
      </c>
      <c r="G14" s="41">
        <v>186287</v>
      </c>
      <c r="H14" s="41">
        <v>181624</v>
      </c>
      <c r="I14" s="41">
        <v>59621</v>
      </c>
      <c r="J14" s="41"/>
      <c r="K14" s="41"/>
      <c r="L14" s="41"/>
      <c r="M14" s="41"/>
      <c r="N14" s="41"/>
      <c r="O14" s="41"/>
      <c r="P14" s="42">
        <f t="shared" si="5"/>
        <v>427532</v>
      </c>
    </row>
    <row r="15" spans="1:16" s="43" customFormat="1" ht="42" customHeight="1">
      <c r="A15" s="39" t="s">
        <v>19</v>
      </c>
      <c r="B15" s="37" t="s">
        <v>199</v>
      </c>
      <c r="C15" s="38" t="s">
        <v>18</v>
      </c>
      <c r="D15" s="39">
        <v>2019</v>
      </c>
      <c r="E15" s="39">
        <v>2021</v>
      </c>
      <c r="F15" s="40">
        <v>641116</v>
      </c>
      <c r="G15" s="41">
        <v>507890</v>
      </c>
      <c r="H15" s="41">
        <v>133226</v>
      </c>
      <c r="I15" s="41"/>
      <c r="J15" s="41"/>
      <c r="K15" s="41"/>
      <c r="L15" s="41"/>
      <c r="M15" s="41"/>
      <c r="N15" s="41"/>
      <c r="O15" s="41"/>
      <c r="P15" s="42">
        <f t="shared" si="5"/>
        <v>641116</v>
      </c>
    </row>
    <row r="16" spans="1:16" s="43" customFormat="1" ht="42" customHeight="1">
      <c r="A16" s="39" t="s">
        <v>20</v>
      </c>
      <c r="B16" s="44" t="s">
        <v>220</v>
      </c>
      <c r="C16" s="38" t="s">
        <v>18</v>
      </c>
      <c r="D16" s="45">
        <v>2020</v>
      </c>
      <c r="E16" s="45">
        <v>2021</v>
      </c>
      <c r="F16" s="46">
        <v>256153</v>
      </c>
      <c r="G16" s="47">
        <v>204922</v>
      </c>
      <c r="H16" s="47">
        <v>51231</v>
      </c>
      <c r="I16" s="47"/>
      <c r="J16" s="47"/>
      <c r="K16" s="47"/>
      <c r="L16" s="47"/>
      <c r="M16" s="47"/>
      <c r="N16" s="47"/>
      <c r="O16" s="47"/>
      <c r="P16" s="48">
        <f t="shared" si="5"/>
        <v>256153</v>
      </c>
    </row>
    <row r="17" spans="1:17" s="50" customFormat="1" ht="47.25" customHeight="1">
      <c r="A17" s="39" t="s">
        <v>101</v>
      </c>
      <c r="B17" s="188" t="s">
        <v>345</v>
      </c>
      <c r="C17" s="189" t="s">
        <v>346</v>
      </c>
      <c r="D17" s="138">
        <v>2020</v>
      </c>
      <c r="E17" s="138">
        <v>2021</v>
      </c>
      <c r="F17" s="190">
        <v>132789</v>
      </c>
      <c r="G17" s="191">
        <v>104925</v>
      </c>
      <c r="H17" s="191">
        <v>27864</v>
      </c>
      <c r="I17" s="191"/>
      <c r="J17" s="191"/>
      <c r="K17" s="191"/>
      <c r="L17" s="191"/>
      <c r="M17" s="191"/>
      <c r="N17" s="191"/>
      <c r="O17" s="191"/>
      <c r="P17" s="190">
        <f t="shared" si="5"/>
        <v>132789</v>
      </c>
    </row>
    <row r="18" spans="1:17" s="43" customFormat="1" ht="48" customHeight="1">
      <c r="A18" s="39" t="s">
        <v>104</v>
      </c>
      <c r="B18" s="37" t="s">
        <v>21</v>
      </c>
      <c r="C18" s="38" t="s">
        <v>17</v>
      </c>
      <c r="D18" s="39">
        <v>2018</v>
      </c>
      <c r="E18" s="39">
        <v>2020</v>
      </c>
      <c r="F18" s="42">
        <v>2794923</v>
      </c>
      <c r="G18" s="49">
        <f>1197543+17358-19512</f>
        <v>1195389</v>
      </c>
      <c r="H18" s="49"/>
      <c r="I18" s="49"/>
      <c r="J18" s="49"/>
      <c r="K18" s="49"/>
      <c r="L18" s="49"/>
      <c r="M18" s="49"/>
      <c r="N18" s="49"/>
      <c r="O18" s="49"/>
      <c r="P18" s="42">
        <f t="shared" si="5"/>
        <v>1195389</v>
      </c>
    </row>
    <row r="19" spans="1:17" s="43" customFormat="1" ht="54" customHeight="1">
      <c r="A19" s="39" t="s">
        <v>105</v>
      </c>
      <c r="B19" s="37" t="s">
        <v>234</v>
      </c>
      <c r="C19" s="38" t="s">
        <v>17</v>
      </c>
      <c r="D19" s="39">
        <v>2021</v>
      </c>
      <c r="E19" s="39">
        <v>2023</v>
      </c>
      <c r="F19" s="42">
        <v>2710622</v>
      </c>
      <c r="G19" s="49">
        <v>0</v>
      </c>
      <c r="H19" s="49">
        <v>903541</v>
      </c>
      <c r="I19" s="49">
        <v>903541</v>
      </c>
      <c r="J19" s="49">
        <v>903540</v>
      </c>
      <c r="K19" s="49"/>
      <c r="L19" s="49"/>
      <c r="M19" s="49"/>
      <c r="N19" s="49"/>
      <c r="O19" s="49"/>
      <c r="P19" s="42">
        <f>SUM(G19:N19)</f>
        <v>2710622</v>
      </c>
    </row>
    <row r="20" spans="1:17" s="50" customFormat="1" ht="42.75" customHeight="1">
      <c r="A20" s="39" t="s">
        <v>344</v>
      </c>
      <c r="B20" s="37" t="s">
        <v>117</v>
      </c>
      <c r="C20" s="38" t="s">
        <v>17</v>
      </c>
      <c r="D20" s="39">
        <v>2019</v>
      </c>
      <c r="E20" s="39">
        <v>2021</v>
      </c>
      <c r="F20" s="40">
        <v>784000</v>
      </c>
      <c r="G20" s="41">
        <v>424712</v>
      </c>
      <c r="H20" s="41">
        <v>322263</v>
      </c>
      <c r="I20" s="41"/>
      <c r="J20" s="41"/>
      <c r="K20" s="41"/>
      <c r="L20" s="41"/>
      <c r="M20" s="41"/>
      <c r="N20" s="41"/>
      <c r="O20" s="41"/>
      <c r="P20" s="42">
        <f t="shared" si="5"/>
        <v>746975</v>
      </c>
    </row>
    <row r="21" spans="1:17" s="34" customFormat="1" ht="18.75" customHeight="1">
      <c r="A21" s="32" t="s">
        <v>23</v>
      </c>
      <c r="B21" s="202" t="s">
        <v>14</v>
      </c>
      <c r="C21" s="203"/>
      <c r="D21" s="203"/>
      <c r="E21" s="204"/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51"/>
    </row>
    <row r="22" spans="1:17" s="36" customFormat="1" ht="33.75" customHeight="1">
      <c r="A22" s="32" t="s">
        <v>25</v>
      </c>
      <c r="B22" s="202" t="s">
        <v>26</v>
      </c>
      <c r="C22" s="203"/>
      <c r="D22" s="203"/>
      <c r="E22" s="204"/>
      <c r="F22" s="35">
        <f t="shared" ref="F22:P22" si="6">SUM(F23:F24)</f>
        <v>0</v>
      </c>
      <c r="G22" s="35">
        <f>SUM(G23:G24)</f>
        <v>0</v>
      </c>
      <c r="H22" s="35">
        <f t="shared" si="6"/>
        <v>0</v>
      </c>
      <c r="I22" s="35">
        <f t="shared" si="6"/>
        <v>0</v>
      </c>
      <c r="J22" s="35">
        <f t="shared" si="6"/>
        <v>0</v>
      </c>
      <c r="K22" s="35">
        <f t="shared" si="6"/>
        <v>0</v>
      </c>
      <c r="L22" s="35">
        <f t="shared" si="6"/>
        <v>0</v>
      </c>
      <c r="M22" s="35">
        <f t="shared" si="6"/>
        <v>0</v>
      </c>
      <c r="N22" s="35">
        <f t="shared" si="6"/>
        <v>0</v>
      </c>
      <c r="O22" s="35">
        <f t="shared" si="6"/>
        <v>0</v>
      </c>
      <c r="P22" s="35">
        <f t="shared" si="6"/>
        <v>0</v>
      </c>
    </row>
    <row r="23" spans="1:17" s="36" customFormat="1" ht="18.75" customHeight="1">
      <c r="A23" s="32" t="s">
        <v>27</v>
      </c>
      <c r="B23" s="202" t="s">
        <v>12</v>
      </c>
      <c r="C23" s="203"/>
      <c r="D23" s="203"/>
      <c r="E23" s="204"/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</row>
    <row r="24" spans="1:17" s="36" customFormat="1" ht="18.75" customHeight="1">
      <c r="A24" s="32" t="s">
        <v>28</v>
      </c>
      <c r="B24" s="202" t="s">
        <v>14</v>
      </c>
      <c r="C24" s="203"/>
      <c r="D24" s="203"/>
      <c r="E24" s="204"/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</row>
    <row r="25" spans="1:17" s="36" customFormat="1" ht="18.75" customHeight="1">
      <c r="A25" s="32" t="s">
        <v>29</v>
      </c>
      <c r="B25" s="202" t="s">
        <v>30</v>
      </c>
      <c r="C25" s="203"/>
      <c r="D25" s="203"/>
      <c r="E25" s="204"/>
      <c r="F25" s="35">
        <f>SUM(F26,F30)</f>
        <v>98525895</v>
      </c>
      <c r="G25" s="35">
        <f t="shared" ref="G25:P25" si="7">SUM(G26,G30)</f>
        <v>17451429</v>
      </c>
      <c r="H25" s="35">
        <f t="shared" si="7"/>
        <v>15056148</v>
      </c>
      <c r="I25" s="35">
        <f t="shared" si="7"/>
        <v>13830000</v>
      </c>
      <c r="J25" s="35">
        <f t="shared" si="7"/>
        <v>10860000</v>
      </c>
      <c r="K25" s="35">
        <f t="shared" si="7"/>
        <v>11590000</v>
      </c>
      <c r="L25" s="35">
        <f t="shared" si="7"/>
        <v>6050000</v>
      </c>
      <c r="M25" s="35">
        <f t="shared" si="7"/>
        <v>950000</v>
      </c>
      <c r="N25" s="35">
        <f t="shared" si="7"/>
        <v>1050000</v>
      </c>
      <c r="O25" s="35">
        <f t="shared" si="7"/>
        <v>700000</v>
      </c>
      <c r="P25" s="35">
        <f t="shared" si="7"/>
        <v>77537577</v>
      </c>
    </row>
    <row r="26" spans="1:17" s="36" customFormat="1" ht="18.75" customHeight="1">
      <c r="A26" s="32" t="s">
        <v>31</v>
      </c>
      <c r="B26" s="202" t="s">
        <v>12</v>
      </c>
      <c r="C26" s="203"/>
      <c r="D26" s="203"/>
      <c r="E26" s="204"/>
      <c r="F26" s="35">
        <f>SUM(F27:F29)</f>
        <v>1940204</v>
      </c>
      <c r="G26" s="35">
        <f t="shared" ref="G26:P26" si="8">SUM(G27:G29)</f>
        <v>481148</v>
      </c>
      <c r="H26" s="35">
        <f t="shared" si="8"/>
        <v>486148</v>
      </c>
      <c r="I26" s="35">
        <f t="shared" si="8"/>
        <v>110000</v>
      </c>
      <c r="J26" s="35">
        <f t="shared" si="8"/>
        <v>0</v>
      </c>
      <c r="K26" s="35">
        <f t="shared" si="8"/>
        <v>0</v>
      </c>
      <c r="L26" s="35">
        <f t="shared" si="8"/>
        <v>0</v>
      </c>
      <c r="M26" s="35">
        <f t="shared" si="8"/>
        <v>0</v>
      </c>
      <c r="N26" s="35">
        <f t="shared" si="8"/>
        <v>0</v>
      </c>
      <c r="O26" s="35">
        <f t="shared" si="8"/>
        <v>0</v>
      </c>
      <c r="P26" s="35">
        <f t="shared" si="8"/>
        <v>1077296</v>
      </c>
    </row>
    <row r="27" spans="1:17" s="50" customFormat="1" ht="36" customHeight="1">
      <c r="A27" s="39" t="s">
        <v>32</v>
      </c>
      <c r="B27" s="37" t="s">
        <v>33</v>
      </c>
      <c r="C27" s="38" t="s">
        <v>24</v>
      </c>
      <c r="D27" s="39">
        <v>2017</v>
      </c>
      <c r="E27" s="39">
        <v>2022</v>
      </c>
      <c r="F27" s="40">
        <f>240000+5000+100000+105000+110000</f>
        <v>560000</v>
      </c>
      <c r="G27" s="41">
        <v>100000</v>
      </c>
      <c r="H27" s="41">
        <v>105000</v>
      </c>
      <c r="I27" s="41">
        <v>110000</v>
      </c>
      <c r="J27" s="41"/>
      <c r="K27" s="41"/>
      <c r="L27" s="41"/>
      <c r="M27" s="41"/>
      <c r="N27" s="41"/>
      <c r="O27" s="41"/>
      <c r="P27" s="40">
        <f>SUM(G27:N27)</f>
        <v>315000</v>
      </c>
    </row>
    <row r="28" spans="1:17" s="43" customFormat="1" ht="52.5" customHeight="1">
      <c r="A28" s="39" t="s">
        <v>34</v>
      </c>
      <c r="B28" s="37" t="s">
        <v>35</v>
      </c>
      <c r="C28" s="38" t="s">
        <v>36</v>
      </c>
      <c r="D28" s="39">
        <v>2017</v>
      </c>
      <c r="E28" s="39">
        <v>2021</v>
      </c>
      <c r="F28" s="42">
        <v>1359960</v>
      </c>
      <c r="G28" s="49">
        <v>374400</v>
      </c>
      <c r="H28" s="49">
        <v>374400</v>
      </c>
      <c r="I28" s="49"/>
      <c r="J28" s="49"/>
      <c r="K28" s="49"/>
      <c r="L28" s="49"/>
      <c r="M28" s="49"/>
      <c r="N28" s="49"/>
      <c r="O28" s="49"/>
      <c r="P28" s="42">
        <f>SUM(G28:N28)</f>
        <v>748800</v>
      </c>
    </row>
    <row r="29" spans="1:17" s="50" customFormat="1" ht="70.5" customHeight="1">
      <c r="A29" s="39" t="s">
        <v>124</v>
      </c>
      <c r="B29" s="37" t="s">
        <v>125</v>
      </c>
      <c r="C29" s="38" t="s">
        <v>17</v>
      </c>
      <c r="D29" s="39">
        <v>2019</v>
      </c>
      <c r="E29" s="39">
        <v>2021</v>
      </c>
      <c r="F29" s="40">
        <v>20244</v>
      </c>
      <c r="G29" s="41">
        <v>6748</v>
      </c>
      <c r="H29" s="41">
        <v>6748</v>
      </c>
      <c r="I29" s="41"/>
      <c r="J29" s="41"/>
      <c r="K29" s="41"/>
      <c r="L29" s="41"/>
      <c r="M29" s="41"/>
      <c r="N29" s="41"/>
      <c r="O29" s="41"/>
      <c r="P29" s="40">
        <f>SUM(G29:N29)</f>
        <v>13496</v>
      </c>
    </row>
    <row r="30" spans="1:17" s="36" customFormat="1" ht="27" customHeight="1">
      <c r="A30" s="32" t="s">
        <v>37</v>
      </c>
      <c r="B30" s="202" t="s">
        <v>14</v>
      </c>
      <c r="C30" s="203"/>
      <c r="D30" s="203"/>
      <c r="E30" s="204"/>
      <c r="F30" s="35">
        <f t="shared" ref="F30:P30" si="9">SUM(F31:F83)</f>
        <v>96585691</v>
      </c>
      <c r="G30" s="35">
        <f t="shared" si="9"/>
        <v>16970281</v>
      </c>
      <c r="H30" s="35">
        <f t="shared" si="9"/>
        <v>14570000</v>
      </c>
      <c r="I30" s="35">
        <f t="shared" si="9"/>
        <v>13720000</v>
      </c>
      <c r="J30" s="35">
        <f t="shared" si="9"/>
        <v>10860000</v>
      </c>
      <c r="K30" s="35">
        <f t="shared" si="9"/>
        <v>11590000</v>
      </c>
      <c r="L30" s="35">
        <f t="shared" si="9"/>
        <v>6050000</v>
      </c>
      <c r="M30" s="35">
        <f t="shared" si="9"/>
        <v>950000</v>
      </c>
      <c r="N30" s="35">
        <f t="shared" si="9"/>
        <v>1050000</v>
      </c>
      <c r="O30" s="35">
        <f t="shared" si="9"/>
        <v>700000</v>
      </c>
      <c r="P30" s="35">
        <f t="shared" si="9"/>
        <v>76460281</v>
      </c>
    </row>
    <row r="31" spans="1:17" s="43" customFormat="1" ht="35.25" customHeight="1">
      <c r="A31" s="39" t="s">
        <v>38</v>
      </c>
      <c r="B31" s="37" t="s">
        <v>39</v>
      </c>
      <c r="C31" s="38" t="s">
        <v>40</v>
      </c>
      <c r="D31" s="39">
        <v>2014</v>
      </c>
      <c r="E31" s="39">
        <v>2022</v>
      </c>
      <c r="F31" s="42">
        <f>744637+100000</f>
        <v>844637</v>
      </c>
      <c r="G31" s="49">
        <v>0</v>
      </c>
      <c r="H31" s="41">
        <v>100000</v>
      </c>
      <c r="I31" s="41">
        <v>150000</v>
      </c>
      <c r="J31" s="49"/>
      <c r="K31" s="49"/>
      <c r="L31" s="49"/>
      <c r="M31" s="49"/>
      <c r="N31" s="49"/>
      <c r="O31" s="49"/>
      <c r="P31" s="42">
        <f>SUM(G31:O31)</f>
        <v>250000</v>
      </c>
    </row>
    <row r="32" spans="1:17" s="43" customFormat="1" ht="35.25" customHeight="1">
      <c r="A32" s="39" t="s">
        <v>41</v>
      </c>
      <c r="B32" s="37" t="s">
        <v>97</v>
      </c>
      <c r="C32" s="38" t="s">
        <v>40</v>
      </c>
      <c r="D32" s="39">
        <v>2015</v>
      </c>
      <c r="E32" s="39">
        <v>2021</v>
      </c>
      <c r="F32" s="42">
        <f>950000+200000+200000</f>
        <v>1350000</v>
      </c>
      <c r="G32" s="49">
        <v>200000</v>
      </c>
      <c r="H32" s="49">
        <v>200000</v>
      </c>
      <c r="I32" s="49"/>
      <c r="J32" s="49"/>
      <c r="K32" s="49"/>
      <c r="L32" s="49"/>
      <c r="M32" s="49"/>
      <c r="N32" s="49"/>
      <c r="O32" s="49"/>
      <c r="P32" s="42">
        <f t="shared" ref="P32:P83" si="10">SUM(G32:O32)</f>
        <v>400000</v>
      </c>
    </row>
    <row r="33" spans="1:16" s="50" customFormat="1" ht="51" customHeight="1">
      <c r="A33" s="39" t="s">
        <v>42</v>
      </c>
      <c r="B33" s="188" t="s">
        <v>43</v>
      </c>
      <c r="C33" s="189" t="s">
        <v>24</v>
      </c>
      <c r="D33" s="138">
        <v>2011</v>
      </c>
      <c r="E33" s="138">
        <v>2022</v>
      </c>
      <c r="F33" s="190">
        <f>1342416-61350+200000+80000+272000+500000+1000000-272000</f>
        <v>3061066</v>
      </c>
      <c r="G33" s="191">
        <f>500000+272000-272000</f>
        <v>500000</v>
      </c>
      <c r="H33" s="191">
        <v>1000000</v>
      </c>
      <c r="I33" s="191">
        <v>1000000</v>
      </c>
      <c r="J33" s="191"/>
      <c r="K33" s="191"/>
      <c r="L33" s="191"/>
      <c r="M33" s="191"/>
      <c r="N33" s="191"/>
      <c r="O33" s="191"/>
      <c r="P33" s="190">
        <f t="shared" si="10"/>
        <v>2500000</v>
      </c>
    </row>
    <row r="34" spans="1:16" ht="46.5" customHeight="1">
      <c r="A34" s="39" t="s">
        <v>349</v>
      </c>
      <c r="B34" s="53" t="s">
        <v>48</v>
      </c>
      <c r="C34" s="60" t="s">
        <v>40</v>
      </c>
      <c r="D34" s="61">
        <v>2017</v>
      </c>
      <c r="E34" s="61">
        <v>2021</v>
      </c>
      <c r="F34" s="62">
        <f>480000-220000</f>
        <v>260000</v>
      </c>
      <c r="G34" s="63">
        <v>0</v>
      </c>
      <c r="H34" s="63">
        <v>220000</v>
      </c>
      <c r="I34" s="64"/>
      <c r="J34" s="64"/>
      <c r="K34" s="64"/>
      <c r="L34" s="64"/>
      <c r="M34" s="64"/>
      <c r="N34" s="64"/>
      <c r="O34" s="64"/>
      <c r="P34" s="183">
        <f t="shared" si="10"/>
        <v>220000</v>
      </c>
    </row>
    <row r="35" spans="1:16" s="88" customFormat="1" ht="33.75" customHeight="1">
      <c r="A35" s="39" t="s">
        <v>44</v>
      </c>
      <c r="B35" s="37" t="s">
        <v>51</v>
      </c>
      <c r="C35" s="38" t="s">
        <v>40</v>
      </c>
      <c r="D35" s="39">
        <v>2017</v>
      </c>
      <c r="E35" s="39">
        <v>2022</v>
      </c>
      <c r="F35" s="40">
        <f>300000+200000-80000-50000+100000</f>
        <v>470000</v>
      </c>
      <c r="G35" s="41">
        <f>100000+100000</f>
        <v>200000</v>
      </c>
      <c r="H35" s="41">
        <v>0</v>
      </c>
      <c r="I35" s="41">
        <v>150000</v>
      </c>
      <c r="J35" s="41"/>
      <c r="K35" s="41"/>
      <c r="L35" s="41"/>
      <c r="M35" s="41"/>
      <c r="N35" s="41"/>
      <c r="O35" s="41"/>
      <c r="P35" s="40">
        <f t="shared" si="10"/>
        <v>350000</v>
      </c>
    </row>
    <row r="36" spans="1:16" s="88" customFormat="1" ht="36.75" customHeight="1">
      <c r="A36" s="39" t="s">
        <v>45</v>
      </c>
      <c r="B36" s="37" t="s">
        <v>54</v>
      </c>
      <c r="C36" s="38" t="s">
        <v>40</v>
      </c>
      <c r="D36" s="39">
        <v>2017</v>
      </c>
      <c r="E36" s="39">
        <v>2022</v>
      </c>
      <c r="F36" s="40">
        <f>800000+100000</f>
        <v>900000</v>
      </c>
      <c r="G36" s="41">
        <v>100000</v>
      </c>
      <c r="H36" s="41">
        <v>150000</v>
      </c>
      <c r="I36" s="41">
        <v>150000</v>
      </c>
      <c r="J36" s="41"/>
      <c r="K36" s="41"/>
      <c r="L36" s="41"/>
      <c r="M36" s="41"/>
      <c r="N36" s="41"/>
      <c r="O36" s="41"/>
      <c r="P36" s="40">
        <f t="shared" si="10"/>
        <v>400000</v>
      </c>
    </row>
    <row r="37" spans="1:16" ht="39.75" customHeight="1">
      <c r="A37" s="39" t="s">
        <v>46</v>
      </c>
      <c r="B37" s="37" t="s">
        <v>58</v>
      </c>
      <c r="C37" s="38" t="s">
        <v>40</v>
      </c>
      <c r="D37" s="39">
        <v>2017</v>
      </c>
      <c r="E37" s="39">
        <v>2021</v>
      </c>
      <c r="F37" s="40">
        <v>500000</v>
      </c>
      <c r="G37" s="41">
        <v>0</v>
      </c>
      <c r="H37" s="41">
        <v>250000</v>
      </c>
      <c r="I37" s="49"/>
      <c r="J37" s="49"/>
      <c r="K37" s="49"/>
      <c r="L37" s="49"/>
      <c r="M37" s="49"/>
      <c r="N37" s="49"/>
      <c r="O37" s="49"/>
      <c r="P37" s="42">
        <f t="shared" si="10"/>
        <v>250000</v>
      </c>
    </row>
    <row r="38" spans="1:16" ht="48" customHeight="1">
      <c r="A38" s="39" t="s">
        <v>47</v>
      </c>
      <c r="B38" s="37" t="s">
        <v>60</v>
      </c>
      <c r="C38" s="38" t="s">
        <v>40</v>
      </c>
      <c r="D38" s="39">
        <v>2017</v>
      </c>
      <c r="E38" s="39">
        <v>2022</v>
      </c>
      <c r="F38" s="40">
        <v>640000</v>
      </c>
      <c r="G38" s="41">
        <v>0</v>
      </c>
      <c r="H38" s="41">
        <v>110000</v>
      </c>
      <c r="I38" s="49">
        <v>190000</v>
      </c>
      <c r="J38" s="49"/>
      <c r="K38" s="49"/>
      <c r="L38" s="49"/>
      <c r="M38" s="49"/>
      <c r="N38" s="49"/>
      <c r="O38" s="49"/>
      <c r="P38" s="42">
        <f t="shared" si="10"/>
        <v>300000</v>
      </c>
    </row>
    <row r="39" spans="1:16" ht="37.5" customHeight="1">
      <c r="A39" s="39" t="s">
        <v>49</v>
      </c>
      <c r="B39" s="37" t="s">
        <v>63</v>
      </c>
      <c r="C39" s="38" t="s">
        <v>40</v>
      </c>
      <c r="D39" s="39">
        <v>2017</v>
      </c>
      <c r="E39" s="39">
        <v>2027</v>
      </c>
      <c r="F39" s="40">
        <v>700000</v>
      </c>
      <c r="G39" s="41">
        <v>100000</v>
      </c>
      <c r="H39" s="41">
        <v>0</v>
      </c>
      <c r="I39" s="41">
        <v>100000</v>
      </c>
      <c r="J39" s="41">
        <v>150000</v>
      </c>
      <c r="K39" s="49">
        <v>0</v>
      </c>
      <c r="L39" s="49">
        <v>0</v>
      </c>
      <c r="M39" s="49">
        <v>0</v>
      </c>
      <c r="N39" s="49">
        <v>150000</v>
      </c>
      <c r="O39" s="49"/>
      <c r="P39" s="42">
        <f t="shared" si="10"/>
        <v>500000</v>
      </c>
    </row>
    <row r="40" spans="1:16" s="88" customFormat="1" ht="33" customHeight="1">
      <c r="A40" s="39" t="s">
        <v>50</v>
      </c>
      <c r="B40" s="192" t="s">
        <v>67</v>
      </c>
      <c r="C40" s="38" t="s">
        <v>40</v>
      </c>
      <c r="D40" s="39">
        <v>2017</v>
      </c>
      <c r="E40" s="39">
        <v>2021</v>
      </c>
      <c r="F40" s="40">
        <f>1025000+100000</f>
        <v>1125000</v>
      </c>
      <c r="G40" s="41">
        <v>100000</v>
      </c>
      <c r="H40" s="41">
        <v>250000</v>
      </c>
      <c r="I40" s="41"/>
      <c r="J40" s="41"/>
      <c r="K40" s="41"/>
      <c r="L40" s="41"/>
      <c r="M40" s="41"/>
      <c r="N40" s="41"/>
      <c r="O40" s="41"/>
      <c r="P40" s="40">
        <f t="shared" si="10"/>
        <v>350000</v>
      </c>
    </row>
    <row r="41" spans="1:16" s="88" customFormat="1" ht="32.25" customHeight="1">
      <c r="A41" s="39" t="s">
        <v>52</v>
      </c>
      <c r="B41" s="52" t="s">
        <v>72</v>
      </c>
      <c r="C41" s="54" t="s">
        <v>40</v>
      </c>
      <c r="D41" s="55">
        <v>2017</v>
      </c>
      <c r="E41" s="39">
        <v>2023</v>
      </c>
      <c r="F41" s="56">
        <v>845000</v>
      </c>
      <c r="G41" s="57">
        <v>0</v>
      </c>
      <c r="H41" s="57">
        <v>0</v>
      </c>
      <c r="I41" s="57">
        <v>250000</v>
      </c>
      <c r="J41" s="57">
        <v>300000</v>
      </c>
      <c r="K41" s="57"/>
      <c r="L41" s="57"/>
      <c r="M41" s="57"/>
      <c r="N41" s="57"/>
      <c r="O41" s="57"/>
      <c r="P41" s="40">
        <f t="shared" si="10"/>
        <v>550000</v>
      </c>
    </row>
    <row r="42" spans="1:16" s="58" customFormat="1" ht="33" customHeight="1">
      <c r="A42" s="39" t="s">
        <v>53</v>
      </c>
      <c r="B42" s="193" t="s">
        <v>222</v>
      </c>
      <c r="C42" s="194" t="s">
        <v>74</v>
      </c>
      <c r="D42" s="39">
        <v>2018</v>
      </c>
      <c r="E42" s="39">
        <v>2023</v>
      </c>
      <c r="F42" s="40">
        <f>13238450+50000+500000-3600000-50000</f>
        <v>10138450</v>
      </c>
      <c r="G42" s="41">
        <v>0</v>
      </c>
      <c r="H42" s="41">
        <f>3500000+500000</f>
        <v>4000000</v>
      </c>
      <c r="I42" s="41">
        <v>4000000</v>
      </c>
      <c r="J42" s="41">
        <f>5600000-3600000</f>
        <v>2000000</v>
      </c>
      <c r="K42" s="41"/>
      <c r="L42" s="41"/>
      <c r="M42" s="41"/>
      <c r="N42" s="41"/>
      <c r="O42" s="41"/>
      <c r="P42" s="40">
        <f t="shared" si="10"/>
        <v>10000000</v>
      </c>
    </row>
    <row r="43" spans="1:16" s="58" customFormat="1" ht="36.75" customHeight="1">
      <c r="A43" s="39" t="s">
        <v>55</v>
      </c>
      <c r="B43" s="59" t="s">
        <v>82</v>
      </c>
      <c r="C43" s="38" t="s">
        <v>95</v>
      </c>
      <c r="D43" s="39">
        <v>2018</v>
      </c>
      <c r="E43" s="39">
        <v>2020</v>
      </c>
      <c r="F43" s="40">
        <f>3150000-200000+700000+34000</f>
        <v>3684000</v>
      </c>
      <c r="G43" s="41">
        <f>700000+910000+34000</f>
        <v>1644000</v>
      </c>
      <c r="H43" s="41"/>
      <c r="I43" s="41"/>
      <c r="J43" s="41"/>
      <c r="K43" s="41"/>
      <c r="L43" s="41"/>
      <c r="M43" s="41"/>
      <c r="N43" s="41"/>
      <c r="O43" s="41"/>
      <c r="P43" s="42">
        <f t="shared" si="10"/>
        <v>1644000</v>
      </c>
    </row>
    <row r="44" spans="1:16" ht="36.75" customHeight="1">
      <c r="A44" s="39" t="s">
        <v>56</v>
      </c>
      <c r="B44" s="53" t="s">
        <v>78</v>
      </c>
      <c r="C44" s="60" t="s">
        <v>40</v>
      </c>
      <c r="D44" s="61">
        <v>2017</v>
      </c>
      <c r="E44" s="61">
        <v>2023</v>
      </c>
      <c r="F44" s="62">
        <v>850000</v>
      </c>
      <c r="G44" s="63">
        <v>0</v>
      </c>
      <c r="H44" s="63">
        <v>100000</v>
      </c>
      <c r="I44" s="63">
        <v>300000</v>
      </c>
      <c r="J44" s="63">
        <v>150000</v>
      </c>
      <c r="K44" s="63"/>
      <c r="L44" s="63"/>
      <c r="M44" s="63"/>
      <c r="N44" s="64"/>
      <c r="O44" s="64"/>
      <c r="P44" s="42">
        <f t="shared" si="10"/>
        <v>550000</v>
      </c>
    </row>
    <row r="45" spans="1:16" ht="37.9" customHeight="1">
      <c r="A45" s="39" t="s">
        <v>57</v>
      </c>
      <c r="B45" s="65" t="s">
        <v>80</v>
      </c>
      <c r="C45" s="66" t="s">
        <v>40</v>
      </c>
      <c r="D45" s="39">
        <v>2017</v>
      </c>
      <c r="E45" s="39">
        <v>2021</v>
      </c>
      <c r="F45" s="67">
        <v>417266</v>
      </c>
      <c r="G45" s="68">
        <v>0</v>
      </c>
      <c r="H45" s="68">
        <v>60000</v>
      </c>
      <c r="I45" s="69"/>
      <c r="J45" s="69"/>
      <c r="K45" s="69"/>
      <c r="L45" s="69"/>
      <c r="M45" s="69"/>
      <c r="N45" s="69"/>
      <c r="O45" s="69"/>
      <c r="P45" s="42">
        <f t="shared" si="10"/>
        <v>60000</v>
      </c>
    </row>
    <row r="46" spans="1:16" ht="37.9" customHeight="1">
      <c r="A46" s="39" t="s">
        <v>59</v>
      </c>
      <c r="B46" s="70" t="s">
        <v>81</v>
      </c>
      <c r="C46" s="71" t="s">
        <v>40</v>
      </c>
      <c r="D46" s="55">
        <v>2017</v>
      </c>
      <c r="E46" s="55">
        <v>2021</v>
      </c>
      <c r="F46" s="72">
        <f>180000+150000</f>
        <v>330000</v>
      </c>
      <c r="G46" s="73">
        <v>0</v>
      </c>
      <c r="H46" s="73">
        <v>150000</v>
      </c>
      <c r="I46" s="74"/>
      <c r="J46" s="74"/>
      <c r="K46" s="74"/>
      <c r="L46" s="74"/>
      <c r="M46" s="74"/>
      <c r="N46" s="74"/>
      <c r="O46" s="74"/>
      <c r="P46" s="42">
        <f t="shared" si="10"/>
        <v>150000</v>
      </c>
    </row>
    <row r="47" spans="1:16" ht="34.15" customHeight="1">
      <c r="A47" s="39" t="s">
        <v>61</v>
      </c>
      <c r="B47" s="59" t="s">
        <v>83</v>
      </c>
      <c r="C47" s="38" t="s">
        <v>40</v>
      </c>
      <c r="D47" s="39">
        <v>2018</v>
      </c>
      <c r="E47" s="55">
        <v>2021</v>
      </c>
      <c r="F47" s="75">
        <v>500000</v>
      </c>
      <c r="G47" s="76">
        <v>0</v>
      </c>
      <c r="H47" s="76">
        <v>200000</v>
      </c>
      <c r="I47" s="77"/>
      <c r="J47" s="77"/>
      <c r="K47" s="77"/>
      <c r="L47" s="77"/>
      <c r="M47" s="77"/>
      <c r="N47" s="77"/>
      <c r="O47" s="77"/>
      <c r="P47" s="42">
        <f t="shared" si="10"/>
        <v>200000</v>
      </c>
    </row>
    <row r="48" spans="1:16" s="88" customFormat="1" ht="32.450000000000003" customHeight="1">
      <c r="A48" s="39" t="s">
        <v>62</v>
      </c>
      <c r="B48" s="59" t="s">
        <v>84</v>
      </c>
      <c r="C48" s="38" t="s">
        <v>40</v>
      </c>
      <c r="D48" s="39">
        <v>2018</v>
      </c>
      <c r="E48" s="55">
        <v>2023</v>
      </c>
      <c r="F48" s="75">
        <f>270000+100000</f>
        <v>370000</v>
      </c>
      <c r="G48" s="76">
        <v>100000</v>
      </c>
      <c r="H48" s="76">
        <v>0</v>
      </c>
      <c r="I48" s="76">
        <v>100000</v>
      </c>
      <c r="J48" s="76">
        <v>100000</v>
      </c>
      <c r="K48" s="76"/>
      <c r="L48" s="76"/>
      <c r="M48" s="76"/>
      <c r="N48" s="76"/>
      <c r="O48" s="76"/>
      <c r="P48" s="40">
        <f t="shared" si="10"/>
        <v>300000</v>
      </c>
    </row>
    <row r="49" spans="1:16" ht="31.9" customHeight="1">
      <c r="A49" s="39" t="s">
        <v>64</v>
      </c>
      <c r="B49" s="78" t="s">
        <v>85</v>
      </c>
      <c r="C49" s="38" t="s">
        <v>40</v>
      </c>
      <c r="D49" s="39">
        <v>2018</v>
      </c>
      <c r="E49" s="39">
        <v>2027</v>
      </c>
      <c r="F49" s="75">
        <f>690000+1500000</f>
        <v>2190000</v>
      </c>
      <c r="G49" s="76">
        <v>0</v>
      </c>
      <c r="H49" s="76">
        <v>200000</v>
      </c>
      <c r="I49" s="77">
        <v>200000</v>
      </c>
      <c r="J49" s="77">
        <v>200000</v>
      </c>
      <c r="K49" s="77">
        <v>250000</v>
      </c>
      <c r="L49" s="77">
        <v>250000</v>
      </c>
      <c r="M49" s="77">
        <v>200000</v>
      </c>
      <c r="N49" s="77">
        <v>200000</v>
      </c>
      <c r="O49" s="77"/>
      <c r="P49" s="42">
        <f t="shared" si="10"/>
        <v>1500000</v>
      </c>
    </row>
    <row r="50" spans="1:16" ht="32.450000000000003" customHeight="1">
      <c r="A50" s="39" t="s">
        <v>65</v>
      </c>
      <c r="B50" s="79" t="s">
        <v>86</v>
      </c>
      <c r="C50" s="54" t="s">
        <v>40</v>
      </c>
      <c r="D50" s="55">
        <v>2018</v>
      </c>
      <c r="E50" s="55">
        <v>2028</v>
      </c>
      <c r="F50" s="80">
        <f>640000+1700000</f>
        <v>2340000</v>
      </c>
      <c r="G50" s="81">
        <v>0</v>
      </c>
      <c r="H50" s="81">
        <v>200000</v>
      </c>
      <c r="I50" s="82">
        <v>150000</v>
      </c>
      <c r="J50" s="82">
        <v>200000</v>
      </c>
      <c r="K50" s="82">
        <v>250000</v>
      </c>
      <c r="L50" s="82">
        <v>250000</v>
      </c>
      <c r="M50" s="82">
        <v>250000</v>
      </c>
      <c r="N50" s="82">
        <v>200000</v>
      </c>
      <c r="O50" s="82">
        <v>200000</v>
      </c>
      <c r="P50" s="42">
        <f>SUM(G50:O50)</f>
        <v>1700000</v>
      </c>
    </row>
    <row r="51" spans="1:16" s="88" customFormat="1" ht="35.450000000000003" customHeight="1">
      <c r="A51" s="39" t="s">
        <v>66</v>
      </c>
      <c r="B51" s="83" t="s">
        <v>121</v>
      </c>
      <c r="C51" s="84" t="s">
        <v>40</v>
      </c>
      <c r="D51" s="85">
        <v>2018</v>
      </c>
      <c r="E51" s="85">
        <v>2020</v>
      </c>
      <c r="F51" s="86">
        <f>1110000+2844000+615000+50000</f>
        <v>4619000</v>
      </c>
      <c r="G51" s="87">
        <f>550000+615000+50000</f>
        <v>1215000</v>
      </c>
      <c r="H51" s="87"/>
      <c r="I51" s="87"/>
      <c r="J51" s="87"/>
      <c r="K51" s="87"/>
      <c r="L51" s="87"/>
      <c r="M51" s="87"/>
      <c r="N51" s="87"/>
      <c r="O51" s="87"/>
      <c r="P51" s="42">
        <f t="shared" si="10"/>
        <v>1215000</v>
      </c>
    </row>
    <row r="52" spans="1:16" ht="37.9" customHeight="1">
      <c r="A52" s="39" t="s">
        <v>68</v>
      </c>
      <c r="B52" s="89" t="s">
        <v>87</v>
      </c>
      <c r="C52" s="90" t="s">
        <v>40</v>
      </c>
      <c r="D52" s="91">
        <v>2018</v>
      </c>
      <c r="E52" s="91">
        <v>2021</v>
      </c>
      <c r="F52" s="92">
        <v>200000</v>
      </c>
      <c r="G52" s="93">
        <v>0</v>
      </c>
      <c r="H52" s="93">
        <v>100000</v>
      </c>
      <c r="I52" s="93"/>
      <c r="J52" s="93"/>
      <c r="K52" s="93"/>
      <c r="L52" s="93"/>
      <c r="M52" s="93"/>
      <c r="N52" s="93"/>
      <c r="O52" s="93"/>
      <c r="P52" s="42">
        <f t="shared" si="10"/>
        <v>100000</v>
      </c>
    </row>
    <row r="53" spans="1:16" ht="33.6" customHeight="1">
      <c r="A53" s="39" t="s">
        <v>69</v>
      </c>
      <c r="B53" s="59" t="s">
        <v>88</v>
      </c>
      <c r="C53" s="84" t="s">
        <v>40</v>
      </c>
      <c r="D53" s="85">
        <v>2018</v>
      </c>
      <c r="E53" s="85">
        <v>2021</v>
      </c>
      <c r="F53" s="94">
        <v>690000</v>
      </c>
      <c r="G53" s="87">
        <v>0</v>
      </c>
      <c r="H53" s="87">
        <v>300000</v>
      </c>
      <c r="I53" s="87"/>
      <c r="J53" s="87"/>
      <c r="K53" s="87"/>
      <c r="L53" s="87"/>
      <c r="M53" s="87"/>
      <c r="N53" s="87"/>
      <c r="O53" s="87"/>
      <c r="P53" s="42">
        <f t="shared" si="10"/>
        <v>300000</v>
      </c>
    </row>
    <row r="54" spans="1:16" s="88" customFormat="1" ht="33.6" customHeight="1">
      <c r="A54" s="39" t="s">
        <v>70</v>
      </c>
      <c r="B54" s="59" t="s">
        <v>89</v>
      </c>
      <c r="C54" s="84" t="s">
        <v>40</v>
      </c>
      <c r="D54" s="85">
        <v>2018</v>
      </c>
      <c r="E54" s="85">
        <v>2021</v>
      </c>
      <c r="F54" s="94">
        <f>450000+100000</f>
        <v>550000</v>
      </c>
      <c r="G54" s="87">
        <v>100000</v>
      </c>
      <c r="H54" s="87">
        <v>200000</v>
      </c>
      <c r="I54" s="87"/>
      <c r="J54" s="87"/>
      <c r="K54" s="87"/>
      <c r="L54" s="87"/>
      <c r="M54" s="87"/>
      <c r="N54" s="87"/>
      <c r="O54" s="87"/>
      <c r="P54" s="40">
        <f t="shared" si="10"/>
        <v>300000</v>
      </c>
    </row>
    <row r="55" spans="1:16" ht="32.450000000000003" customHeight="1">
      <c r="A55" s="39" t="s">
        <v>71</v>
      </c>
      <c r="B55" s="95" t="s">
        <v>96</v>
      </c>
      <c r="C55" s="96" t="s">
        <v>40</v>
      </c>
      <c r="D55" s="85">
        <v>2018</v>
      </c>
      <c r="E55" s="85">
        <v>2021</v>
      </c>
      <c r="F55" s="94">
        <v>450000</v>
      </c>
      <c r="G55" s="87">
        <v>0</v>
      </c>
      <c r="H55" s="87">
        <v>160000</v>
      </c>
      <c r="I55" s="87"/>
      <c r="J55" s="87"/>
      <c r="K55" s="87"/>
      <c r="L55" s="87"/>
      <c r="M55" s="87"/>
      <c r="N55" s="87"/>
      <c r="O55" s="87"/>
      <c r="P55" s="42">
        <f t="shared" si="10"/>
        <v>160000</v>
      </c>
    </row>
    <row r="56" spans="1:16" ht="36" customHeight="1">
      <c r="A56" s="39" t="s">
        <v>73</v>
      </c>
      <c r="B56" s="78" t="s">
        <v>90</v>
      </c>
      <c r="C56" s="84" t="s">
        <v>40</v>
      </c>
      <c r="D56" s="85">
        <v>2018</v>
      </c>
      <c r="E56" s="85">
        <v>2021</v>
      </c>
      <c r="F56" s="94">
        <v>225000</v>
      </c>
      <c r="G56" s="87">
        <v>0</v>
      </c>
      <c r="H56" s="87">
        <v>50000</v>
      </c>
      <c r="I56" s="87"/>
      <c r="J56" s="87"/>
      <c r="K56" s="87"/>
      <c r="L56" s="87"/>
      <c r="M56" s="87"/>
      <c r="N56" s="87"/>
      <c r="O56" s="87"/>
      <c r="P56" s="42">
        <f t="shared" si="10"/>
        <v>50000</v>
      </c>
    </row>
    <row r="57" spans="1:16" ht="53.25" customHeight="1">
      <c r="A57" s="39" t="s">
        <v>75</v>
      </c>
      <c r="B57" s="97" t="s">
        <v>221</v>
      </c>
      <c r="C57" s="84" t="s">
        <v>40</v>
      </c>
      <c r="D57" s="39">
        <v>2018</v>
      </c>
      <c r="E57" s="39">
        <v>2020</v>
      </c>
      <c r="F57" s="86">
        <v>1740000</v>
      </c>
      <c r="G57" s="98">
        <v>1690000</v>
      </c>
      <c r="H57" s="99">
        <v>0</v>
      </c>
      <c r="I57" s="99"/>
      <c r="J57" s="99"/>
      <c r="K57" s="99"/>
      <c r="L57" s="99"/>
      <c r="M57" s="99"/>
      <c r="N57" s="99"/>
      <c r="O57" s="99"/>
      <c r="P57" s="42">
        <f t="shared" si="10"/>
        <v>1690000</v>
      </c>
    </row>
    <row r="58" spans="1:16" ht="99" customHeight="1">
      <c r="A58" s="39" t="s">
        <v>76</v>
      </c>
      <c r="B58" s="100" t="s">
        <v>103</v>
      </c>
      <c r="C58" s="101" t="s">
        <v>24</v>
      </c>
      <c r="D58" s="39">
        <v>2020</v>
      </c>
      <c r="E58" s="39">
        <v>2022</v>
      </c>
      <c r="F58" s="102">
        <v>2500000</v>
      </c>
      <c r="G58" s="103">
        <v>500000</v>
      </c>
      <c r="H58" s="103">
        <v>1000000</v>
      </c>
      <c r="I58" s="103">
        <v>1000000</v>
      </c>
      <c r="J58" s="103"/>
      <c r="K58" s="103"/>
      <c r="L58" s="103"/>
      <c r="M58" s="103"/>
      <c r="N58" s="103"/>
      <c r="O58" s="103"/>
      <c r="P58" s="42">
        <f t="shared" si="10"/>
        <v>2500000</v>
      </c>
    </row>
    <row r="59" spans="1:16" ht="47.25" customHeight="1">
      <c r="A59" s="39" t="s">
        <v>77</v>
      </c>
      <c r="B59" s="104" t="s">
        <v>109</v>
      </c>
      <c r="C59" s="105" t="s">
        <v>40</v>
      </c>
      <c r="D59" s="55">
        <v>2017</v>
      </c>
      <c r="E59" s="55">
        <v>2023</v>
      </c>
      <c r="F59" s="106">
        <v>650000</v>
      </c>
      <c r="G59" s="107">
        <v>0</v>
      </c>
      <c r="H59" s="107">
        <v>0</v>
      </c>
      <c r="I59" s="107">
        <v>150000</v>
      </c>
      <c r="J59" s="107">
        <v>150000</v>
      </c>
      <c r="K59" s="107"/>
      <c r="L59" s="107"/>
      <c r="M59" s="107"/>
      <c r="N59" s="107"/>
      <c r="O59" s="107"/>
      <c r="P59" s="42">
        <f t="shared" si="10"/>
        <v>300000</v>
      </c>
    </row>
    <row r="60" spans="1:16" ht="50.25" customHeight="1">
      <c r="A60" s="39" t="s">
        <v>79</v>
      </c>
      <c r="B60" s="108" t="s">
        <v>114</v>
      </c>
      <c r="C60" s="105" t="s">
        <v>40</v>
      </c>
      <c r="D60" s="39">
        <v>2019</v>
      </c>
      <c r="E60" s="39">
        <v>2020</v>
      </c>
      <c r="F60" s="109">
        <v>90000</v>
      </c>
      <c r="G60" s="99">
        <v>70000</v>
      </c>
      <c r="H60" s="99"/>
      <c r="I60" s="99"/>
      <c r="J60" s="99"/>
      <c r="K60" s="99"/>
      <c r="L60" s="99"/>
      <c r="M60" s="99"/>
      <c r="N60" s="99"/>
      <c r="O60" s="107"/>
      <c r="P60" s="42">
        <f t="shared" si="10"/>
        <v>70000</v>
      </c>
    </row>
    <row r="61" spans="1:16" ht="41.25" customHeight="1">
      <c r="A61" s="39" t="s">
        <v>91</v>
      </c>
      <c r="B61" s="110" t="s">
        <v>115</v>
      </c>
      <c r="C61" s="111" t="s">
        <v>108</v>
      </c>
      <c r="D61" s="55">
        <v>2019</v>
      </c>
      <c r="E61" s="55">
        <v>2020</v>
      </c>
      <c r="F61" s="106">
        <v>6500000</v>
      </c>
      <c r="G61" s="107">
        <v>2500000</v>
      </c>
      <c r="H61" s="107"/>
      <c r="I61" s="107"/>
      <c r="J61" s="107"/>
      <c r="K61" s="107"/>
      <c r="L61" s="107"/>
      <c r="M61" s="107"/>
      <c r="N61" s="107"/>
      <c r="O61" s="107"/>
      <c r="P61" s="42">
        <f t="shared" si="10"/>
        <v>2500000</v>
      </c>
    </row>
    <row r="62" spans="1:16" s="88" customFormat="1" ht="48" customHeight="1">
      <c r="A62" s="39" t="s">
        <v>92</v>
      </c>
      <c r="B62" s="112" t="s">
        <v>118</v>
      </c>
      <c r="C62" s="105" t="s">
        <v>40</v>
      </c>
      <c r="D62" s="55">
        <v>2019</v>
      </c>
      <c r="E62" s="55">
        <v>2020</v>
      </c>
      <c r="F62" s="113">
        <f>1901000+172252</f>
        <v>2073252</v>
      </c>
      <c r="G62" s="114">
        <f>1401000+172252</f>
        <v>1573252</v>
      </c>
      <c r="H62" s="114"/>
      <c r="I62" s="114"/>
      <c r="J62" s="114"/>
      <c r="K62" s="114"/>
      <c r="L62" s="114"/>
      <c r="M62" s="114"/>
      <c r="N62" s="114"/>
      <c r="O62" s="114"/>
      <c r="P62" s="42">
        <f t="shared" si="10"/>
        <v>1573252</v>
      </c>
    </row>
    <row r="63" spans="1:16" s="88" customFormat="1" ht="51.75" customHeight="1">
      <c r="A63" s="39" t="s">
        <v>93</v>
      </c>
      <c r="B63" s="115" t="s">
        <v>119</v>
      </c>
      <c r="C63" s="84" t="s">
        <v>40</v>
      </c>
      <c r="D63" s="116">
        <v>2017</v>
      </c>
      <c r="E63" s="116">
        <v>2020</v>
      </c>
      <c r="F63" s="86">
        <f>1954735+153946</f>
        <v>2108681</v>
      </c>
      <c r="G63" s="98">
        <f>949000+153946</f>
        <v>1102946</v>
      </c>
      <c r="H63" s="98"/>
      <c r="I63" s="98"/>
      <c r="J63" s="98"/>
      <c r="K63" s="98"/>
      <c r="L63" s="98"/>
      <c r="M63" s="98"/>
      <c r="N63" s="98"/>
      <c r="O63" s="98"/>
      <c r="P63" s="42">
        <f t="shared" si="10"/>
        <v>1102946</v>
      </c>
    </row>
    <row r="64" spans="1:16" s="88" customFormat="1" ht="39" customHeight="1">
      <c r="A64" s="39" t="s">
        <v>94</v>
      </c>
      <c r="B64" s="195" t="s">
        <v>200</v>
      </c>
      <c r="C64" s="196" t="s">
        <v>40</v>
      </c>
      <c r="D64" s="117">
        <v>2019</v>
      </c>
      <c r="E64" s="117">
        <v>2022</v>
      </c>
      <c r="F64" s="197">
        <f>15000+75083+3500000+1400000</f>
        <v>4990083</v>
      </c>
      <c r="G64" s="198">
        <f>49083+26000+1400000</f>
        <v>1475083</v>
      </c>
      <c r="H64" s="198">
        <v>2000000</v>
      </c>
      <c r="I64" s="198">
        <v>1500000</v>
      </c>
      <c r="J64" s="199"/>
      <c r="K64" s="199"/>
      <c r="L64" s="199"/>
      <c r="M64" s="199"/>
      <c r="N64" s="199"/>
      <c r="O64" s="199"/>
      <c r="P64" s="40">
        <f t="shared" si="10"/>
        <v>4975083</v>
      </c>
    </row>
    <row r="65" spans="1:16" ht="33.75" customHeight="1">
      <c r="A65" s="39" t="s">
        <v>102</v>
      </c>
      <c r="B65" s="118" t="s">
        <v>201</v>
      </c>
      <c r="C65" s="119" t="s">
        <v>40</v>
      </c>
      <c r="D65" s="117">
        <v>2018</v>
      </c>
      <c r="E65" s="117">
        <v>2020</v>
      </c>
      <c r="F65" s="120">
        <v>3834256</v>
      </c>
      <c r="G65" s="121">
        <v>3800000</v>
      </c>
      <c r="H65" s="121"/>
      <c r="I65" s="121"/>
      <c r="J65" s="121"/>
      <c r="K65" s="121"/>
      <c r="L65" s="121"/>
      <c r="M65" s="121"/>
      <c r="N65" s="121"/>
      <c r="O65" s="121"/>
      <c r="P65" s="42">
        <f t="shared" si="10"/>
        <v>3800000</v>
      </c>
    </row>
    <row r="66" spans="1:16" ht="40.5" customHeight="1">
      <c r="A66" s="39" t="s">
        <v>110</v>
      </c>
      <c r="B66" s="122" t="s">
        <v>202</v>
      </c>
      <c r="C66" s="123" t="s">
        <v>203</v>
      </c>
      <c r="D66" s="124">
        <v>2020</v>
      </c>
      <c r="E66" s="124">
        <v>2023</v>
      </c>
      <c r="F66" s="125">
        <v>600000</v>
      </c>
      <c r="G66" s="126">
        <v>0</v>
      </c>
      <c r="H66" s="126">
        <v>50000</v>
      </c>
      <c r="I66" s="126">
        <v>200000</v>
      </c>
      <c r="J66" s="126">
        <v>350000</v>
      </c>
      <c r="K66" s="126"/>
      <c r="L66" s="126"/>
      <c r="M66" s="126"/>
      <c r="N66" s="126"/>
      <c r="O66" s="126"/>
      <c r="P66" s="42">
        <f t="shared" si="10"/>
        <v>600000</v>
      </c>
    </row>
    <row r="67" spans="1:16" ht="32.25" customHeight="1">
      <c r="A67" s="39" t="s">
        <v>111</v>
      </c>
      <c r="B67" s="122" t="s">
        <v>204</v>
      </c>
      <c r="C67" s="123" t="s">
        <v>203</v>
      </c>
      <c r="D67" s="124">
        <v>2020</v>
      </c>
      <c r="E67" s="124">
        <v>2024</v>
      </c>
      <c r="F67" s="125">
        <v>800000</v>
      </c>
      <c r="G67" s="126">
        <v>0</v>
      </c>
      <c r="H67" s="126">
        <v>50000</v>
      </c>
      <c r="I67" s="126">
        <v>250000</v>
      </c>
      <c r="J67" s="126">
        <v>250000</v>
      </c>
      <c r="K67" s="126">
        <v>250000</v>
      </c>
      <c r="L67" s="126"/>
      <c r="M67" s="126"/>
      <c r="N67" s="126"/>
      <c r="O67" s="126"/>
      <c r="P67" s="42">
        <f t="shared" si="10"/>
        <v>800000</v>
      </c>
    </row>
    <row r="68" spans="1:16" ht="35.25" customHeight="1">
      <c r="A68" s="39" t="s">
        <v>112</v>
      </c>
      <c r="B68" s="122" t="s">
        <v>205</v>
      </c>
      <c r="C68" s="123" t="s">
        <v>203</v>
      </c>
      <c r="D68" s="124">
        <v>2020</v>
      </c>
      <c r="E68" s="124">
        <v>2024</v>
      </c>
      <c r="F68" s="125">
        <v>1500000</v>
      </c>
      <c r="G68" s="126">
        <v>0</v>
      </c>
      <c r="H68" s="126">
        <v>80000</v>
      </c>
      <c r="I68" s="126">
        <v>0</v>
      </c>
      <c r="J68" s="126">
        <v>0</v>
      </c>
      <c r="K68" s="126">
        <v>1420000</v>
      </c>
      <c r="L68" s="126"/>
      <c r="M68" s="126"/>
      <c r="N68" s="126"/>
      <c r="O68" s="126"/>
      <c r="P68" s="42">
        <f t="shared" si="10"/>
        <v>1500000</v>
      </c>
    </row>
    <row r="69" spans="1:16" ht="32.25" customHeight="1">
      <c r="A69" s="39" t="s">
        <v>113</v>
      </c>
      <c r="B69" s="122" t="s">
        <v>206</v>
      </c>
      <c r="C69" s="123" t="s">
        <v>203</v>
      </c>
      <c r="D69" s="124">
        <v>2020</v>
      </c>
      <c r="E69" s="124">
        <v>2024</v>
      </c>
      <c r="F69" s="125">
        <v>440000</v>
      </c>
      <c r="G69" s="126">
        <v>0</v>
      </c>
      <c r="H69" s="126">
        <v>40000</v>
      </c>
      <c r="I69" s="126">
        <v>150000</v>
      </c>
      <c r="J69" s="126">
        <v>150000</v>
      </c>
      <c r="K69" s="126">
        <v>100000</v>
      </c>
      <c r="L69" s="126"/>
      <c r="M69" s="126"/>
      <c r="N69" s="126"/>
      <c r="O69" s="126"/>
      <c r="P69" s="42">
        <f t="shared" si="10"/>
        <v>440000</v>
      </c>
    </row>
    <row r="70" spans="1:16" ht="44.25" customHeight="1">
      <c r="A70" s="39" t="s">
        <v>116</v>
      </c>
      <c r="B70" s="122" t="s">
        <v>207</v>
      </c>
      <c r="C70" s="123" t="s">
        <v>203</v>
      </c>
      <c r="D70" s="124">
        <v>2020</v>
      </c>
      <c r="E70" s="124">
        <v>2024</v>
      </c>
      <c r="F70" s="125">
        <v>4500000</v>
      </c>
      <c r="G70" s="126">
        <v>0</v>
      </c>
      <c r="H70" s="126">
        <v>150000</v>
      </c>
      <c r="I70" s="126">
        <v>0</v>
      </c>
      <c r="J70" s="126">
        <v>2000000</v>
      </c>
      <c r="K70" s="126">
        <v>2350000</v>
      </c>
      <c r="L70" s="126"/>
      <c r="M70" s="126"/>
      <c r="N70" s="126"/>
      <c r="O70" s="126"/>
      <c r="P70" s="42">
        <f t="shared" si="10"/>
        <v>4500000</v>
      </c>
    </row>
    <row r="71" spans="1:16" ht="41.25" customHeight="1">
      <c r="A71" s="39" t="s">
        <v>120</v>
      </c>
      <c r="B71" s="122" t="s">
        <v>208</v>
      </c>
      <c r="C71" s="123" t="s">
        <v>203</v>
      </c>
      <c r="D71" s="124">
        <v>2020</v>
      </c>
      <c r="E71" s="124">
        <v>2022</v>
      </c>
      <c r="F71" s="125">
        <v>3150000</v>
      </c>
      <c r="G71" s="126"/>
      <c r="H71" s="126">
        <v>150000</v>
      </c>
      <c r="I71" s="126">
        <v>3000000</v>
      </c>
      <c r="J71" s="126"/>
      <c r="K71" s="126"/>
      <c r="L71" s="126"/>
      <c r="M71" s="126"/>
      <c r="N71" s="126"/>
      <c r="O71" s="126"/>
      <c r="P71" s="42">
        <f t="shared" si="10"/>
        <v>3150000</v>
      </c>
    </row>
    <row r="72" spans="1:16" ht="30.75" customHeight="1">
      <c r="A72" s="39" t="s">
        <v>123</v>
      </c>
      <c r="B72" s="122" t="s">
        <v>209</v>
      </c>
      <c r="C72" s="123" t="s">
        <v>203</v>
      </c>
      <c r="D72" s="124">
        <v>2020</v>
      </c>
      <c r="E72" s="124">
        <v>2023</v>
      </c>
      <c r="F72" s="125">
        <v>1270000</v>
      </c>
      <c r="G72" s="126">
        <v>0</v>
      </c>
      <c r="H72" s="126">
        <v>70000</v>
      </c>
      <c r="I72" s="126"/>
      <c r="J72" s="126">
        <v>1200000</v>
      </c>
      <c r="K72" s="126"/>
      <c r="L72" s="126"/>
      <c r="M72" s="126"/>
      <c r="N72" s="126"/>
      <c r="O72" s="126"/>
      <c r="P72" s="42">
        <f t="shared" si="10"/>
        <v>1270000</v>
      </c>
    </row>
    <row r="73" spans="1:16" ht="47.25" customHeight="1">
      <c r="A73" s="39" t="s">
        <v>223</v>
      </c>
      <c r="B73" s="122" t="s">
        <v>210</v>
      </c>
      <c r="C73" s="123" t="s">
        <v>203</v>
      </c>
      <c r="D73" s="124">
        <v>2020</v>
      </c>
      <c r="E73" s="124">
        <v>2025</v>
      </c>
      <c r="F73" s="125">
        <v>2070000</v>
      </c>
      <c r="G73" s="126">
        <v>0</v>
      </c>
      <c r="H73" s="126">
        <v>70000</v>
      </c>
      <c r="I73" s="126">
        <v>0</v>
      </c>
      <c r="J73" s="126">
        <v>0</v>
      </c>
      <c r="K73" s="126">
        <v>0</v>
      </c>
      <c r="L73" s="126">
        <v>2000000</v>
      </c>
      <c r="M73" s="126"/>
      <c r="N73" s="126"/>
      <c r="O73" s="126"/>
      <c r="P73" s="42">
        <f t="shared" si="10"/>
        <v>2070000</v>
      </c>
    </row>
    <row r="74" spans="1:16" ht="35.25" customHeight="1">
      <c r="A74" s="39" t="s">
        <v>224</v>
      </c>
      <c r="B74" s="122" t="s">
        <v>211</v>
      </c>
      <c r="C74" s="123" t="s">
        <v>203</v>
      </c>
      <c r="D74" s="124">
        <v>2020</v>
      </c>
      <c r="E74" s="124">
        <v>2024</v>
      </c>
      <c r="F74" s="125">
        <v>4500000</v>
      </c>
      <c r="G74" s="126">
        <v>0</v>
      </c>
      <c r="H74" s="126">
        <v>150000</v>
      </c>
      <c r="I74" s="126">
        <v>0</v>
      </c>
      <c r="J74" s="126">
        <v>2000000</v>
      </c>
      <c r="K74" s="126">
        <v>2350000</v>
      </c>
      <c r="L74" s="126"/>
      <c r="M74" s="126"/>
      <c r="N74" s="126"/>
      <c r="O74" s="126"/>
      <c r="P74" s="42">
        <f t="shared" si="10"/>
        <v>4500000</v>
      </c>
    </row>
    <row r="75" spans="1:16" ht="33" customHeight="1">
      <c r="A75" s="39" t="s">
        <v>225</v>
      </c>
      <c r="B75" s="122" t="s">
        <v>212</v>
      </c>
      <c r="C75" s="123" t="s">
        <v>203</v>
      </c>
      <c r="D75" s="124">
        <v>2020</v>
      </c>
      <c r="E75" s="124">
        <v>2022</v>
      </c>
      <c r="F75" s="125">
        <v>150000</v>
      </c>
      <c r="G75" s="126">
        <v>0</v>
      </c>
      <c r="H75" s="126">
        <v>30000</v>
      </c>
      <c r="I75" s="126">
        <v>120000</v>
      </c>
      <c r="J75" s="126"/>
      <c r="K75" s="126"/>
      <c r="L75" s="126"/>
      <c r="M75" s="126"/>
      <c r="N75" s="126"/>
      <c r="O75" s="126"/>
      <c r="P75" s="42">
        <f t="shared" si="10"/>
        <v>150000</v>
      </c>
    </row>
    <row r="76" spans="1:16" ht="30.75" customHeight="1">
      <c r="A76" s="39" t="s">
        <v>226</v>
      </c>
      <c r="B76" s="122" t="s">
        <v>213</v>
      </c>
      <c r="C76" s="123" t="s">
        <v>203</v>
      </c>
      <c r="D76" s="124">
        <v>2020</v>
      </c>
      <c r="E76" s="124">
        <v>2025</v>
      </c>
      <c r="F76" s="125">
        <v>790000</v>
      </c>
      <c r="G76" s="126">
        <v>0</v>
      </c>
      <c r="H76" s="126">
        <v>40000</v>
      </c>
      <c r="I76" s="126">
        <v>0</v>
      </c>
      <c r="J76" s="126">
        <v>250000</v>
      </c>
      <c r="K76" s="126">
        <v>250000</v>
      </c>
      <c r="L76" s="126">
        <v>250000</v>
      </c>
      <c r="M76" s="126"/>
      <c r="N76" s="126"/>
      <c r="O76" s="126"/>
      <c r="P76" s="42">
        <f t="shared" si="10"/>
        <v>790000</v>
      </c>
    </row>
    <row r="77" spans="1:16" ht="32.25" customHeight="1">
      <c r="A77" s="39" t="s">
        <v>227</v>
      </c>
      <c r="B77" s="127" t="s">
        <v>214</v>
      </c>
      <c r="C77" s="123" t="s">
        <v>203</v>
      </c>
      <c r="D77" s="124">
        <v>2019</v>
      </c>
      <c r="E77" s="124">
        <v>2021</v>
      </c>
      <c r="F77" s="125">
        <v>350000</v>
      </c>
      <c r="G77" s="126">
        <v>0</v>
      </c>
      <c r="H77" s="126">
        <v>200000</v>
      </c>
      <c r="I77" s="126"/>
      <c r="J77" s="126"/>
      <c r="K77" s="126"/>
      <c r="L77" s="126"/>
      <c r="M77" s="126"/>
      <c r="N77" s="126"/>
      <c r="O77" s="126"/>
      <c r="P77" s="42">
        <f t="shared" si="10"/>
        <v>200000</v>
      </c>
    </row>
    <row r="78" spans="1:16" ht="35.25" customHeight="1">
      <c r="A78" s="39" t="s">
        <v>228</v>
      </c>
      <c r="B78" s="122" t="s">
        <v>215</v>
      </c>
      <c r="C78" s="123" t="s">
        <v>203</v>
      </c>
      <c r="D78" s="124">
        <v>2020</v>
      </c>
      <c r="E78" s="124">
        <v>2025</v>
      </c>
      <c r="F78" s="125">
        <v>5200000</v>
      </c>
      <c r="G78" s="126">
        <v>0</v>
      </c>
      <c r="H78" s="126">
        <v>0</v>
      </c>
      <c r="I78" s="126">
        <v>0</v>
      </c>
      <c r="J78" s="126">
        <v>150000</v>
      </c>
      <c r="K78" s="126">
        <v>2550000</v>
      </c>
      <c r="L78" s="126">
        <v>2500000</v>
      </c>
      <c r="M78" s="126"/>
      <c r="N78" s="126"/>
      <c r="O78" s="126"/>
      <c r="P78" s="42">
        <f t="shared" si="10"/>
        <v>5200000</v>
      </c>
    </row>
    <row r="79" spans="1:16" ht="32.25" customHeight="1">
      <c r="A79" s="39" t="s">
        <v>229</v>
      </c>
      <c r="B79" s="122" t="s">
        <v>216</v>
      </c>
      <c r="C79" s="123" t="s">
        <v>203</v>
      </c>
      <c r="D79" s="124">
        <v>2020</v>
      </c>
      <c r="E79" s="124">
        <v>2028</v>
      </c>
      <c r="F79" s="125">
        <v>2120000</v>
      </c>
      <c r="G79" s="126">
        <v>0</v>
      </c>
      <c r="H79" s="126">
        <v>0</v>
      </c>
      <c r="I79" s="126">
        <v>120000</v>
      </c>
      <c r="J79" s="126">
        <v>0</v>
      </c>
      <c r="K79" s="126">
        <v>0</v>
      </c>
      <c r="L79" s="126">
        <v>500000</v>
      </c>
      <c r="M79" s="126">
        <v>500000</v>
      </c>
      <c r="N79" s="126">
        <v>500000</v>
      </c>
      <c r="O79" s="126">
        <v>500000</v>
      </c>
      <c r="P79" s="42">
        <f t="shared" si="10"/>
        <v>2120000</v>
      </c>
    </row>
    <row r="80" spans="1:16" ht="30" customHeight="1">
      <c r="A80" s="39" t="s">
        <v>230</v>
      </c>
      <c r="B80" s="122" t="s">
        <v>217</v>
      </c>
      <c r="C80" s="123" t="s">
        <v>203</v>
      </c>
      <c r="D80" s="124">
        <v>2020</v>
      </c>
      <c r="E80" s="124">
        <v>2024</v>
      </c>
      <c r="F80" s="125">
        <v>2100000</v>
      </c>
      <c r="G80" s="126">
        <v>0</v>
      </c>
      <c r="H80" s="126">
        <v>100000</v>
      </c>
      <c r="I80" s="126">
        <v>0</v>
      </c>
      <c r="J80" s="126">
        <v>1000000</v>
      </c>
      <c r="K80" s="126">
        <v>1000000</v>
      </c>
      <c r="L80" s="126"/>
      <c r="M80" s="126"/>
      <c r="N80" s="126"/>
      <c r="O80" s="126"/>
      <c r="P80" s="42">
        <f t="shared" si="10"/>
        <v>2100000</v>
      </c>
    </row>
    <row r="81" spans="1:16" ht="30.75" customHeight="1">
      <c r="A81" s="39" t="s">
        <v>231</v>
      </c>
      <c r="B81" s="122" t="s">
        <v>218</v>
      </c>
      <c r="C81" s="123" t="s">
        <v>203</v>
      </c>
      <c r="D81" s="124">
        <v>2020</v>
      </c>
      <c r="E81" s="124">
        <v>2025</v>
      </c>
      <c r="F81" s="125">
        <v>750000</v>
      </c>
      <c r="G81" s="126">
        <v>0</v>
      </c>
      <c r="H81" s="126">
        <v>0</v>
      </c>
      <c r="I81" s="126">
        <v>100000</v>
      </c>
      <c r="J81" s="126">
        <v>0</v>
      </c>
      <c r="K81" s="126">
        <v>300000</v>
      </c>
      <c r="L81" s="126">
        <v>300000</v>
      </c>
      <c r="M81" s="126"/>
      <c r="N81" s="126"/>
      <c r="O81" s="126"/>
      <c r="P81" s="42">
        <f t="shared" si="10"/>
        <v>700000</v>
      </c>
    </row>
    <row r="82" spans="1:16" ht="31.5" customHeight="1">
      <c r="A82" s="39" t="s">
        <v>232</v>
      </c>
      <c r="B82" s="129" t="s">
        <v>219</v>
      </c>
      <c r="C82" s="119" t="s">
        <v>203</v>
      </c>
      <c r="D82" s="130">
        <v>2020</v>
      </c>
      <c r="E82" s="130">
        <v>2024</v>
      </c>
      <c r="F82" s="131">
        <v>1560000</v>
      </c>
      <c r="G82" s="132">
        <v>0</v>
      </c>
      <c r="H82" s="132">
        <v>390000</v>
      </c>
      <c r="I82" s="132">
        <v>390000</v>
      </c>
      <c r="J82" s="132">
        <v>260000</v>
      </c>
      <c r="K82" s="132">
        <v>520000</v>
      </c>
      <c r="L82" s="132"/>
      <c r="M82" s="132"/>
      <c r="N82" s="132"/>
      <c r="O82" s="132"/>
      <c r="P82" s="133">
        <f t="shared" si="10"/>
        <v>1560000</v>
      </c>
    </row>
    <row r="83" spans="1:16" ht="40.5" customHeight="1">
      <c r="A83" s="39" t="s">
        <v>233</v>
      </c>
      <c r="B83" s="134" t="s">
        <v>235</v>
      </c>
      <c r="C83" s="38" t="s">
        <v>236</v>
      </c>
      <c r="D83" s="138">
        <v>2020</v>
      </c>
      <c r="E83" s="138">
        <v>2021</v>
      </c>
      <c r="F83" s="135">
        <v>2000000</v>
      </c>
      <c r="G83" s="181">
        <v>0</v>
      </c>
      <c r="H83" s="136">
        <v>2000000</v>
      </c>
      <c r="I83" s="136">
        <v>0</v>
      </c>
      <c r="J83" s="136">
        <v>0</v>
      </c>
      <c r="K83" s="136">
        <v>0</v>
      </c>
      <c r="L83" s="136">
        <v>0</v>
      </c>
      <c r="M83" s="136">
        <v>0</v>
      </c>
      <c r="N83" s="136">
        <v>0</v>
      </c>
      <c r="O83" s="136">
        <v>0</v>
      </c>
      <c r="P83" s="135">
        <f t="shared" si="10"/>
        <v>2000000</v>
      </c>
    </row>
    <row r="84" spans="1:16">
      <c r="G84" s="137"/>
    </row>
    <row r="85" spans="1:16">
      <c r="G85" s="182"/>
    </row>
  </sheetData>
  <mergeCells count="19">
    <mergeCell ref="A1:P1"/>
    <mergeCell ref="A4:A5"/>
    <mergeCell ref="B4:B5"/>
    <mergeCell ref="C4:C5"/>
    <mergeCell ref="D4:E4"/>
    <mergeCell ref="F4:F5"/>
    <mergeCell ref="P4:P5"/>
    <mergeCell ref="B30:E30"/>
    <mergeCell ref="B7:E7"/>
    <mergeCell ref="B8:E8"/>
    <mergeCell ref="B9:E9"/>
    <mergeCell ref="B10:E10"/>
    <mergeCell ref="B11:E11"/>
    <mergeCell ref="B21:E21"/>
    <mergeCell ref="B22:E22"/>
    <mergeCell ref="B23:E23"/>
    <mergeCell ref="B24:E24"/>
    <mergeCell ref="B25:E25"/>
    <mergeCell ref="B26:E26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4294967294" verticalDpi="0" r:id="rId1"/>
  <headerFooter differentOddEven="1" differentFirst="1" alignWithMargins="0">
    <oddFooter>&amp;C&amp;P</oddFooter>
    <evenFooter>&amp;C&amp;P</evenFooter>
    <firstHeader>&amp;RZałącznik Nr 2
do uchwały Nr ................
Rady Powiatu w Otwocku
z dnia .............................</firstHeader>
    <firstFooter>&amp;C&amp;P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Zał.1</vt:lpstr>
      <vt:lpstr>Zał.2</vt:lpstr>
      <vt:lpstr>Zał.1!Obszar_wydruku</vt:lpstr>
      <vt:lpstr>Zał.2!Obszar_wydruku</vt:lpstr>
      <vt:lpstr>Zał.1!Tytuły_wydruku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2019-12-13T12:57:08Z</dcterms:modified>
</cp:coreProperties>
</file>