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Budżet_zmiana 19_12_2019\"/>
    </mc:Choice>
  </mc:AlternateContent>
  <bookViews>
    <workbookView xWindow="-120" yWindow="-120" windowWidth="29040" windowHeight="15840" tabRatio="821"/>
  </bookViews>
  <sheets>
    <sheet name="Tab.2a" sheetId="47" r:id="rId1"/>
    <sheet name="Tab.3" sheetId="21" r:id="rId2"/>
    <sheet name="Tab.5" sheetId="6" r:id="rId3"/>
    <sheet name="Tab.6" sheetId="49" r:id="rId4"/>
    <sheet name="Tab.7" sheetId="48" r:id="rId5"/>
    <sheet name="Zał.1" sheetId="50" r:id="rId6"/>
    <sheet name="Zał.2" sheetId="46" r:id="rId7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 localSheetId="6">#REF!</definedName>
    <definedName name="__xlnm.Print_Area_1">#REF!</definedName>
    <definedName name="_xlnm._FilterDatabase" localSheetId="2" hidden="1">Tab.5!$C$1:$C$202</definedName>
    <definedName name="_xlnm._FilterDatabase" localSheetId="4" hidden="1">Tab.7!$D$2:$D$41</definedName>
    <definedName name="Inwestycje" localSheetId="0">#REF!</definedName>
    <definedName name="Inwestycje" localSheetId="3">#REF!</definedName>
    <definedName name="Inwestycje" localSheetId="4">#REF!</definedName>
    <definedName name="Inwestycje" localSheetId="5">#REF!</definedName>
    <definedName name="Inwestycje" localSheetId="6">#REF!</definedName>
    <definedName name="Inwestycje">#REF!</definedName>
    <definedName name="_xlnm.Print_Area" localSheetId="0">Tab.2a!$A$2:$K$112</definedName>
    <definedName name="_xlnm.Print_Area" localSheetId="1">Tab.3!$A$2:$D$22</definedName>
    <definedName name="_xlnm.Print_Area" localSheetId="2">Tab.5!$A$2:$F$192</definedName>
    <definedName name="_xlnm.Print_Area" localSheetId="5">Zał.1!$A$1:$G$44</definedName>
    <definedName name="_xlnm.Print_Area" localSheetId="6">Zał.2!$A$1:$H$14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47" l="1"/>
  <c r="G21" i="47" l="1"/>
  <c r="F31" i="47"/>
  <c r="G15" i="47"/>
  <c r="G13" i="50" l="1"/>
  <c r="E32" i="50"/>
  <c r="E30" i="50"/>
  <c r="E29" i="50"/>
  <c r="E28" i="50"/>
  <c r="F43" i="50"/>
  <c r="G42" i="50"/>
  <c r="G41" i="50"/>
  <c r="E40" i="50"/>
  <c r="E39" i="50"/>
  <c r="E37" i="50"/>
  <c r="G33" i="50"/>
  <c r="G43" i="50" s="1"/>
  <c r="E31" i="50"/>
  <c r="E27" i="50"/>
  <c r="E43" i="50" s="1"/>
  <c r="G24" i="50"/>
  <c r="F21" i="50"/>
  <c r="E21" i="50"/>
  <c r="G18" i="50"/>
  <c r="G16" i="50"/>
  <c r="G15" i="50"/>
  <c r="G14" i="50"/>
  <c r="G11" i="50"/>
  <c r="G10" i="50"/>
  <c r="G21" i="50" s="1"/>
  <c r="G44" i="50" s="1"/>
  <c r="G9" i="46" l="1"/>
  <c r="E9" i="46"/>
  <c r="F9" i="47"/>
  <c r="G14" i="47"/>
  <c r="G9" i="47"/>
  <c r="F95" i="6" l="1"/>
  <c r="F91" i="6"/>
  <c r="G18" i="49" l="1"/>
  <c r="G17" i="49"/>
  <c r="G16" i="49"/>
  <c r="G15" i="49"/>
  <c r="G11" i="49"/>
  <c r="G10" i="49"/>
  <c r="G9" i="49"/>
  <c r="F8" i="49"/>
  <c r="F7" i="49" s="1"/>
  <c r="F6" i="49" s="1"/>
  <c r="F19" i="49" s="1"/>
  <c r="F13" i="49"/>
  <c r="F12" i="49"/>
  <c r="G13" i="49" l="1"/>
  <c r="G12" i="49" s="1"/>
  <c r="G19" i="49" s="1"/>
  <c r="G7" i="49"/>
  <c r="G6" i="49" s="1"/>
  <c r="G21" i="48"/>
  <c r="F20" i="48"/>
  <c r="F165" i="6"/>
  <c r="F163" i="6"/>
  <c r="F162" i="6"/>
  <c r="F161" i="6"/>
  <c r="F160" i="6"/>
  <c r="F159" i="6"/>
  <c r="F158" i="6"/>
  <c r="F155" i="6"/>
  <c r="F106" i="6"/>
  <c r="F104" i="6"/>
  <c r="F102" i="6"/>
  <c r="F101" i="6"/>
  <c r="F100" i="6"/>
  <c r="F99" i="6"/>
  <c r="F98" i="6"/>
  <c r="F97" i="6"/>
  <c r="F94" i="6"/>
  <c r="F92" i="6"/>
  <c r="F90" i="6"/>
  <c r="F89" i="6"/>
  <c r="F88" i="6"/>
  <c r="F87" i="6"/>
  <c r="F84" i="6"/>
  <c r="F83" i="6"/>
  <c r="F81" i="6"/>
  <c r="F80" i="6"/>
  <c r="F79" i="6"/>
  <c r="F50" i="6"/>
  <c r="F49" i="6"/>
  <c r="F46" i="6"/>
  <c r="F43" i="6"/>
  <c r="F41" i="6"/>
  <c r="F40" i="6"/>
  <c r="F38" i="6"/>
  <c r="F37" i="6"/>
  <c r="F186" i="6"/>
  <c r="F185" i="6"/>
  <c r="F184" i="6"/>
  <c r="F183" i="6"/>
  <c r="F179" i="6"/>
  <c r="F178" i="6"/>
  <c r="F168" i="6"/>
  <c r="F151" i="6"/>
  <c r="F147" i="6"/>
  <c r="F144" i="6"/>
  <c r="F141" i="6"/>
  <c r="F137" i="6"/>
  <c r="F136" i="6"/>
  <c r="F134" i="6"/>
  <c r="F129" i="6"/>
  <c r="F55" i="6"/>
  <c r="F54" i="6"/>
  <c r="F53" i="6"/>
  <c r="F47" i="6"/>
  <c r="F42" i="6"/>
  <c r="F36" i="6"/>
  <c r="F33" i="6"/>
  <c r="F8" i="6"/>
  <c r="E191" i="6"/>
  <c r="E182" i="6"/>
  <c r="E181" i="6"/>
  <c r="E177" i="6"/>
  <c r="E167" i="6"/>
  <c r="E132" i="6"/>
  <c r="E128" i="6"/>
  <c r="E77" i="6"/>
  <c r="F39" i="48" l="1"/>
  <c r="G38" i="48"/>
  <c r="G37" i="48"/>
  <c r="G36" i="48"/>
  <c r="G35" i="48" s="1"/>
  <c r="G34" i="48" s="1"/>
  <c r="F34" i="48"/>
  <c r="G32" i="48"/>
  <c r="G31" i="48" s="1"/>
  <c r="G30" i="48"/>
  <c r="F29" i="48"/>
  <c r="G28" i="48"/>
  <c r="F28" i="48"/>
  <c r="G27" i="48"/>
  <c r="G26" i="48"/>
  <c r="G22" i="48" s="1"/>
  <c r="G25" i="48"/>
  <c r="F24" i="48"/>
  <c r="G23" i="48"/>
  <c r="F23" i="48"/>
  <c r="F22" i="48"/>
  <c r="G19" i="48"/>
  <c r="G18" i="48" s="1"/>
  <c r="F19" i="48"/>
  <c r="F18" i="48" s="1"/>
  <c r="F17" i="48"/>
  <c r="F16" i="48"/>
  <c r="F15" i="48"/>
  <c r="G13" i="48"/>
  <c r="G12" i="48"/>
  <c r="F11" i="48"/>
  <c r="F8" i="48" s="1"/>
  <c r="F5" i="48" s="1"/>
  <c r="F41" i="48" s="1"/>
  <c r="F10" i="48"/>
  <c r="F9" i="48"/>
  <c r="G6" i="48"/>
  <c r="G5" i="48"/>
  <c r="G41" i="48" l="1"/>
  <c r="E29" i="6" l="1"/>
  <c r="E7" i="6"/>
  <c r="G91" i="47" l="1"/>
  <c r="G11" i="47" l="1"/>
  <c r="F11" i="47" s="1"/>
  <c r="K107" i="47"/>
  <c r="I107" i="47"/>
  <c r="G106" i="47"/>
  <c r="G105" i="47"/>
  <c r="F105" i="47" s="1"/>
  <c r="F106" i="47" s="1"/>
  <c r="G104" i="47"/>
  <c r="F103" i="47"/>
  <c r="F104" i="47" s="1"/>
  <c r="G102" i="47"/>
  <c r="F102" i="47"/>
  <c r="F101" i="47"/>
  <c r="G100" i="47"/>
  <c r="F99" i="47"/>
  <c r="G98" i="47"/>
  <c r="F98" i="47"/>
  <c r="F100" i="47" s="1"/>
  <c r="H97" i="47"/>
  <c r="G97" i="47"/>
  <c r="F96" i="47"/>
  <c r="G95" i="47"/>
  <c r="F95" i="47"/>
  <c r="F97" i="47" s="1"/>
  <c r="G94" i="47"/>
  <c r="H93" i="47"/>
  <c r="F93" i="47" s="1"/>
  <c r="F94" i="47" s="1"/>
  <c r="G93" i="47"/>
  <c r="G92" i="47"/>
  <c r="H91" i="47"/>
  <c r="H92" i="47" s="1"/>
  <c r="G90" i="47"/>
  <c r="G89" i="47"/>
  <c r="F89" i="47" s="1"/>
  <c r="F90" i="47" s="1"/>
  <c r="G88" i="47"/>
  <c r="F87" i="47"/>
  <c r="F88" i="47" s="1"/>
  <c r="G86" i="47"/>
  <c r="F86" i="47"/>
  <c r="F85" i="47"/>
  <c r="F84" i="47"/>
  <c r="G83" i="47"/>
  <c r="F83" i="47"/>
  <c r="F80" i="47"/>
  <c r="G79" i="47"/>
  <c r="G81" i="47" s="1"/>
  <c r="G77" i="47"/>
  <c r="G78" i="47" s="1"/>
  <c r="H76" i="47"/>
  <c r="F76" i="47"/>
  <c r="G75" i="47"/>
  <c r="G76" i="47" s="1"/>
  <c r="F75" i="47"/>
  <c r="H74" i="47"/>
  <c r="G74" i="47"/>
  <c r="G73" i="47"/>
  <c r="F73" i="47"/>
  <c r="F72" i="47"/>
  <c r="F74" i="47" s="1"/>
  <c r="H71" i="47"/>
  <c r="F70" i="47"/>
  <c r="F69" i="47"/>
  <c r="G68" i="47"/>
  <c r="F68" i="47"/>
  <c r="F67" i="47"/>
  <c r="G66" i="47"/>
  <c r="G59" i="47" s="1"/>
  <c r="F59" i="47" s="1"/>
  <c r="F64" i="47"/>
  <c r="F63" i="47"/>
  <c r="F62" i="47"/>
  <c r="F61" i="47"/>
  <c r="F60" i="47"/>
  <c r="J59" i="47"/>
  <c r="G58" i="47"/>
  <c r="F58" i="47"/>
  <c r="G57" i="47"/>
  <c r="F57" i="47"/>
  <c r="G56" i="47"/>
  <c r="F56" i="47"/>
  <c r="G55" i="47"/>
  <c r="F55" i="47"/>
  <c r="F54" i="47"/>
  <c r="F52" i="47"/>
  <c r="J51" i="47"/>
  <c r="G51" i="47"/>
  <c r="F51" i="47" s="1"/>
  <c r="F50" i="47"/>
  <c r="F49" i="47"/>
  <c r="F48" i="47"/>
  <c r="F47" i="47"/>
  <c r="G44" i="47"/>
  <c r="F44" i="47" s="1"/>
  <c r="F43" i="47"/>
  <c r="F42" i="47"/>
  <c r="F38" i="47"/>
  <c r="G36" i="47"/>
  <c r="G35" i="47"/>
  <c r="F35" i="47" s="1"/>
  <c r="G34" i="47"/>
  <c r="F34" i="47" s="1"/>
  <c r="F33" i="47"/>
  <c r="J32" i="47"/>
  <c r="G32" i="47"/>
  <c r="F32" i="47" s="1"/>
  <c r="G30" i="47"/>
  <c r="F30" i="47"/>
  <c r="F29" i="47"/>
  <c r="F28" i="47"/>
  <c r="F27" i="47"/>
  <c r="G25" i="47"/>
  <c r="F25" i="47"/>
  <c r="G24" i="47"/>
  <c r="F24" i="47"/>
  <c r="G23" i="47"/>
  <c r="F23" i="47"/>
  <c r="G22" i="47"/>
  <c r="J21" i="47"/>
  <c r="J71" i="47" s="1"/>
  <c r="J107" i="47" s="1"/>
  <c r="G20" i="47"/>
  <c r="F20" i="47"/>
  <c r="G19" i="47"/>
  <c r="F19" i="47"/>
  <c r="F18" i="47"/>
  <c r="F16" i="47"/>
  <c r="F15" i="47"/>
  <c r="F14" i="47"/>
  <c r="F13" i="47"/>
  <c r="G12" i="47"/>
  <c r="F12" i="47" s="1"/>
  <c r="F10" i="47"/>
  <c r="G8" i="47"/>
  <c r="F8" i="47"/>
  <c r="I7" i="47"/>
  <c r="H7" i="47"/>
  <c r="G7" i="47" l="1"/>
  <c r="F7" i="47" s="1"/>
  <c r="F71" i="47" s="1"/>
  <c r="G71" i="47"/>
  <c r="G107" i="47" s="1"/>
  <c r="H107" i="47"/>
  <c r="F77" i="47"/>
  <c r="F78" i="47" s="1"/>
  <c r="F79" i="47"/>
  <c r="F81" i="47" s="1"/>
  <c r="H94" i="47"/>
  <c r="F91" i="47"/>
  <c r="F92" i="47" s="1"/>
  <c r="F107" i="47" l="1"/>
  <c r="E14" i="46" l="1"/>
  <c r="F111" i="6" l="1"/>
  <c r="E63" i="6"/>
  <c r="G13" i="46" l="1"/>
  <c r="F13" i="46"/>
  <c r="E13" i="46"/>
  <c r="H14" i="46" l="1"/>
  <c r="G14" i="46"/>
  <c r="F12" i="46"/>
  <c r="F11" i="46"/>
  <c r="G10" i="46"/>
  <c r="F10" i="46"/>
  <c r="F9" i="46"/>
  <c r="F8" i="46"/>
  <c r="F7" i="46"/>
  <c r="F6" i="46"/>
  <c r="F14" i="46" l="1"/>
  <c r="F51" i="6"/>
  <c r="F125" i="6" l="1"/>
  <c r="F124" i="6"/>
  <c r="E123" i="6"/>
  <c r="F153" i="6"/>
  <c r="F164" i="6"/>
  <c r="F156" i="6"/>
  <c r="F148" i="6"/>
  <c r="F103" i="6"/>
  <c r="F96" i="6"/>
  <c r="F86" i="6"/>
  <c r="F85" i="6"/>
  <c r="F18" i="6"/>
  <c r="F15" i="6"/>
  <c r="F14" i="6"/>
  <c r="F13" i="6"/>
  <c r="F175" i="6" l="1"/>
  <c r="F174" i="6"/>
  <c r="F173" i="6"/>
  <c r="F172" i="6"/>
  <c r="F143" i="6"/>
  <c r="F142" i="6"/>
  <c r="F138" i="6"/>
  <c r="F133" i="6"/>
  <c r="F52" i="6"/>
  <c r="F25" i="6"/>
  <c r="E171" i="6"/>
  <c r="D15" i="21" l="1"/>
  <c r="F190" i="6" l="1"/>
  <c r="F189" i="6"/>
  <c r="E188" i="6"/>
  <c r="F68" i="6" l="1"/>
  <c r="F67" i="6"/>
  <c r="F23" i="6"/>
  <c r="F21" i="6"/>
  <c r="F16" i="6"/>
  <c r="F187" i="6" l="1"/>
  <c r="E187" i="6"/>
  <c r="F82" i="6"/>
  <c r="F78" i="6"/>
  <c r="F122" i="6" l="1"/>
  <c r="F121" i="6" s="1"/>
  <c r="E122" i="6"/>
  <c r="E121" i="6" s="1"/>
  <c r="F157" i="6" l="1"/>
  <c r="F107" i="6" l="1"/>
  <c r="E107" i="6"/>
  <c r="F70" i="6"/>
  <c r="F69" i="6" s="1"/>
  <c r="E70" i="6"/>
  <c r="E69" i="6" s="1"/>
  <c r="F166" i="6" l="1"/>
  <c r="E166" i="6"/>
  <c r="F150" i="6"/>
  <c r="F135" i="6"/>
  <c r="F66" i="6"/>
  <c r="F76" i="6" l="1"/>
  <c r="F180" i="6" l="1"/>
  <c r="F127" i="6" l="1"/>
  <c r="F126" i="6" s="1"/>
  <c r="E127" i="6"/>
  <c r="F170" i="6"/>
  <c r="E170" i="6"/>
  <c r="E180" i="6"/>
  <c r="F131" i="6" l="1"/>
  <c r="F130" i="6" s="1"/>
  <c r="E76" i="6" l="1"/>
  <c r="E75" i="6" s="1"/>
  <c r="E131" i="6" l="1"/>
  <c r="E130" i="6" s="1"/>
  <c r="D19" i="21" l="1"/>
  <c r="D14" i="21"/>
  <c r="D10" i="21"/>
  <c r="D7" i="21"/>
  <c r="D13" i="21" l="1"/>
  <c r="F176" i="6" l="1"/>
  <c r="F169" i="6" s="1"/>
  <c r="E176" i="6"/>
  <c r="E169" i="6" s="1"/>
  <c r="F110" i="6" l="1"/>
  <c r="E111" i="6"/>
  <c r="E110" i="6" s="1"/>
  <c r="F28" i="6" l="1"/>
  <c r="F152" i="6" l="1"/>
  <c r="E153" i="6"/>
  <c r="E152" i="6" s="1"/>
  <c r="E126" i="6"/>
  <c r="F75" i="6"/>
  <c r="F62" i="6"/>
  <c r="E62" i="6"/>
  <c r="F57" i="6"/>
  <c r="E57" i="6"/>
  <c r="F34" i="6"/>
  <c r="E34" i="6"/>
  <c r="E28" i="6"/>
  <c r="F10" i="6"/>
  <c r="F9" i="6" s="1"/>
  <c r="E10" i="6"/>
  <c r="E9" i="6" s="1"/>
  <c r="F6" i="6"/>
  <c r="F5" i="6" s="1"/>
  <c r="E6" i="6"/>
  <c r="E5" i="6" s="1"/>
  <c r="E56" i="6" l="1"/>
  <c r="F56" i="6"/>
  <c r="F27" i="6"/>
  <c r="E27" i="6"/>
  <c r="F191" i="6" l="1"/>
</calcChain>
</file>

<file path=xl/sharedStrings.xml><?xml version="1.0" encoding="utf-8"?>
<sst xmlns="http://schemas.openxmlformats.org/spreadsheetml/2006/main" count="654" uniqueCount="395">
  <si>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</si>
  <si>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</si>
  <si>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</si>
  <si>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</si>
  <si>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</si>
  <si>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</si>
  <si>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</si>
  <si>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</si>
  <si>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</si>
  <si>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</si>
  <si>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</si>
  <si>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</si>
  <si>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Ośrodki wsparcia</t>
  </si>
  <si>
    <t>Rodziny zastępcze</t>
  </si>
  <si>
    <t>Pozostałe zadania w zakresie polityki społecznej</t>
  </si>
  <si>
    <t>Zespoły do spraw orzekania o niepełnosprawności</t>
  </si>
  <si>
    <t>Rolnictwo i łowiectwo</t>
  </si>
  <si>
    <t>Zakup usług pozostałych</t>
  </si>
  <si>
    <t>Zakup materiałów i wyposażenia</t>
  </si>
  <si>
    <t>Wydatki osobowe niezaliczone do wynagrodzeń</t>
  </si>
  <si>
    <t>Wynagrodzenia osobowe pracowników</t>
  </si>
  <si>
    <t>Dodatkowe wynagrodzenie roczne</t>
  </si>
  <si>
    <t>Składki na ubezpieczenia społeczne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</si>
  <si>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</si>
  <si>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</si>
  <si>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</si>
  <si>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</si>
  <si>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</si>
  <si>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</si>
  <si>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</si>
  <si>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</si>
  <si>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</si>
  <si>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</si>
  <si>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</si>
  <si>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</si>
  <si>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</si>
  <si>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</si>
  <si>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</si>
  <si>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</si>
  <si>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</si>
  <si>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</si>
  <si>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</si>
  <si>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</si>
  <si>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</si>
  <si>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</si>
  <si>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</si>
  <si>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</si>
  <si>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</si>
  <si>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</si>
  <si>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</si>
  <si>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</t>
  </si>
  <si>
    <t>Pomoc społeczna</t>
  </si>
  <si>
    <t>Świadczenia społeczne</t>
  </si>
  <si>
    <t>Lp.</t>
  </si>
  <si>
    <t>1.</t>
  </si>
  <si>
    <t>2.</t>
  </si>
  <si>
    <t>3.</t>
  </si>
  <si>
    <t>4.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</si>
  <si>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</si>
  <si>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</si>
  <si>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</si>
  <si>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</si>
  <si>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</si>
  <si>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</si>
  <si>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</si>
  <si>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</si>
  <si>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</si>
  <si>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</si>
  <si>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</si>
  <si>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</si>
  <si>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</si>
  <si>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</si>
  <si>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</si>
  <si>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</si>
  <si>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</si>
  <si>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</si>
  <si>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</si>
  <si>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</si>
  <si>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</si>
  <si>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852</t>
  </si>
  <si>
    <t>Zadania z zakresu geodezji i kartografii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</si>
  <si>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</si>
  <si>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</si>
  <si>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</si>
  <si>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</si>
  <si>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</si>
  <si>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</si>
  <si>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</si>
  <si>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</si>
  <si>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</si>
  <si>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</si>
  <si>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</si>
  <si>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</si>
  <si>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</si>
  <si>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</si>
  <si>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</si>
  <si>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</si>
  <si>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</si>
  <si>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</si>
  <si>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</si>
  <si>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</si>
  <si>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</si>
  <si>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</si>
  <si>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</si>
  <si>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Uposażenia i świadczenia pieniężne wypłacane przez okres roku żołnierzom i funkcjonariuszom zwolnionym ze służby</t>
  </si>
  <si>
    <t>Wspieranie rodziny</t>
  </si>
  <si>
    <t>85504</t>
  </si>
  <si>
    <t>Przychody i rozchody budżetu w 2019 roku - po zmianach</t>
  </si>
  <si>
    <t>Dochody i wydatki związane z realizacją zadań z zakresu administracji rządowej i innych zadań zleconych                                                                jednostce samorządu terytorialnego odrębnymi ustawami na 2019 rok - po zmianach</t>
  </si>
  <si>
    <t>85395</t>
  </si>
  <si>
    <t>752</t>
  </si>
  <si>
    <t xml:space="preserve">Obrona narodowa </t>
  </si>
  <si>
    <t>Dotacje celowe otrzymane z budżetu państwa na inwestycje i zakupy inwestycyjne z zakresu administracji rządowej oraz inne zadania zlecone ustawami realizowane przez powiat</t>
  </si>
  <si>
    <t>Wydatki na zakupy inwestycyjne jednostek budżetowych</t>
  </si>
  <si>
    <t>75295</t>
  </si>
  <si>
    <t>75414</t>
  </si>
  <si>
    <t>Obrona cywilna</t>
  </si>
  <si>
    <t>Różne wydatki na rzecz osób fizycznych</t>
  </si>
  <si>
    <t>801</t>
  </si>
  <si>
    <t>Oświata i wychowanie</t>
  </si>
  <si>
    <t>80153</t>
  </si>
  <si>
    <t>Zapewnienie uczniom prawa do bezpłatnego dostępu do podręczników, materiałów edukacyjnych lub materiałów ćwiczeniowych</t>
  </si>
  <si>
    <t>Dotacja celowa z budżetu na finansowanie lub dofinansowanie zadań zleconych do realizacji pozostałym jednostkom nie zaliczanym do sektora finansów publicznych</t>
  </si>
  <si>
    <t>Zakup środków dydaktycznych i książek</t>
  </si>
  <si>
    <t>Składki na Fundusz Pracy oraz Solidarnościowy Fundusz Wsparcia Osób Niepełnosprawnych</t>
  </si>
  <si>
    <t>85595</t>
  </si>
  <si>
    <t>Ogółem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</si>
  <si>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</si>
  <si>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Plan dochodów rachunku dochodów jednostek oświatowych                                                                        oraz wydatków nimi finansowanych w 2019 roku - po zmianach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</si>
  <si>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</si>
  <si>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</si>
  <si>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</si>
  <si>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</si>
  <si>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</si>
  <si>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Liceum Ogólnokształcące Nr I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</si>
  <si>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</si>
  <si>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</si>
  <si>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</si>
  <si>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</si>
  <si>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</si>
  <si>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</si>
  <si>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>Plan wydatków majątkowych na 2019 rok - po zmianach</t>
  </si>
  <si>
    <t>Rozdz.</t>
  </si>
  <si>
    <t>§</t>
  </si>
  <si>
    <t>Nazwa zadania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</si>
  <si>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</si>
  <si>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</si>
  <si>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</si>
  <si>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</si>
  <si>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</si>
  <si>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</si>
  <si>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</si>
  <si>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5.</t>
  </si>
  <si>
    <t>6.</t>
  </si>
  <si>
    <t>7.</t>
  </si>
  <si>
    <t>8.</t>
  </si>
  <si>
    <t>9.</t>
  </si>
  <si>
    <t>10.</t>
  </si>
  <si>
    <t>11.</t>
  </si>
  <si>
    <t>Gmina Celestynów</t>
  </si>
  <si>
    <t xml:space="preserve">Opracowanie dokumentacji projektowej na budowę chodnika wraz z miejscami postojowymi przy drodze powiatowej Nr 2713W w Celestynowie na odcinku od działki 129/12 w obr. 1 do ronda w Dąbrówce </t>
  </si>
  <si>
    <t>B. 0</t>
  </si>
  <si>
    <t>Przebudowa drogi powiatowej Nr 2714W w Celestynowie</t>
  </si>
  <si>
    <t>A. 1 132 000</t>
  </si>
  <si>
    <t xml:space="preserve">realizacja do skrzyżowania z                                ul. Radzyńską </t>
  </si>
  <si>
    <t>WPF</t>
  </si>
  <si>
    <t>Modernizacja drogi powiatowej Nr 2744W w Ponurzycy</t>
  </si>
  <si>
    <t>wyrównanie i doziarnienie drogi</t>
  </si>
  <si>
    <t>Budowa chodnika przy drodze  powiatowej Nr 2719W - ul. Laskowskiej w Celestynowie</t>
  </si>
  <si>
    <t>Gmina Józefów</t>
  </si>
  <si>
    <t>Przebudowa drogi powiatowej Nr 2769W ul. Sikorskiego i Nr 2765W ul. Piłsudskiego w Józefowie</t>
  </si>
  <si>
    <t>Przebudowa drogi powiatowej Nr 2769W  - ul. Sikorskiego w Józefowie</t>
  </si>
  <si>
    <t>Przebudowa drogi powiatowej Nr 2765W - ul. Piłsudskiego w Józefowie</t>
  </si>
  <si>
    <t>Modernizacja drogi powiatowej Nr 2768W - ul. Granicznej w Józefowie</t>
  </si>
  <si>
    <t>Modernizacja chodnika w ul. Piłsudskiego na odcinku od ul. Wąskiej do granicy z Warszawą (ok. 150 metrów) w Józefowie</t>
  </si>
  <si>
    <t>Modernizacja chodnika w ul. 3 Maja na odcinku od ul. Wąskiej do ul. Werbeny w Józefowie</t>
  </si>
  <si>
    <t>Projekt i budowa chodnika w ul. 3 Maja na odcinku od ul. Zaułek do ul. Granicznej (po stronie zachodniej) w Józefowie</t>
  </si>
  <si>
    <t>12.</t>
  </si>
  <si>
    <t>Budowa miejsc parkingowych wraz z chodnikiem w pasie drogowym ul. 3 Maja na odcinku od ul. Szerokiej do numeru 82 oraz wykonanie przejścia dla pieszych na wysokości ul. Rozkosznej w Józefowie</t>
  </si>
  <si>
    <t>B. 175 000</t>
  </si>
  <si>
    <t>Gmina Otwock</t>
  </si>
  <si>
    <t>13.</t>
  </si>
  <si>
    <t>Rozbudowa skrzyżowania dróg powiatowych Nr 2754W – ul. Reymonta i Nr 2758W – ul. Samorządowej w Otwocku na skrzyżowanie typu rondo</t>
  </si>
  <si>
    <t>A. 49 000            B. 451 000</t>
  </si>
  <si>
    <t>14.</t>
  </si>
  <si>
    <t>Modernizacja drogi powiatowej Nr 2763W - ul. Majowej w Otwocku</t>
  </si>
  <si>
    <t>15.</t>
  </si>
  <si>
    <t>Wykonanie projektu i budowa odwodnienia drogi powiatowej Nr 2765W - ul. Kołłątaja w Otwocku przy skrzyżowaniu z ul. Majową i ul. Rzemieślniczą</t>
  </si>
  <si>
    <t>B.  0</t>
  </si>
  <si>
    <t>16.</t>
  </si>
  <si>
    <t>Modernizacja drogi powiatowej Nr 2756W - ul. Świderskiej w Otwocku</t>
  </si>
  <si>
    <t>17.</t>
  </si>
  <si>
    <t>Modernizacja w ul. Kraszewskiego/ul. Majowej w Otwocku na odcinku od ronda Żołnierzy AK IV Rejonu Otwock - Fromczyn do ul. Wierzbowej</t>
  </si>
  <si>
    <t>18.</t>
  </si>
  <si>
    <t>Budowa doświetlenia przejścia dla pieszych w Otwocku w ul. Jana Pawła II na wysokości ul. Kukułczej</t>
  </si>
  <si>
    <t>19.</t>
  </si>
  <si>
    <t>Wykonanie projektu oraz budowy odwodnienia drogi powiatowej ul. Matejki w Otwocku</t>
  </si>
  <si>
    <t>20.</t>
  </si>
  <si>
    <t xml:space="preserve">Opracowanie koncepcji przedłużenia ul. Narutowicza w Otwocku na odcinku od ul. Andriollego w Otwocku do ul. Ciepłowniczej w Karczewie i dalej  do drogi wojewódzkie     nr 801 </t>
  </si>
  <si>
    <t>B. 31 000</t>
  </si>
  <si>
    <t>5 000 dotacja z miasta Otwocka                                                       26 000 dotacja z gminy Karczew</t>
  </si>
  <si>
    <t>21.</t>
  </si>
  <si>
    <t>Przebudowa dróg powiatowych nr 2762W i 2763W - ul. Kraszewskiego i Majowej w Otwocku</t>
  </si>
  <si>
    <t xml:space="preserve">A. 2 544 000 </t>
  </si>
  <si>
    <t>Gmina Karczew</t>
  </si>
  <si>
    <t>22.</t>
  </si>
  <si>
    <t>Modernizacja drogi powiatowej nr 2729W Kępa Gliniecka - Otwock Wielki - Otwock Mały - Karczew w miejscowości Otwock Wielki</t>
  </si>
  <si>
    <t>23.</t>
  </si>
  <si>
    <t>Przebudowa  drogi powiatowej Nr 2724W w Całowaniu</t>
  </si>
  <si>
    <t>A. 1 028 000</t>
  </si>
  <si>
    <t>24.</t>
  </si>
  <si>
    <t>Modernizacja dróg powiatowych Nr 2772W - ul. Wyszyńskiego w Karczewie i Nr 2762W ul. Kraszewskiego w Otwocku na odcinku od ul. Boh. Westerplatte w Karczewie do ul. Batorego w Otwocku</t>
  </si>
  <si>
    <t>25.</t>
  </si>
  <si>
    <t>Budowa chodnika w drodze powiatowej Nr 2729W - ul. Częstochowskiej w Karczewie</t>
  </si>
  <si>
    <t>B. 50 000</t>
  </si>
  <si>
    <t>26.</t>
  </si>
  <si>
    <t>Projekt i budowa sygnalizacji świetlnej w skrzyżowaniu dróg powiatowych Nr 2775W - ul. Stare Miasto i Nr 2724W - ul. Żaboklickiego z drogą gminną ul. Bielińskiego w Karczewie</t>
  </si>
  <si>
    <t>27.</t>
  </si>
  <si>
    <t>Doświetlenie przejść dla pieszych w ul. Świderskiej, na łuku ul. Piłsudskiego-Mickiewicza, ul. Żaboklickiego w Karczewie</t>
  </si>
  <si>
    <t>28.</t>
  </si>
  <si>
    <t>Modernizacja dróg powiatowych w miejscowościach Glinki oraz Sobiekursk</t>
  </si>
  <si>
    <t>B.0</t>
  </si>
  <si>
    <t>29.</t>
  </si>
  <si>
    <t>Wykonanie nakładki asfaltobetonowej na drodze powiatowej Nr 2726W przez Sobiekursk</t>
  </si>
  <si>
    <t>B. 40 000</t>
  </si>
  <si>
    <t>30.</t>
  </si>
  <si>
    <t>Modernizacja drogi powiatowej Nr 2729W Kępa Gliniecka - Otwock Wielki - Otwock Mały - Karczew od drogi krajowej Nr 50 w kierunku wsi Glinki</t>
  </si>
  <si>
    <t>31.</t>
  </si>
  <si>
    <t>Budowa chodnika w ul. Świderskiej w Karczewie od ul. Ordona</t>
  </si>
  <si>
    <t>32.</t>
  </si>
  <si>
    <t>Rozbudowa na rondo skrzyżowania dróg powiatowych Nr 2775W ul. Stare Miasto  i  Nr 2724W ul. Żaboklickiego  z drogą gminną ul. Bielińskiego w Karczewie</t>
  </si>
  <si>
    <t>A. 949. 000</t>
  </si>
  <si>
    <t>Gmina Kołbiel</t>
  </si>
  <si>
    <t>33.</t>
  </si>
  <si>
    <t>Modernizacja drogi powiatowej Nr 2737W Anielinek-Sępochów-Rudno</t>
  </si>
  <si>
    <t>34.</t>
  </si>
  <si>
    <t>Przebudowa drogi powiatowej Nr 2245W w m. Dobrzyniec, gmina Kołbiel</t>
  </si>
  <si>
    <t>35.</t>
  </si>
  <si>
    <t>Modernizacja drogi powiatowej Nr 2736W w miejsc. Teresin</t>
  </si>
  <si>
    <t>36.</t>
  </si>
  <si>
    <t>Wykonanie nakładki asfaltobetonowej na drodze powiatowej Nr 2741W Kołbiel - Wola Sufczyńska</t>
  </si>
  <si>
    <t>37.</t>
  </si>
  <si>
    <t>Odwodnienie drogi powiatowej Nr 2741W - plac na ul. Rynek w Kołbieli</t>
  </si>
  <si>
    <t>38.</t>
  </si>
  <si>
    <t>Wykonanie nakładki asfaltobetonowej na drodze powiatowej Nr 2739W w Gadce na odcinku od drogi krajowej  Nr 17 do miejscowości Gadka</t>
  </si>
  <si>
    <t>Gmina Osieck</t>
  </si>
  <si>
    <t>39.</t>
  </si>
  <si>
    <t xml:space="preserve">Modernizacja drogi powiatowej Nr 1315W w miejsc. Augustówka
</t>
  </si>
  <si>
    <t>40.</t>
  </si>
  <si>
    <t xml:space="preserve">Budowa drogi powiatowej Nr 1311W w Natolinie </t>
  </si>
  <si>
    <t>41.</t>
  </si>
  <si>
    <t>Modernizacja drogi powiatowej Nr 2746W Grabianka - Górki -Osieck</t>
  </si>
  <si>
    <t>Gmina Sobienie Jeziory</t>
  </si>
  <si>
    <t>42.</t>
  </si>
  <si>
    <t>Modernizacja drogi powiatowej Nr 2751W Sobienie Kiełczewskie-Zuzanów-Czarnowiec</t>
  </si>
  <si>
    <t>B. 200 000</t>
  </si>
  <si>
    <t>43.</t>
  </si>
  <si>
    <t>Modernizacja drogi powiatowej Nr 2752W Władysławów-Zambrzyków Stary-Sobienie Kiełczewskie</t>
  </si>
  <si>
    <t>44.</t>
  </si>
  <si>
    <t>Modernizacja  mostu w ciągu drogi powiatowej Nr 2735W Warszówka-Warszawice w Warszawicach</t>
  </si>
  <si>
    <t>Gmina Wiązowna</t>
  </si>
  <si>
    <t>45.</t>
  </si>
  <si>
    <t>Modernizacja drogi powiatowej Nr 2708W Dziechciniec-Pęclin-Kąck</t>
  </si>
  <si>
    <t>46.</t>
  </si>
  <si>
    <t>Przebudowa przepustu w ciągu drogi powiatowej Nr 2709W w Bolesławowie</t>
  </si>
  <si>
    <t>47.</t>
  </si>
  <si>
    <t>Modernizacja drogi powiatowej Nr 2712W w miejsc. Wola Karczewska</t>
  </si>
  <si>
    <t>48.</t>
  </si>
  <si>
    <t>Modernizacja drogi powiatowej nr 2712W w miejscowości Kruszówiec</t>
  </si>
  <si>
    <t>49.</t>
  </si>
  <si>
    <t xml:space="preserve">Modernizacja drogi powiatowej Nr 2701 W Majdan, Izabela, Michałówek, Duchnów </t>
  </si>
  <si>
    <t>50.</t>
  </si>
  <si>
    <t>Wykonanie ZRIDu ciągu pieszo-rowerowego między Izabelą a Zakrętem w ramach poprawy bezpieczeństwa na drodze powiatowej nr 2702W</t>
  </si>
  <si>
    <t>B.20 000</t>
  </si>
  <si>
    <t>51.</t>
  </si>
  <si>
    <t>Budowa chodnika na drodze powiatowej Nr 2703W w miejscowości Boryszew i Góraszka</t>
  </si>
  <si>
    <t>52.</t>
  </si>
  <si>
    <t>Przebudowa drogi powiatowej Nr 2705W - ul.  Kąckiej w Wiązownie</t>
  </si>
  <si>
    <t>Zarząd Dróg Powiatowych</t>
  </si>
  <si>
    <t>53.</t>
  </si>
  <si>
    <t>Budowa parkingu na pojazdy usunięte z dróg zgodnie z art. 130a ust. 1, 2 i 5c ustawy Prawo o ruchu drogowym</t>
  </si>
  <si>
    <t>54.</t>
  </si>
  <si>
    <t>Zakupy inwestycyjne w Zarządzie Dróg Powiatowych</t>
  </si>
  <si>
    <t>Razem Rozdział 60014</t>
  </si>
  <si>
    <t>Wymiana okien w budynku mieszkalnym stanowiącym własność Powiatu Otwockiego w Otwocku przy ul. Komunardów 10</t>
  </si>
  <si>
    <t>55.</t>
  </si>
  <si>
    <t>Przebudowa podjazdu do Interwencyjnego Ośrodka Preadopcyjnego i uszczelnienie tarasu IOP (nad apteką szpitalną) w budynku PCZ Sp. z o.o.</t>
  </si>
  <si>
    <t>C. 60 000</t>
  </si>
  <si>
    <t>Razem rozdział 70005</t>
  </si>
  <si>
    <t>56.</t>
  </si>
  <si>
    <t>Regionalne partnerstwo samorządów Mazowsza dla aktywizacji społeczeństwa informacyjnego w zakresie e-administracji i geoinformacji</t>
  </si>
  <si>
    <t>Razem Rozdział 71095</t>
  </si>
  <si>
    <t>57.</t>
  </si>
  <si>
    <t>Sprzęt nagłaśniający do obsługi Sesji Rady Powiatu</t>
  </si>
  <si>
    <t>Razem Rozdział 75019</t>
  </si>
  <si>
    <t>58.</t>
  </si>
  <si>
    <t>Przebudowa i rozbudowa budynku w Otwocku przy ul. Komunardów wraz z towarzyszącą infrastrukturą na potrzeby siedziby Starostwa i jednostek organizacyjnych powiatu</t>
  </si>
  <si>
    <t>59.</t>
  </si>
  <si>
    <t>Serwer główny dla Starostwa, serwer plików</t>
  </si>
  <si>
    <t xml:space="preserve">  Razem Rozdział 75020</t>
  </si>
  <si>
    <t>60.</t>
  </si>
  <si>
    <t>Zakupy inwestycyjne sprzętu informatyki i łaczności w Komendzie Powiatowej Państwowej Straży Pożarnej</t>
  </si>
  <si>
    <t>A. 17 685</t>
  </si>
  <si>
    <t xml:space="preserve">  Razem Rozdział 75295</t>
  </si>
  <si>
    <t>61.</t>
  </si>
  <si>
    <t>Dotacja  na dofinansowanie zakupu furgonu patrolowego w wersji oznakowanej dla Komendy Powiatowej Policji w Otwocku</t>
  </si>
  <si>
    <t>62.</t>
  </si>
  <si>
    <t>Dotacja na zakupu specjalistycznych urządzeń (narkotesty) do poprawy bezpieczeństawa na drogach powiatu otwockiego na potrzeby  Komendy Powiatowej Policji w Otwocku</t>
  </si>
  <si>
    <t>Razem Rozdział 75404</t>
  </si>
  <si>
    <t>63.</t>
  </si>
  <si>
    <t>Dotacja na zakup samochodu ratowniczo-gaśniczego z wyposażeniem na  potrzeby  Komendy Powiatowej Państwowej Straży Pożarnej w Otwocku</t>
  </si>
  <si>
    <t>Razem Rozdział 75410</t>
  </si>
  <si>
    <t>64.</t>
  </si>
  <si>
    <t>Rezerwa inwestycyjna</t>
  </si>
  <si>
    <t>Razem rozdział 75818</t>
  </si>
  <si>
    <t>65.</t>
  </si>
  <si>
    <t>Budowa hali sportowej przy Zespole Szkół Nr 2 im. Marii Skłodowskiej-Curie w Otwocku</t>
  </si>
  <si>
    <t>Razem Rozdział 80115</t>
  </si>
  <si>
    <t>66.</t>
  </si>
  <si>
    <t xml:space="preserve">Rozbudowa szatni w Zespole Szkół Nr 1 w Otwocku wraz z przebudową części istniejącej </t>
  </si>
  <si>
    <t>Razem Rozdział 80120</t>
  </si>
  <si>
    <t>67.</t>
  </si>
  <si>
    <t>Wniesienie wkładu pieniężnego - zwiększenie udziału w Powiatowym Centrum Zdrowia Sp. z o.o.</t>
  </si>
  <si>
    <t>68.</t>
  </si>
  <si>
    <t>Dotacja dla  Powiatowego Centrum Zdrowia Sp. z o.o. na modernizację kuchni i przyziemia w budynku  szpitala</t>
  </si>
  <si>
    <t>Razem Rozdział 85111</t>
  </si>
  <si>
    <t>69.</t>
  </si>
  <si>
    <t>Modernizacja  centralnego ogrzewania w budynku Domu Pomocy Społecznej w Otwocku</t>
  </si>
  <si>
    <t>70.</t>
  </si>
  <si>
    <t>Modernizacja Domu Pomocy Społecznej "Wrzos"</t>
  </si>
  <si>
    <t>budowa przyłącza wodno-kanalizacyjnego w DPS "Wrzos"</t>
  </si>
  <si>
    <t>Razem Rozdział 85202</t>
  </si>
  <si>
    <t>71.</t>
  </si>
  <si>
    <t xml:space="preserve">Dotacja na dofinansowanie zakupu mikrobusów dla placówek prowadzących Warsztaty Terapii Zajęciowej, w tym:                                                                                               - Polskie Stowarzyszenie na Rzecz Osób z Niepełnosprawnością Intelektualną, Otwock ul. Moniuszki 41 - 32 000 zł;                                                                                   - Stowarzyszenie na Rzecz Osób Niepełnosprawnych"PO-GODNE ŻYCIE" -                        38 000 zł </t>
  </si>
  <si>
    <t>Razem Rozdział 85311</t>
  </si>
  <si>
    <t>72.</t>
  </si>
  <si>
    <t>Zakup kotła CO - Specjalny Osrodek Szkolno Wychowawczy Nr 1 im. Marii Konopnickiej</t>
  </si>
  <si>
    <t>Razem rozdział 85403</t>
  </si>
  <si>
    <t>73.</t>
  </si>
  <si>
    <t>Zakup samochodu na potrzeby Młodzieżowego Ośrodka Socjoterapii "Jędruś" w Józefowie</t>
  </si>
  <si>
    <t>Razem rozdział 85421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</si>
  <si>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</si>
  <si>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</si>
  <si>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</si>
  <si>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</si>
  <si>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Dochody i wydatki związane z realizacją zadań realizowanych w drodze umów lub porozumień między                                              jednostkami samorządu terytorialnego na 2019 rok - po zmianach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</si>
  <si>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</si>
  <si>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</si>
  <si>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</si>
  <si>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Drogi publiczne powiatowe</t>
  </si>
  <si>
    <t>Dotacja celowa otrzymana z tytułu pomocy finansowej udzielanej między jednostkami samorządu terytorialnego na dofinansowanie własnych zadań bieżących</t>
  </si>
  <si>
    <t xml:space="preserve">Dotacja celowa otrzymana z tytułu pomocy finansowej udzielanej między jednostkami samorządu terytorialnego na dofinansowanie własnych zadań inwestycyjnych i zakupów inwestycyjnych </t>
  </si>
  <si>
    <t>Dotacje celowe otrzymane z samorządu województwa na inwestycje i zakupy inwestycyjne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</si>
  <si>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</si>
  <si>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Starostwa powiatowe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</si>
  <si>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</si>
  <si>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</si>
  <si>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</si>
  <si>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Działalność ośrodków adopcyjnych</t>
  </si>
  <si>
    <t>Dotacje celowe przekazane do samorządu województwa na zadania bieżące realizowane na podstawie porozumień (umów) między jednostkami samorządu terytorialnego</t>
  </si>
  <si>
    <t>Gospodarka komunalna i ochrona środowiska</t>
  </si>
  <si>
    <t>Dotacja celowa na pomoc finansową udzielaną między jednostkami samorządu terytorialnego na dofinansowanie własnych zadań bieżących</t>
  </si>
  <si>
    <t>Kultura i ochrona dziedzictwa narodowego</t>
  </si>
  <si>
    <t>Pozostałe zadania w zakresie kultury</t>
  </si>
  <si>
    <t>Zadania w zakresie kultury fizycznej</t>
  </si>
  <si>
    <t>Biblioteki</t>
  </si>
  <si>
    <t>Dotacje celowe otrzymane z budżetu państwa na zadania bieżące realizowane przez powiat na podstawie porozumień z organami administracji rządowej</t>
  </si>
  <si>
    <t>Składki na Fundusz Pracy</t>
  </si>
  <si>
    <t>Składki na Fundusz Emerytur Pomostowych</t>
  </si>
  <si>
    <t>Dochody i wydatki związane z realizacją zadań wykonywanych na mocy porozumień                                   z organami administracji rządowej na 2019 rok - po zmianach</t>
  </si>
  <si>
    <t>Dotacje udzielone w 2019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</si>
  <si>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</si>
  <si>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</si>
  <si>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</si>
  <si>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</si>
  <si>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</si>
  <si>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</si>
  <si>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</si>
  <si>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</si>
  <si>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</si>
  <si>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</si>
  <si>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</si>
  <si>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</si>
  <si>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</si>
  <si>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</si>
  <si>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</si>
  <si>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Dotacje celowe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</si>
  <si>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</si>
  <si>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</si>
  <si>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Dotacje celowe z budżetu na finansowanie lub dofinansowanie kosztów realizacji inwestycji i zakupów inwestycyjnych jednostek nie zaliczanych do sektora finansów publicznych</t>
  </si>
  <si>
    <t>Razem jednostki nienależące do sektora finansów publicznych</t>
  </si>
  <si>
    <t>Ogółem plan dotacji na 2019 rok</t>
  </si>
  <si>
    <t>74.</t>
  </si>
  <si>
    <t>75.</t>
  </si>
  <si>
    <t>Poprawa bezpieczeństwa na drodze powiatowej Nr 2759W - ul. Poniatowskiego                   w Otwocku – znak aktywny D-6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</si>
</sst>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0\ _z_ł_-;\-* #,##0.000\ _z_ł_-;_-* &quot;-&quot;??\ _z_ł_-;_-@_-"/>
    <numFmt numFmtId="166" formatCode="\ #,##0.00&quot; zł &quot;;\-#,##0.00&quot; zł &quot;;&quot; -&quot;#&quot; zł &quot;;@\ "/>
  </numFmts>
  <fonts count="46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rgb="FFFF0000"/>
      <name val="Arial"/>
      <family val="2"/>
      <charset val="238"/>
    </font>
    <font>
      <sz val="7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indexed="8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/>
    <xf numFmtId="164" fontId="14" fillId="0" borderId="0"/>
    <xf numFmtId="0" fontId="5" fillId="0" borderId="0"/>
    <xf numFmtId="0" fontId="8" fillId="0" borderId="0"/>
    <xf numFmtId="0" fontId="8" fillId="0" borderId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21" fillId="0" borderId="0"/>
    <xf numFmtId="0" fontId="1" fillId="0" borderId="0"/>
    <xf numFmtId="43" fontId="4" fillId="0" borderId="0" applyFont="0" applyFill="0" applyBorder="0" applyAlignment="0" applyProtection="0"/>
  </cellStyleXfs>
  <cellXfs count="432">
    <xf numFmtId="0" fontId="0" fillId="0" borderId="0" xfId="0" applyAlignment="1"/>
    <xf numFmtId="0" fontId="7" fillId="2" borderId="5" xfId="1" applyFont="1" applyFill="1" applyBorder="1" applyAlignment="1">
      <alignment vertical="center" wrapText="1"/>
    </xf>
    <xf numFmtId="0" fontId="15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0" fontId="11" fillId="0" borderId="0" xfId="9" applyFont="1" applyAlignment="1">
      <alignment horizontal="right" vertical="top"/>
    </xf>
    <xf numFmtId="0" fontId="13" fillId="3" borderId="5" xfId="9" applyFont="1" applyFill="1" applyBorder="1" applyAlignment="1">
      <alignment horizontal="center" vertical="center"/>
    </xf>
    <xf numFmtId="0" fontId="13" fillId="3" borderId="1" xfId="9" applyFont="1" applyFill="1" applyBorder="1" applyAlignment="1">
      <alignment horizontal="center" vertical="center" wrapText="1"/>
    </xf>
    <xf numFmtId="0" fontId="13" fillId="0" borderId="5" xfId="9" applyFont="1" applyBorder="1" applyAlignment="1">
      <alignment horizontal="center" vertical="center"/>
    </xf>
    <xf numFmtId="0" fontId="13" fillId="0" borderId="5" xfId="9" applyFont="1" applyBorder="1" applyAlignment="1">
      <alignment horizontal="left" vertical="center"/>
    </xf>
    <xf numFmtId="0" fontId="13" fillId="0" borderId="0" xfId="9" applyFont="1" applyAlignment="1">
      <alignment vertical="center"/>
    </xf>
    <xf numFmtId="0" fontId="16" fillId="0" borderId="5" xfId="9" applyFont="1" applyBorder="1" applyAlignment="1">
      <alignment horizontal="center" vertical="center"/>
    </xf>
    <xf numFmtId="0" fontId="16" fillId="0" borderId="5" xfId="9" applyFont="1" applyBorder="1" applyAlignment="1">
      <alignment horizontal="left" vertical="center"/>
    </xf>
    <xf numFmtId="0" fontId="16" fillId="0" borderId="0" xfId="9" applyFont="1" applyAlignment="1">
      <alignment vertical="center"/>
    </xf>
    <xf numFmtId="0" fontId="13" fillId="0" borderId="5" xfId="9" applyFont="1" applyBorder="1" applyAlignment="1">
      <alignment vertical="center"/>
    </xf>
    <xf numFmtId="0" fontId="11" fillId="3" borderId="5" xfId="9" applyFont="1" applyFill="1" applyBorder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11" fillId="0" borderId="1" xfId="9" applyFont="1" applyBorder="1" applyAlignment="1">
      <alignment vertical="center"/>
    </xf>
    <xf numFmtId="3" fontId="11" fillId="0" borderId="5" xfId="9" applyNumberFormat="1" applyFont="1" applyBorder="1" applyAlignment="1"/>
    <xf numFmtId="0" fontId="11" fillId="0" borderId="5" xfId="9" applyFont="1" applyBorder="1" applyAlignment="1">
      <alignment vertical="center"/>
    </xf>
    <xf numFmtId="3" fontId="11" fillId="0" borderId="3" xfId="9" applyNumberFormat="1" applyFont="1" applyBorder="1" applyAlignment="1"/>
    <xf numFmtId="0" fontId="11" fillId="0" borderId="4" xfId="9" applyFont="1" applyBorder="1" applyAlignment="1">
      <alignment vertical="center"/>
    </xf>
    <xf numFmtId="0" fontId="11" fillId="3" borderId="5" xfId="9" applyFont="1" applyFill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0" fontId="11" fillId="0" borderId="0" xfId="9" applyFont="1" applyBorder="1" applyAlignment="1">
      <alignment vertical="center"/>
    </xf>
    <xf numFmtId="3" fontId="11" fillId="0" borderId="0" xfId="9" applyNumberFormat="1" applyFont="1" applyBorder="1" applyAlignment="1"/>
    <xf numFmtId="0" fontId="17" fillId="0" borderId="0" xfId="9" applyFont="1" applyAlignment="1">
      <alignment vertical="center"/>
    </xf>
    <xf numFmtId="49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 wrapText="1"/>
    </xf>
    <xf numFmtId="3" fontId="9" fillId="0" borderId="0" xfId="10" applyNumberFormat="1" applyFont="1" applyAlignment="1">
      <alignment vertical="center"/>
    </xf>
    <xf numFmtId="0" fontId="9" fillId="0" borderId="0" xfId="10" applyFont="1"/>
    <xf numFmtId="0" fontId="9" fillId="0" borderId="0" xfId="10" applyFont="1" applyAlignment="1">
      <alignment vertical="center"/>
    </xf>
    <xf numFmtId="49" fontId="9" fillId="0" borderId="5" xfId="10" applyNumberFormat="1" applyFont="1" applyBorder="1" applyAlignment="1">
      <alignment horizontal="center" vertical="center"/>
    </xf>
    <xf numFmtId="0" fontId="9" fillId="0" borderId="5" xfId="10" applyFont="1" applyBorder="1" applyAlignment="1">
      <alignment horizontal="center" vertical="center"/>
    </xf>
    <xf numFmtId="0" fontId="9" fillId="0" borderId="5" xfId="10" applyFont="1" applyBorder="1" applyAlignment="1">
      <alignment vertical="center" wrapText="1"/>
    </xf>
    <xf numFmtId="3" fontId="9" fillId="0" borderId="5" xfId="10" applyNumberFormat="1" applyFont="1" applyBorder="1" applyAlignment="1">
      <alignment vertical="center"/>
    </xf>
    <xf numFmtId="0" fontId="6" fillId="0" borderId="0" xfId="7" applyFont="1"/>
    <xf numFmtId="49" fontId="9" fillId="2" borderId="5" xfId="10" applyNumberFormat="1" applyFont="1" applyFill="1" applyBorder="1" applyAlignment="1">
      <alignment horizontal="center" vertical="center"/>
    </xf>
    <xf numFmtId="0" fontId="9" fillId="2" borderId="5" xfId="10" applyFont="1" applyFill="1" applyBorder="1" applyAlignment="1">
      <alignment horizontal="center" vertical="center"/>
    </xf>
    <xf numFmtId="0" fontId="9" fillId="2" borderId="5" xfId="10" applyFont="1" applyFill="1" applyBorder="1" applyAlignment="1">
      <alignment vertical="center" wrapText="1"/>
    </xf>
    <xf numFmtId="3" fontId="9" fillId="2" borderId="5" xfId="10" applyNumberFormat="1" applyFont="1" applyFill="1" applyBorder="1" applyAlignment="1">
      <alignment vertical="center"/>
    </xf>
    <xf numFmtId="0" fontId="17" fillId="0" borderId="5" xfId="9" applyFont="1" applyFill="1" applyBorder="1" applyAlignment="1">
      <alignment horizontal="center" vertical="center"/>
    </xf>
    <xf numFmtId="0" fontId="17" fillId="0" borderId="5" xfId="9" applyFont="1" applyFill="1" applyBorder="1" applyAlignment="1">
      <alignment horizontal="center" vertical="center" wrapText="1"/>
    </xf>
    <xf numFmtId="0" fontId="9" fillId="0" borderId="1" xfId="10" applyFont="1" applyBorder="1" applyAlignment="1">
      <alignment vertical="center" wrapText="1"/>
    </xf>
    <xf numFmtId="0" fontId="6" fillId="0" borderId="5" xfId="7" applyFont="1" applyBorder="1" applyAlignment="1">
      <alignment vertical="center" wrapText="1"/>
    </xf>
    <xf numFmtId="49" fontId="10" fillId="4" borderId="5" xfId="10" applyNumberFormat="1" applyFont="1" applyFill="1" applyBorder="1" applyAlignment="1">
      <alignment horizontal="center" vertical="center"/>
    </xf>
    <xf numFmtId="0" fontId="10" fillId="4" borderId="5" xfId="10" applyFont="1" applyFill="1" applyBorder="1" applyAlignment="1">
      <alignment horizontal="center" vertical="center"/>
    </xf>
    <xf numFmtId="0" fontId="10" fillId="4" borderId="5" xfId="10" applyFont="1" applyFill="1" applyBorder="1" applyAlignment="1">
      <alignment horizontal="center" vertical="center" wrapText="1"/>
    </xf>
    <xf numFmtId="3" fontId="10" fillId="4" borderId="5" xfId="10" applyNumberFormat="1" applyFont="1" applyFill="1" applyBorder="1" applyAlignment="1">
      <alignment horizontal="center" vertical="center"/>
    </xf>
    <xf numFmtId="49" fontId="10" fillId="5" borderId="5" xfId="10" applyNumberFormat="1" applyFont="1" applyFill="1" applyBorder="1" applyAlignment="1">
      <alignment horizontal="center" vertical="center"/>
    </xf>
    <xf numFmtId="0" fontId="10" fillId="5" borderId="5" xfId="10" applyFont="1" applyFill="1" applyBorder="1" applyAlignment="1">
      <alignment horizontal="center" vertical="center"/>
    </xf>
    <xf numFmtId="0" fontId="10" fillId="5" borderId="5" xfId="10" applyFont="1" applyFill="1" applyBorder="1" applyAlignment="1">
      <alignment vertical="center" wrapText="1"/>
    </xf>
    <xf numFmtId="3" fontId="10" fillId="5" borderId="5" xfId="10" applyNumberFormat="1" applyFont="1" applyFill="1" applyBorder="1" applyAlignment="1">
      <alignment vertical="center"/>
    </xf>
    <xf numFmtId="0" fontId="6" fillId="0" borderId="5" xfId="2" applyFont="1" applyBorder="1" applyAlignment="1">
      <alignment vertical="center" wrapText="1"/>
    </xf>
    <xf numFmtId="49" fontId="6" fillId="0" borderId="5" xfId="10" applyNumberFormat="1" applyFont="1" applyBorder="1" applyAlignment="1">
      <alignment horizontal="center" vertical="center"/>
    </xf>
    <xf numFmtId="0" fontId="6" fillId="0" borderId="5" xfId="10" applyFont="1" applyBorder="1" applyAlignment="1">
      <alignment horizontal="center" vertical="center"/>
    </xf>
    <xf numFmtId="3" fontId="6" fillId="0" borderId="5" xfId="10" applyNumberFormat="1" applyFont="1" applyBorder="1" applyAlignment="1">
      <alignment vertical="center"/>
    </xf>
    <xf numFmtId="0" fontId="6" fillId="0" borderId="0" xfId="10" applyFont="1" applyAlignment="1">
      <alignment vertical="center"/>
    </xf>
    <xf numFmtId="0" fontId="11" fillId="0" borderId="7" xfId="9" applyFont="1" applyBorder="1" applyAlignment="1">
      <alignment vertical="center" wrapText="1"/>
    </xf>
    <xf numFmtId="0" fontId="11" fillId="0" borderId="0" xfId="9" applyFont="1" applyFill="1" applyAlignment="1">
      <alignment vertical="center"/>
    </xf>
    <xf numFmtId="0" fontId="6" fillId="0" borderId="5" xfId="10" applyFont="1" applyBorder="1" applyAlignment="1">
      <alignment vertical="center" wrapText="1"/>
    </xf>
    <xf numFmtId="0" fontId="6" fillId="0" borderId="6" xfId="10" applyFont="1" applyBorder="1" applyAlignment="1">
      <alignment horizontal="center" vertical="center"/>
    </xf>
    <xf numFmtId="3" fontId="6" fillId="0" borderId="2" xfId="10" applyNumberFormat="1" applyFont="1" applyBorder="1" applyAlignment="1">
      <alignment vertical="center"/>
    </xf>
    <xf numFmtId="0" fontId="6" fillId="0" borderId="4" xfId="10" applyFont="1" applyBorder="1" applyAlignment="1">
      <alignment vertical="center" wrapText="1"/>
    </xf>
    <xf numFmtId="49" fontId="9" fillId="0" borderId="5" xfId="10" applyNumberFormat="1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horizontal="center" vertical="center"/>
    </xf>
    <xf numFmtId="0" fontId="9" fillId="0" borderId="5" xfId="10" applyFont="1" applyFill="1" applyBorder="1" applyAlignment="1">
      <alignment vertical="center" wrapText="1"/>
    </xf>
    <xf numFmtId="3" fontId="9" fillId="0" borderId="5" xfId="10" applyNumberFormat="1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49" fontId="6" fillId="2" borderId="5" xfId="10" applyNumberFormat="1" applyFont="1" applyFill="1" applyBorder="1" applyAlignment="1">
      <alignment horizontal="center" vertical="center"/>
    </xf>
    <xf numFmtId="0" fontId="6" fillId="2" borderId="5" xfId="10" applyFont="1" applyFill="1" applyBorder="1" applyAlignment="1">
      <alignment horizontal="center" vertical="center"/>
    </xf>
    <xf numFmtId="0" fontId="6" fillId="2" borderId="5" xfId="10" applyFont="1" applyFill="1" applyBorder="1" applyAlignment="1">
      <alignment vertical="center" wrapText="1"/>
    </xf>
    <xf numFmtId="3" fontId="6" fillId="2" borderId="5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3" fontId="7" fillId="0" borderId="0" xfId="7" applyNumberFormat="1" applyFont="1" applyFill="1"/>
    <xf numFmtId="0" fontId="7" fillId="0" borderId="0" xfId="7" applyFont="1" applyFill="1"/>
    <xf numFmtId="0" fontId="6" fillId="0" borderId="0" xfId="7" applyFont="1" applyFill="1"/>
    <xf numFmtId="3" fontId="6" fillId="0" borderId="5" xfId="10" applyNumberFormat="1" applyFont="1" applyFill="1" applyBorder="1" applyAlignment="1">
      <alignment vertical="center"/>
    </xf>
    <xf numFmtId="49" fontId="6" fillId="0" borderId="5" xfId="10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49" fontId="7" fillId="5" borderId="5" xfId="10" applyNumberFormat="1" applyFont="1" applyFill="1" applyBorder="1" applyAlignment="1">
      <alignment horizontal="center" vertical="center"/>
    </xf>
    <xf numFmtId="0" fontId="7" fillId="5" borderId="5" xfId="10" applyFont="1" applyFill="1" applyBorder="1" applyAlignment="1">
      <alignment horizontal="center" vertical="center"/>
    </xf>
    <xf numFmtId="0" fontId="7" fillId="5" borderId="5" xfId="10" applyFont="1" applyFill="1" applyBorder="1" applyAlignment="1">
      <alignment vertical="center" wrapText="1"/>
    </xf>
    <xf numFmtId="3" fontId="7" fillId="5" borderId="5" xfId="10" applyNumberFormat="1" applyFont="1" applyFill="1" applyBorder="1" applyAlignment="1">
      <alignment vertical="center"/>
    </xf>
    <xf numFmtId="0" fontId="6" fillId="0" borderId="5" xfId="10" applyFont="1" applyFill="1" applyBorder="1" applyAlignment="1">
      <alignment vertical="center" wrapText="1"/>
    </xf>
    <xf numFmtId="0" fontId="23" fillId="0" borderId="0" xfId="0" applyFont="1" applyAlignment="1"/>
    <xf numFmtId="3" fontId="6" fillId="2" borderId="5" xfId="10" applyNumberFormat="1" applyFont="1" applyFill="1" applyBorder="1" applyAlignment="1">
      <alignment vertical="center" wrapText="1"/>
    </xf>
    <xf numFmtId="3" fontId="7" fillId="5" borderId="5" xfId="10" applyNumberFormat="1" applyFont="1" applyFill="1" applyBorder="1" applyAlignment="1">
      <alignment vertical="center" wrapText="1"/>
    </xf>
    <xf numFmtId="4" fontId="13" fillId="0" borderId="5" xfId="9" applyNumberFormat="1" applyFont="1" applyBorder="1" applyAlignment="1">
      <alignment horizontal="right"/>
    </xf>
    <xf numFmtId="4" fontId="16" fillId="0" borderId="5" xfId="9" applyNumberFormat="1" applyFont="1" applyFill="1" applyBorder="1" applyAlignment="1">
      <alignment horizontal="right"/>
    </xf>
    <xf numFmtId="4" fontId="16" fillId="0" borderId="5" xfId="9" applyNumberFormat="1" applyFont="1" applyBorder="1" applyAlignment="1">
      <alignment horizontal="right"/>
    </xf>
    <xf numFmtId="4" fontId="13" fillId="0" borderId="5" xfId="9" applyNumberFormat="1" applyFont="1" applyBorder="1" applyAlignment="1"/>
    <xf numFmtId="4" fontId="16" fillId="0" borderId="5" xfId="9" applyNumberFormat="1" applyFont="1" applyFill="1" applyBorder="1" applyAlignment="1"/>
    <xf numFmtId="4" fontId="16" fillId="0" borderId="5" xfId="9" applyNumberFormat="1" applyFont="1" applyBorder="1" applyAlignment="1"/>
    <xf numFmtId="4" fontId="11" fillId="0" borderId="5" xfId="9" applyNumberFormat="1" applyFont="1" applyBorder="1" applyAlignment="1"/>
    <xf numFmtId="4" fontId="13" fillId="3" borderId="5" xfId="9" applyNumberFormat="1" applyFont="1" applyFill="1" applyBorder="1" applyAlignment="1"/>
    <xf numFmtId="4" fontId="9" fillId="0" borderId="5" xfId="10" applyNumberFormat="1" applyFont="1" applyBorder="1" applyAlignment="1">
      <alignment vertical="center"/>
    </xf>
    <xf numFmtId="4" fontId="9" fillId="2" borderId="5" xfId="10" applyNumberFormat="1" applyFont="1" applyFill="1" applyBorder="1" applyAlignment="1">
      <alignment vertical="center"/>
    </xf>
    <xf numFmtId="4" fontId="10" fillId="5" borderId="5" xfId="10" applyNumberFormat="1" applyFont="1" applyFill="1" applyBorder="1" applyAlignment="1">
      <alignment vertical="center"/>
    </xf>
    <xf numFmtId="4" fontId="10" fillId="4" borderId="5" xfId="10" applyNumberFormat="1" applyFont="1" applyFill="1" applyBorder="1" applyAlignment="1">
      <alignment vertical="center"/>
    </xf>
    <xf numFmtId="4" fontId="6" fillId="0" borderId="5" xfId="10" applyNumberFormat="1" applyFont="1" applyFill="1" applyBorder="1" applyAlignment="1">
      <alignment vertical="center"/>
    </xf>
    <xf numFmtId="0" fontId="6" fillId="0" borderId="5" xfId="2" applyFont="1" applyFill="1" applyBorder="1" applyAlignment="1">
      <alignment vertical="center" wrapText="1"/>
    </xf>
    <xf numFmtId="0" fontId="11" fillId="0" borderId="0" xfId="7"/>
    <xf numFmtId="0" fontId="11" fillId="0" borderId="0" xfId="7" applyAlignment="1"/>
    <xf numFmtId="0" fontId="7" fillId="7" borderId="14" xfId="7" applyFont="1" applyFill="1" applyBorder="1" applyAlignment="1">
      <alignment horizontal="center" vertical="center" wrapText="1"/>
    </xf>
    <xf numFmtId="0" fontId="7" fillId="7" borderId="15" xfId="7" applyFont="1" applyFill="1" applyBorder="1" applyAlignment="1">
      <alignment horizontal="center" vertical="center" wrapText="1"/>
    </xf>
    <xf numFmtId="0" fontId="7" fillId="7" borderId="16" xfId="7" applyFont="1" applyFill="1" applyBorder="1" applyAlignment="1">
      <alignment horizontal="center" vertical="center" wrapText="1"/>
    </xf>
    <xf numFmtId="0" fontId="6" fillId="6" borderId="17" xfId="7" applyFont="1" applyFill="1" applyBorder="1" applyAlignment="1">
      <alignment horizontal="center" vertical="center" wrapText="1"/>
    </xf>
    <xf numFmtId="3" fontId="6" fillId="6" borderId="17" xfId="7" applyNumberFormat="1" applyFont="1" applyFill="1" applyBorder="1" applyAlignment="1">
      <alignment horizontal="right" vertical="center" wrapText="1"/>
    </xf>
    <xf numFmtId="0" fontId="11" fillId="0" borderId="0" xfId="7" applyFont="1"/>
    <xf numFmtId="0" fontId="22" fillId="6" borderId="17" xfId="7" applyFont="1" applyFill="1" applyBorder="1" applyAlignment="1">
      <alignment horizontal="center" vertical="center" wrapText="1"/>
    </xf>
    <xf numFmtId="3" fontId="22" fillId="6" borderId="17" xfId="7" applyNumberFormat="1" applyFont="1" applyFill="1" applyBorder="1" applyAlignment="1">
      <alignment horizontal="right" vertical="center" wrapText="1"/>
    </xf>
    <xf numFmtId="0" fontId="24" fillId="0" borderId="0" xfId="7" applyFont="1"/>
    <xf numFmtId="3" fontId="7" fillId="7" borderId="17" xfId="7" applyNumberFormat="1" applyFont="1" applyFill="1" applyBorder="1" applyAlignment="1">
      <alignment horizontal="right" vertical="center" wrapText="1"/>
    </xf>
    <xf numFmtId="0" fontId="13" fillId="0" borderId="0" xfId="7" applyFont="1"/>
    <xf numFmtId="0" fontId="11" fillId="0" borderId="0" xfId="7" applyFont="1" applyProtection="1">
      <protection locked="0"/>
    </xf>
    <xf numFmtId="0" fontId="11" fillId="0" borderId="0" xfId="7" applyFont="1" applyAlignment="1" applyProtection="1">
      <alignment horizontal="center" vertical="center"/>
      <protection locked="0"/>
    </xf>
    <xf numFmtId="0" fontId="11" fillId="0" borderId="0" xfId="7" applyFont="1" applyFill="1" applyAlignment="1" applyProtection="1">
      <alignment horizontal="center"/>
      <protection locked="0"/>
    </xf>
    <xf numFmtId="0" fontId="11" fillId="0" borderId="0" xfId="7" applyFont="1" applyFill="1" applyProtection="1">
      <protection locked="0"/>
    </xf>
    <xf numFmtId="0" fontId="11" fillId="0" borderId="0" xfId="7" applyFont="1" applyProtection="1"/>
    <xf numFmtId="0" fontId="11" fillId="0" borderId="0" xfId="7" applyFont="1" applyAlignment="1" applyProtection="1">
      <alignment horizontal="center" vertical="center"/>
    </xf>
    <xf numFmtId="0" fontId="13" fillId="8" borderId="25" xfId="7" applyFont="1" applyFill="1" applyBorder="1" applyAlignment="1" applyProtection="1">
      <alignment horizontal="center" vertical="center" wrapText="1"/>
    </xf>
    <xf numFmtId="0" fontId="25" fillId="0" borderId="25" xfId="7" applyFont="1" applyFill="1" applyBorder="1" applyAlignment="1" applyProtection="1">
      <alignment horizontal="center" vertical="center"/>
    </xf>
    <xf numFmtId="0" fontId="11" fillId="0" borderId="25" xfId="7" applyFont="1" applyFill="1" applyBorder="1" applyAlignment="1" applyProtection="1">
      <alignment horizontal="center" vertical="center"/>
    </xf>
    <xf numFmtId="0" fontId="11" fillId="0" borderId="25" xfId="7" applyFont="1" applyFill="1" applyBorder="1" applyAlignment="1" applyProtection="1">
      <alignment horizontal="center" vertical="center"/>
      <protection locked="0"/>
    </xf>
    <xf numFmtId="0" fontId="25" fillId="0" borderId="0" xfId="7" applyFont="1" applyFill="1" applyProtection="1">
      <protection locked="0"/>
    </xf>
    <xf numFmtId="3" fontId="13" fillId="10" borderId="21" xfId="7" applyNumberFormat="1" applyFont="1" applyFill="1" applyBorder="1" applyAlignment="1" applyProtection="1">
      <alignment vertical="center" wrapText="1"/>
    </xf>
    <xf numFmtId="3" fontId="13" fillId="10" borderId="21" xfId="7" applyNumberFormat="1" applyFont="1" applyFill="1" applyBorder="1" applyAlignment="1" applyProtection="1">
      <alignment horizontal="right" vertical="center" wrapText="1"/>
    </xf>
    <xf numFmtId="0" fontId="27" fillId="10" borderId="21" xfId="7" applyFont="1" applyFill="1" applyBorder="1" applyAlignment="1" applyProtection="1">
      <alignment horizontal="center" vertical="center" wrapText="1"/>
    </xf>
    <xf numFmtId="0" fontId="28" fillId="10" borderId="21" xfId="7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Alignment="1" applyProtection="1">
      <alignment vertical="center"/>
      <protection locked="0"/>
    </xf>
    <xf numFmtId="0" fontId="11" fillId="0" borderId="0" xfId="7" applyFont="1" applyAlignment="1" applyProtection="1">
      <alignment vertical="center"/>
      <protection locked="0"/>
    </xf>
    <xf numFmtId="0" fontId="11" fillId="0" borderId="21" xfId="7" applyFont="1" applyFill="1" applyBorder="1" applyAlignment="1" applyProtection="1">
      <alignment horizontal="center" vertical="center" wrapText="1"/>
      <protection locked="0"/>
    </xf>
    <xf numFmtId="0" fontId="11" fillId="11" borderId="21" xfId="7" applyFont="1" applyFill="1" applyBorder="1" applyAlignment="1" applyProtection="1">
      <alignment horizontal="center" vertical="center" wrapText="1"/>
      <protection locked="0"/>
    </xf>
    <xf numFmtId="0" fontId="11" fillId="0" borderId="21" xfId="7" applyFont="1" applyFill="1" applyBorder="1" applyAlignment="1" applyProtection="1">
      <alignment horizontal="center" vertical="center"/>
    </xf>
    <xf numFmtId="0" fontId="11" fillId="0" borderId="21" xfId="7" applyFont="1" applyFill="1" applyBorder="1" applyAlignment="1" applyProtection="1">
      <alignment horizontal="center" vertical="center" wrapText="1"/>
    </xf>
    <xf numFmtId="0" fontId="11" fillId="0" borderId="21" xfId="16" applyFont="1" applyFill="1" applyBorder="1" applyAlignment="1" applyProtection="1">
      <alignment vertical="center" wrapText="1"/>
    </xf>
    <xf numFmtId="3" fontId="11" fillId="0" borderId="21" xfId="7" applyNumberFormat="1" applyFont="1" applyFill="1" applyBorder="1" applyAlignment="1" applyProtection="1">
      <alignment vertical="center" wrapText="1"/>
    </xf>
    <xf numFmtId="3" fontId="11" fillId="0" borderId="21" xfId="7" applyNumberFormat="1" applyFont="1" applyFill="1" applyBorder="1" applyAlignment="1" applyProtection="1">
      <alignment vertical="center"/>
    </xf>
    <xf numFmtId="0" fontId="11" fillId="0" borderId="21" xfId="7" applyFont="1" applyFill="1" applyBorder="1" applyAlignment="1" applyProtection="1">
      <alignment vertical="center" wrapText="1"/>
    </xf>
    <xf numFmtId="0" fontId="11" fillId="0" borderId="21" xfId="7" applyFont="1" applyFill="1" applyBorder="1" applyAlignment="1" applyProtection="1">
      <alignment horizontal="right" vertical="center" wrapText="1"/>
    </xf>
    <xf numFmtId="0" fontId="25" fillId="0" borderId="21" xfId="7" applyFont="1" applyFill="1" applyBorder="1" applyAlignment="1" applyProtection="1">
      <alignment horizontal="center" vertical="center" wrapText="1"/>
    </xf>
    <xf numFmtId="0" fontId="11" fillId="0" borderId="21" xfId="7" applyFont="1" applyFill="1" applyBorder="1" applyAlignment="1" applyProtection="1">
      <alignment horizontal="left" vertical="center" wrapText="1"/>
    </xf>
    <xf numFmtId="3" fontId="13" fillId="10" borderId="21" xfId="7" applyNumberFormat="1" applyFont="1" applyFill="1" applyBorder="1" applyAlignment="1" applyProtection="1">
      <alignment vertical="center"/>
    </xf>
    <xf numFmtId="0" fontId="13" fillId="10" borderId="21" xfId="7" applyFont="1" applyFill="1" applyBorder="1" applyAlignment="1" applyProtection="1">
      <alignment vertical="center" wrapText="1"/>
    </xf>
    <xf numFmtId="0" fontId="13" fillId="10" borderId="21" xfId="7" applyFont="1" applyFill="1" applyBorder="1" applyAlignment="1" applyProtection="1">
      <alignment horizontal="center" vertical="center" wrapText="1"/>
      <protection locked="0"/>
    </xf>
    <xf numFmtId="3" fontId="30" fillId="0" borderId="21" xfId="7" applyNumberFormat="1" applyFont="1" applyFill="1" applyBorder="1" applyAlignment="1" applyProtection="1">
      <alignment vertical="center"/>
    </xf>
    <xf numFmtId="0" fontId="30" fillId="0" borderId="21" xfId="7" applyFont="1" applyFill="1" applyBorder="1" applyAlignment="1" applyProtection="1">
      <alignment vertical="center" wrapText="1"/>
    </xf>
    <xf numFmtId="165" fontId="30" fillId="0" borderId="21" xfId="21" applyNumberFormat="1" applyFont="1" applyFill="1" applyBorder="1" applyAlignment="1" applyProtection="1">
      <alignment horizontal="right" vertical="center" wrapText="1"/>
    </xf>
    <xf numFmtId="0" fontId="31" fillId="0" borderId="21" xfId="7" applyFont="1" applyFill="1" applyBorder="1" applyAlignment="1" applyProtection="1">
      <alignment horizontal="center" vertical="center" wrapText="1"/>
    </xf>
    <xf numFmtId="0" fontId="30" fillId="0" borderId="21" xfId="7" applyFont="1" applyFill="1" applyBorder="1" applyAlignment="1" applyProtection="1">
      <alignment horizontal="center" vertical="center" wrapText="1"/>
      <protection locked="0"/>
    </xf>
    <xf numFmtId="0" fontId="30" fillId="0" borderId="0" xfId="7" applyFont="1" applyFill="1" applyAlignment="1" applyProtection="1">
      <alignment vertical="center"/>
      <protection locked="0"/>
    </xf>
    <xf numFmtId="0" fontId="30" fillId="0" borderId="21" xfId="7" applyFont="1" applyFill="1" applyBorder="1" applyAlignment="1" applyProtection="1">
      <alignment horizontal="right" vertical="center" wrapText="1"/>
    </xf>
    <xf numFmtId="3" fontId="11" fillId="0" borderId="21" xfId="7" applyNumberFormat="1" applyFont="1" applyFill="1" applyBorder="1" applyAlignment="1" applyProtection="1">
      <alignment horizontal="center" vertical="center"/>
    </xf>
    <xf numFmtId="3" fontId="32" fillId="10" borderId="21" xfId="7" applyNumberFormat="1" applyFont="1" applyFill="1" applyBorder="1" applyAlignment="1" applyProtection="1">
      <alignment vertical="center"/>
    </xf>
    <xf numFmtId="0" fontId="32" fillId="10" borderId="21" xfId="7" applyFont="1" applyFill="1" applyBorder="1" applyAlignment="1" applyProtection="1">
      <alignment vertical="center" wrapText="1"/>
    </xf>
    <xf numFmtId="41" fontId="13" fillId="10" borderId="21" xfId="7" applyNumberFormat="1" applyFont="1" applyFill="1" applyBorder="1" applyAlignment="1" applyProtection="1">
      <alignment horizontal="right" vertical="center" wrapText="1"/>
    </xf>
    <xf numFmtId="0" fontId="33" fillId="10" borderId="21" xfId="7" applyFont="1" applyFill="1" applyBorder="1" applyAlignment="1" applyProtection="1">
      <alignment horizontal="center" vertical="center" wrapText="1"/>
    </xf>
    <xf numFmtId="0" fontId="32" fillId="10" borderId="21" xfId="7" applyFont="1" applyFill="1" applyBorder="1" applyAlignment="1" applyProtection="1">
      <alignment horizontal="center" vertical="center" wrapText="1"/>
      <protection locked="0"/>
    </xf>
    <xf numFmtId="0" fontId="32" fillId="0" borderId="0" xfId="7" applyFont="1" applyFill="1" applyAlignment="1" applyProtection="1">
      <alignment vertical="center"/>
      <protection locked="0"/>
    </xf>
    <xf numFmtId="0" fontId="11" fillId="0" borderId="21" xfId="16" applyFont="1" applyFill="1" applyBorder="1" applyAlignment="1" applyProtection="1">
      <alignment horizontal="left" vertical="center" wrapText="1"/>
    </xf>
    <xf numFmtId="3" fontId="11" fillId="6" borderId="21" xfId="7" applyNumberFormat="1" applyFont="1" applyFill="1" applyBorder="1" applyAlignment="1" applyProtection="1">
      <alignment vertical="center"/>
    </xf>
    <xf numFmtId="0" fontId="11" fillId="6" borderId="21" xfId="7" applyFont="1" applyFill="1" applyBorder="1" applyAlignment="1" applyProtection="1">
      <alignment vertical="center" wrapText="1"/>
    </xf>
    <xf numFmtId="0" fontId="11" fillId="6" borderId="21" xfId="7" applyFont="1" applyFill="1" applyBorder="1" applyAlignment="1" applyProtection="1">
      <alignment horizontal="right" vertical="center" wrapText="1"/>
    </xf>
    <xf numFmtId="0" fontId="25" fillId="6" borderId="21" xfId="7" applyFont="1" applyFill="1" applyBorder="1" applyAlignment="1" applyProtection="1">
      <alignment horizontal="center" vertical="center" wrapText="1"/>
    </xf>
    <xf numFmtId="0" fontId="11" fillId="0" borderId="21" xfId="7" applyNumberFormat="1" applyFont="1" applyFill="1" applyBorder="1" applyAlignment="1" applyProtection="1">
      <alignment horizontal="center" vertical="center"/>
    </xf>
    <xf numFmtId="0" fontId="11" fillId="0" borderId="21" xfId="16" applyFont="1" applyFill="1" applyBorder="1" applyAlignment="1">
      <alignment vertical="center" wrapText="1"/>
    </xf>
    <xf numFmtId="0" fontId="35" fillId="0" borderId="21" xfId="7" applyFont="1" applyFill="1" applyBorder="1" applyAlignment="1">
      <alignment horizontal="left" vertical="center" wrapText="1"/>
    </xf>
    <xf numFmtId="0" fontId="11" fillId="0" borderId="5" xfId="7" applyFont="1" applyFill="1" applyBorder="1" applyAlignment="1">
      <alignment horizontal="left" vertical="center" wrapText="1"/>
    </xf>
    <xf numFmtId="0" fontId="11" fillId="0" borderId="21" xfId="16" applyFont="1" applyFill="1" applyBorder="1" applyAlignment="1">
      <alignment vertical="center"/>
    </xf>
    <xf numFmtId="0" fontId="36" fillId="0" borderId="21" xfId="7" applyFont="1" applyFill="1" applyBorder="1" applyAlignment="1" applyProtection="1">
      <alignment horizontal="center" vertical="center" wrapText="1"/>
      <protection locked="0"/>
    </xf>
    <xf numFmtId="41" fontId="27" fillId="10" borderId="21" xfId="7" applyNumberFormat="1" applyFont="1" applyFill="1" applyBorder="1" applyAlignment="1" applyProtection="1">
      <alignment horizontal="right" vertical="center" wrapText="1"/>
    </xf>
    <xf numFmtId="0" fontId="13" fillId="0" borderId="21" xfId="7" applyFont="1" applyFill="1" applyBorder="1" applyAlignment="1" applyProtection="1">
      <alignment horizontal="center" vertical="center" wrapText="1"/>
      <protection locked="0"/>
    </xf>
    <xf numFmtId="0" fontId="32" fillId="0" borderId="0" xfId="7" applyFont="1" applyAlignment="1" applyProtection="1">
      <alignment vertical="center"/>
      <protection locked="0"/>
    </xf>
    <xf numFmtId="0" fontId="30" fillId="0" borderId="0" xfId="7" applyFont="1" applyAlignment="1" applyProtection="1">
      <alignment vertical="center"/>
      <protection locked="0"/>
    </xf>
    <xf numFmtId="3" fontId="30" fillId="0" borderId="21" xfId="7" applyNumberFormat="1" applyFont="1" applyFill="1" applyBorder="1" applyAlignment="1" applyProtection="1">
      <alignment vertical="center" wrapText="1"/>
    </xf>
    <xf numFmtId="0" fontId="16" fillId="0" borderId="21" xfId="7" applyFont="1" applyFill="1" applyBorder="1" applyAlignment="1" applyProtection="1">
      <alignment horizontal="center" vertical="center" wrapText="1"/>
      <protection locked="0"/>
    </xf>
    <xf numFmtId="3" fontId="32" fillId="10" borderId="21" xfId="7" applyNumberFormat="1" applyFont="1" applyFill="1" applyBorder="1" applyAlignment="1" applyProtection="1">
      <alignment vertical="center" wrapText="1"/>
    </xf>
    <xf numFmtId="0" fontId="24" fillId="0" borderId="21" xfId="7" applyFont="1" applyFill="1" applyBorder="1" applyAlignment="1" applyProtection="1">
      <alignment horizontal="center" vertical="center" wrapText="1"/>
      <protection locked="0"/>
    </xf>
    <xf numFmtId="0" fontId="11" fillId="0" borderId="0" xfId="7" applyAlignment="1">
      <alignment horizontal="left" vertical="center"/>
    </xf>
    <xf numFmtId="0" fontId="31" fillId="10" borderId="21" xfId="7" applyFont="1" applyFill="1" applyBorder="1" applyAlignment="1" applyProtection="1">
      <alignment horizontal="center" vertical="center" wrapText="1"/>
    </xf>
    <xf numFmtId="0" fontId="16" fillId="10" borderId="21" xfId="7" applyFont="1" applyFill="1" applyBorder="1" applyAlignment="1" applyProtection="1">
      <alignment horizontal="center" vertical="center" wrapText="1"/>
      <protection locked="0"/>
    </xf>
    <xf numFmtId="3" fontId="11" fillId="0" borderId="21" xfId="7" applyNumberFormat="1" applyFont="1" applyBorder="1" applyAlignment="1" applyProtection="1">
      <alignment vertical="center" wrapText="1"/>
    </xf>
    <xf numFmtId="0" fontId="11" fillId="6" borderId="21" xfId="16" applyFont="1" applyFill="1" applyBorder="1" applyAlignment="1" applyProtection="1">
      <alignment horizontal="left" vertical="center" wrapText="1"/>
    </xf>
    <xf numFmtId="3" fontId="11" fillId="6" borderId="21" xfId="7" applyNumberFormat="1" applyFont="1" applyFill="1" applyBorder="1" applyAlignment="1" applyProtection="1">
      <alignment vertical="center" wrapText="1"/>
    </xf>
    <xf numFmtId="0" fontId="16" fillId="6" borderId="21" xfId="7" applyFont="1" applyFill="1" applyBorder="1" applyAlignment="1" applyProtection="1">
      <alignment horizontal="center" vertical="center" wrapText="1"/>
      <protection locked="0"/>
    </xf>
    <xf numFmtId="0" fontId="16" fillId="0" borderId="0" xfId="7" applyFont="1" applyFill="1" applyAlignment="1" applyProtection="1">
      <alignment vertical="center"/>
      <protection locked="0"/>
    </xf>
    <xf numFmtId="0" fontId="16" fillId="12" borderId="0" xfId="7" applyFont="1" applyFill="1" applyAlignment="1" applyProtection="1">
      <alignment vertical="center"/>
      <protection locked="0"/>
    </xf>
    <xf numFmtId="0" fontId="37" fillId="0" borderId="21" xfId="16" applyFont="1" applyFill="1" applyBorder="1" applyAlignment="1" applyProtection="1">
      <alignment vertical="center" wrapText="1"/>
    </xf>
    <xf numFmtId="0" fontId="24" fillId="11" borderId="21" xfId="7" applyFont="1" applyFill="1" applyBorder="1" applyAlignment="1" applyProtection="1">
      <alignment horizontal="center" vertical="center" wrapText="1"/>
      <protection locked="0"/>
    </xf>
    <xf numFmtId="0" fontId="13" fillId="10" borderId="21" xfId="7" applyFont="1" applyFill="1" applyBorder="1" applyAlignment="1" applyProtection="1">
      <alignment horizontal="right" vertical="center" wrapText="1"/>
    </xf>
    <xf numFmtId="0" fontId="24" fillId="10" borderId="21" xfId="7" applyFont="1" applyFill="1" applyBorder="1" applyAlignment="1" applyProtection="1">
      <alignment horizontal="center" vertical="center" wrapText="1"/>
      <protection locked="0"/>
    </xf>
    <xf numFmtId="0" fontId="11" fillId="0" borderId="21" xfId="7" applyFont="1" applyBorder="1" applyAlignment="1" applyProtection="1">
      <alignment horizontal="center" vertical="center" wrapText="1"/>
    </xf>
    <xf numFmtId="0" fontId="11" fillId="0" borderId="21" xfId="7" applyFont="1" applyBorder="1" applyAlignment="1" applyProtection="1">
      <alignment horizontal="left" vertical="center" wrapText="1"/>
    </xf>
    <xf numFmtId="3" fontId="30" fillId="0" borderId="21" xfId="7" applyNumberFormat="1" applyFont="1" applyBorder="1" applyAlignment="1" applyProtection="1">
      <alignment vertical="center" wrapText="1"/>
    </xf>
    <xf numFmtId="0" fontId="30" fillId="0" borderId="21" xfId="7" applyFont="1" applyBorder="1" applyAlignment="1" applyProtection="1">
      <alignment vertical="center" wrapText="1"/>
    </xf>
    <xf numFmtId="0" fontId="31" fillId="0" borderId="21" xfId="7" applyFont="1" applyBorder="1" applyAlignment="1" applyProtection="1">
      <alignment horizontal="center" vertical="center" wrapText="1"/>
    </xf>
    <xf numFmtId="3" fontId="13" fillId="9" borderId="21" xfId="7" applyNumberFormat="1" applyFont="1" applyFill="1" applyBorder="1" applyAlignment="1" applyProtection="1">
      <alignment vertical="center" wrapText="1"/>
    </xf>
    <xf numFmtId="0" fontId="27" fillId="9" borderId="21" xfId="7" applyFont="1" applyFill="1" applyBorder="1" applyAlignment="1" applyProtection="1">
      <alignment horizontal="center" vertical="center" wrapText="1"/>
    </xf>
    <xf numFmtId="0" fontId="32" fillId="0" borderId="21" xfId="7" applyFont="1" applyFill="1" applyBorder="1" applyAlignment="1" applyProtection="1">
      <alignment horizontal="center" vertical="center" wrapText="1"/>
      <protection locked="0"/>
    </xf>
    <xf numFmtId="0" fontId="11" fillId="6" borderId="21" xfId="7" applyFont="1" applyFill="1" applyBorder="1" applyAlignment="1" applyProtection="1">
      <alignment horizontal="center" vertical="center"/>
    </xf>
    <xf numFmtId="0" fontId="34" fillId="0" borderId="0" xfId="7" applyFont="1" applyFill="1" applyAlignment="1" applyProtection="1">
      <alignment vertical="center"/>
      <protection locked="0"/>
    </xf>
    <xf numFmtId="0" fontId="34" fillId="10" borderId="0" xfId="7" applyFont="1" applyFill="1" applyAlignment="1" applyProtection="1">
      <alignment vertical="center"/>
      <protection locked="0"/>
    </xf>
    <xf numFmtId="0" fontId="13" fillId="0" borderId="21" xfId="7" applyFont="1" applyFill="1" applyBorder="1" applyAlignment="1" applyProtection="1">
      <alignment vertical="center" wrapText="1"/>
      <protection locked="0"/>
    </xf>
    <xf numFmtId="0" fontId="30" fillId="6" borderId="0" xfId="7" applyFont="1" applyFill="1" applyAlignment="1" applyProtection="1">
      <alignment vertical="center"/>
      <protection locked="0"/>
    </xf>
    <xf numFmtId="0" fontId="24" fillId="11" borderId="27" xfId="7" applyFont="1" applyFill="1" applyBorder="1" applyAlignment="1" applyProtection="1">
      <alignment horizontal="center" vertical="center" wrapText="1"/>
      <protection locked="0"/>
    </xf>
    <xf numFmtId="0" fontId="30" fillId="0" borderId="21" xfId="7" applyFont="1" applyFill="1" applyBorder="1" applyAlignment="1" applyProtection="1">
      <alignment vertical="center" wrapText="1"/>
      <protection locked="0"/>
    </xf>
    <xf numFmtId="0" fontId="13" fillId="9" borderId="21" xfId="7" applyFont="1" applyFill="1" applyBorder="1" applyAlignment="1" applyProtection="1">
      <alignment vertical="center" wrapText="1"/>
    </xf>
    <xf numFmtId="0" fontId="11" fillId="6" borderId="21" xfId="7" applyFont="1" applyFill="1" applyBorder="1" applyAlignment="1" applyProtection="1">
      <alignment horizontal="center" vertical="center" wrapText="1"/>
    </xf>
    <xf numFmtId="0" fontId="38" fillId="0" borderId="21" xfId="16" applyFont="1" applyFill="1" applyBorder="1" applyAlignment="1" applyProtection="1">
      <alignment vertical="center" wrapText="1"/>
    </xf>
    <xf numFmtId="0" fontId="33" fillId="0" borderId="21" xfId="7" applyFont="1" applyFill="1" applyBorder="1" applyAlignment="1" applyProtection="1">
      <alignment horizontal="center" vertical="center" wrapText="1"/>
    </xf>
    <xf numFmtId="0" fontId="24" fillId="0" borderId="27" xfId="7" applyFont="1" applyFill="1" applyBorder="1" applyAlignment="1" applyProtection="1">
      <alignment horizontal="center" vertical="center" wrapText="1"/>
      <protection locked="0"/>
    </xf>
    <xf numFmtId="0" fontId="13" fillId="9" borderId="27" xfId="7" applyFont="1" applyFill="1" applyBorder="1" applyAlignment="1" applyProtection="1">
      <alignment vertical="center" wrapText="1"/>
      <protection locked="0"/>
    </xf>
    <xf numFmtId="0" fontId="11" fillId="0" borderId="27" xfId="7" applyFont="1" applyFill="1" applyBorder="1" applyAlignment="1" applyProtection="1">
      <alignment vertical="center" wrapText="1"/>
      <protection locked="0"/>
    </xf>
    <xf numFmtId="3" fontId="11" fillId="0" borderId="21" xfId="7" applyNumberFormat="1" applyFont="1" applyFill="1" applyBorder="1" applyAlignment="1" applyProtection="1">
      <alignment horizontal="right" vertical="center" wrapText="1"/>
    </xf>
    <xf numFmtId="3" fontId="11" fillId="0" borderId="21" xfId="7" applyNumberFormat="1" applyFont="1" applyFill="1" applyBorder="1" applyAlignment="1" applyProtection="1">
      <alignment horizontal="left" vertical="center" wrapText="1"/>
    </xf>
    <xf numFmtId="0" fontId="11" fillId="0" borderId="27" xfId="7" applyFont="1" applyFill="1" applyBorder="1" applyAlignment="1" applyProtection="1">
      <alignment horizontal="left" vertical="center" wrapText="1"/>
      <protection locked="0"/>
    </xf>
    <xf numFmtId="0" fontId="13" fillId="0" borderId="27" xfId="7" applyFont="1" applyFill="1" applyBorder="1" applyAlignment="1" applyProtection="1">
      <alignment vertical="center" wrapText="1"/>
      <protection locked="0"/>
    </xf>
    <xf numFmtId="0" fontId="30" fillId="0" borderId="0" xfId="7" applyFont="1" applyFill="1" applyBorder="1" applyAlignment="1" applyProtection="1">
      <alignment vertical="center"/>
      <protection locked="0"/>
    </xf>
    <xf numFmtId="0" fontId="13" fillId="0" borderId="28" xfId="7" applyFont="1" applyFill="1" applyBorder="1" applyAlignment="1" applyProtection="1">
      <alignment vertical="center" wrapText="1"/>
      <protection locked="0"/>
    </xf>
    <xf numFmtId="0" fontId="11" fillId="11" borderId="27" xfId="7" applyFont="1" applyFill="1" applyBorder="1" applyAlignment="1" applyProtection="1">
      <alignment horizontal="center" vertical="center" wrapText="1"/>
      <protection locked="0"/>
    </xf>
    <xf numFmtId="0" fontId="24" fillId="0" borderId="0" xfId="7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13" fillId="6" borderId="0" xfId="7" applyFont="1" applyFill="1" applyAlignment="1" applyProtection="1">
      <alignment vertical="center"/>
      <protection locked="0"/>
    </xf>
    <xf numFmtId="0" fontId="37" fillId="0" borderId="21" xfId="7" applyFont="1" applyFill="1" applyBorder="1" applyAlignment="1" applyProtection="1">
      <alignment horizontal="center" vertical="center"/>
    </xf>
    <xf numFmtId="0" fontId="30" fillId="0" borderId="27" xfId="7" applyFont="1" applyFill="1" applyBorder="1" applyAlignment="1" applyProtection="1">
      <alignment vertical="center" wrapText="1"/>
      <protection locked="0"/>
    </xf>
    <xf numFmtId="0" fontId="30" fillId="0" borderId="27" xfId="7" applyFont="1" applyFill="1" applyBorder="1" applyAlignment="1" applyProtection="1">
      <alignment horizontal="center" vertical="center" wrapText="1"/>
      <protection locked="0"/>
    </xf>
    <xf numFmtId="0" fontId="25" fillId="0" borderId="21" xfId="7" applyFont="1" applyBorder="1" applyAlignment="1" applyProtection="1">
      <alignment horizontal="center" vertical="center" wrapText="1"/>
    </xf>
    <xf numFmtId="0" fontId="11" fillId="6" borderId="0" xfId="7" applyFont="1" applyFill="1" applyAlignment="1" applyProtection="1">
      <alignment vertical="center"/>
      <protection locked="0"/>
    </xf>
    <xf numFmtId="0" fontId="11" fillId="6" borderId="21" xfId="7" applyFont="1" applyFill="1" applyBorder="1" applyAlignment="1" applyProtection="1">
      <alignment horizontal="left" vertical="center" wrapText="1"/>
    </xf>
    <xf numFmtId="3" fontId="13" fillId="6" borderId="21" xfId="7" applyNumberFormat="1" applyFont="1" applyFill="1" applyBorder="1" applyAlignment="1" applyProtection="1">
      <alignment vertical="center" wrapText="1"/>
    </xf>
    <xf numFmtId="0" fontId="13" fillId="6" borderId="21" xfId="7" applyFont="1" applyFill="1" applyBorder="1" applyAlignment="1" applyProtection="1">
      <alignment vertical="center" wrapText="1"/>
    </xf>
    <xf numFmtId="41" fontId="13" fillId="6" borderId="21" xfId="7" applyNumberFormat="1" applyFont="1" applyFill="1" applyBorder="1" applyAlignment="1" applyProtection="1">
      <alignment horizontal="right" vertical="center" wrapText="1"/>
    </xf>
    <xf numFmtId="0" fontId="27" fillId="6" borderId="21" xfId="7" applyFont="1" applyFill="1" applyBorder="1" applyAlignment="1" applyProtection="1">
      <alignment horizontal="center" vertical="center" wrapText="1"/>
    </xf>
    <xf numFmtId="0" fontId="13" fillId="6" borderId="27" xfId="7" applyFont="1" applyFill="1" applyBorder="1" applyAlignment="1" applyProtection="1">
      <alignment vertical="center" wrapText="1"/>
      <protection locked="0"/>
    </xf>
    <xf numFmtId="41" fontId="13" fillId="9" borderId="21" xfId="7" applyNumberFormat="1" applyFont="1" applyFill="1" applyBorder="1" applyAlignment="1" applyProtection="1">
      <alignment horizontal="right" vertical="center" wrapText="1"/>
    </xf>
    <xf numFmtId="41" fontId="11" fillId="0" borderId="21" xfId="7" applyNumberFormat="1" applyFont="1" applyFill="1" applyBorder="1" applyAlignment="1" applyProtection="1">
      <alignment horizontal="right" vertical="center" wrapText="1"/>
    </xf>
    <xf numFmtId="0" fontId="11" fillId="0" borderId="21" xfId="7" applyFont="1" applyFill="1" applyBorder="1" applyAlignment="1" applyProtection="1">
      <alignment vertical="center" wrapText="1"/>
      <protection locked="0"/>
    </xf>
    <xf numFmtId="3" fontId="13" fillId="13" borderId="21" xfId="7" applyNumberFormat="1" applyFont="1" applyFill="1" applyBorder="1" applyAlignment="1" applyProtection="1">
      <alignment vertical="center" wrapText="1"/>
    </xf>
    <xf numFmtId="3" fontId="13" fillId="0" borderId="21" xfId="7" applyNumberFormat="1" applyFont="1" applyFill="1" applyBorder="1" applyAlignment="1" applyProtection="1">
      <alignment vertical="center" wrapText="1"/>
      <protection locked="0"/>
    </xf>
    <xf numFmtId="0" fontId="13" fillId="0" borderId="0" xfId="7" applyFont="1" applyFill="1" applyBorder="1" applyAlignment="1" applyProtection="1">
      <alignment vertical="center"/>
      <protection locked="0"/>
    </xf>
    <xf numFmtId="0" fontId="13" fillId="6" borderId="0" xfId="7" applyFont="1" applyFill="1" applyBorder="1" applyAlignment="1" applyProtection="1">
      <alignment vertical="center"/>
      <protection locked="0"/>
    </xf>
    <xf numFmtId="3" fontId="11" fillId="0" borderId="0" xfId="7" applyNumberFormat="1" applyFont="1" applyProtection="1"/>
    <xf numFmtId="0" fontId="25" fillId="0" borderId="0" xfId="9" applyFont="1" applyProtection="1"/>
    <xf numFmtId="0" fontId="25" fillId="0" borderId="0" xfId="7" applyFont="1" applyProtection="1"/>
    <xf numFmtId="3" fontId="25" fillId="0" borderId="0" xfId="7" applyNumberFormat="1" applyFont="1" applyProtection="1"/>
    <xf numFmtId="0" fontId="25" fillId="0" borderId="0" xfId="7" applyFont="1" applyAlignment="1" applyProtection="1">
      <alignment horizontal="center" vertical="center"/>
    </xf>
    <xf numFmtId="0" fontId="25" fillId="0" borderId="0" xfId="7" applyFont="1" applyProtection="1">
      <protection locked="0"/>
    </xf>
    <xf numFmtId="0" fontId="11" fillId="0" borderId="0" xfId="16" applyFont="1" applyFill="1" applyAlignment="1">
      <alignment vertical="center" wrapText="1"/>
    </xf>
    <xf numFmtId="0" fontId="39" fillId="0" borderId="0" xfId="16" applyFont="1" applyFill="1" applyAlignment="1">
      <alignment vertical="center" wrapText="1"/>
    </xf>
    <xf numFmtId="0" fontId="9" fillId="0" borderId="0" xfId="11" applyFont="1" applyAlignment="1">
      <alignment horizontal="center" vertical="center"/>
    </xf>
    <xf numFmtId="0" fontId="9" fillId="0" borderId="0" xfId="11" applyFont="1" applyAlignment="1">
      <alignment vertical="center" wrapText="1"/>
    </xf>
    <xf numFmtId="3" fontId="9" fillId="0" borderId="0" xfId="11" applyNumberFormat="1" applyFont="1" applyAlignment="1">
      <alignment vertical="center"/>
    </xf>
    <xf numFmtId="0" fontId="9" fillId="0" borderId="0" xfId="11" applyFont="1"/>
    <xf numFmtId="0" fontId="18" fillId="0" borderId="0" xfId="11" applyFont="1" applyAlignment="1">
      <alignment horizontal="center" vertical="center" wrapText="1"/>
    </xf>
    <xf numFmtId="0" fontId="10" fillId="14" borderId="5" xfId="11" applyFont="1" applyFill="1" applyBorder="1" applyAlignment="1">
      <alignment horizontal="center" vertical="center"/>
    </xf>
    <xf numFmtId="0" fontId="10" fillId="14" borderId="5" xfId="11" applyFont="1" applyFill="1" applyBorder="1" applyAlignment="1">
      <alignment horizontal="center" vertical="center" wrapText="1"/>
    </xf>
    <xf numFmtId="3" fontId="10" fillId="14" borderId="5" xfId="11" applyNumberFormat="1" applyFont="1" applyFill="1" applyBorder="1" applyAlignment="1">
      <alignment horizontal="center" vertical="center"/>
    </xf>
    <xf numFmtId="0" fontId="10" fillId="0" borderId="0" xfId="11" applyFont="1" applyAlignment="1">
      <alignment vertical="center"/>
    </xf>
    <xf numFmtId="0" fontId="10" fillId="15" borderId="5" xfId="11" applyFont="1" applyFill="1" applyBorder="1" applyAlignment="1">
      <alignment horizontal="center" vertical="center"/>
    </xf>
    <xf numFmtId="0" fontId="10" fillId="15" borderId="5" xfId="11" applyFont="1" applyFill="1" applyBorder="1" applyAlignment="1">
      <alignment vertical="center" wrapText="1"/>
    </xf>
    <xf numFmtId="3" fontId="10" fillId="15" borderId="5" xfId="11" applyNumberFormat="1" applyFont="1" applyFill="1" applyBorder="1" applyAlignment="1">
      <alignment vertical="center"/>
    </xf>
    <xf numFmtId="0" fontId="9" fillId="5" borderId="5" xfId="11" applyFont="1" applyFill="1" applyBorder="1" applyAlignment="1">
      <alignment horizontal="center" vertical="center"/>
    </xf>
    <xf numFmtId="0" fontId="9" fillId="5" borderId="5" xfId="11" applyFont="1" applyFill="1" applyBorder="1" applyAlignment="1">
      <alignment vertical="center" wrapText="1"/>
    </xf>
    <xf numFmtId="3" fontId="9" fillId="5" borderId="5" xfId="11" applyNumberFormat="1" applyFont="1" applyFill="1" applyBorder="1" applyAlignment="1">
      <alignment vertical="center"/>
    </xf>
    <xf numFmtId="0" fontId="9" fillId="0" borderId="0" xfId="11" applyFont="1" applyAlignment="1">
      <alignment vertical="center"/>
    </xf>
    <xf numFmtId="0" fontId="6" fillId="0" borderId="5" xfId="11" applyFont="1" applyBorder="1" applyAlignment="1">
      <alignment horizontal="center" vertical="center"/>
    </xf>
    <xf numFmtId="0" fontId="6" fillId="0" borderId="5" xfId="11" applyFont="1" applyBorder="1" applyAlignment="1">
      <alignment vertical="center" wrapText="1"/>
    </xf>
    <xf numFmtId="3" fontId="6" fillId="0" borderId="5" xfId="11" applyNumberFormat="1" applyFont="1" applyBorder="1" applyAlignment="1">
      <alignment vertical="center"/>
    </xf>
    <xf numFmtId="0" fontId="6" fillId="0" borderId="0" xfId="11" applyFont="1" applyAlignment="1">
      <alignment vertical="center"/>
    </xf>
    <xf numFmtId="0" fontId="22" fillId="0" borderId="5" xfId="11" applyFont="1" applyBorder="1" applyAlignment="1">
      <alignment vertical="center" wrapText="1"/>
    </xf>
    <xf numFmtId="0" fontId="9" fillId="0" borderId="0" xfId="11" applyFont="1" applyFill="1" applyAlignment="1">
      <alignment vertical="center"/>
    </xf>
    <xf numFmtId="0" fontId="9" fillId="0" borderId="5" xfId="11" applyFont="1" applyBorder="1" applyAlignment="1">
      <alignment horizontal="center" vertical="center"/>
    </xf>
    <xf numFmtId="3" fontId="9" fillId="0" borderId="5" xfId="11" applyNumberFormat="1" applyFont="1" applyBorder="1" applyAlignment="1">
      <alignment vertical="center"/>
    </xf>
    <xf numFmtId="0" fontId="9" fillId="0" borderId="5" xfId="11" applyFont="1" applyBorder="1" applyAlignment="1">
      <alignment vertical="center" wrapText="1"/>
    </xf>
    <xf numFmtId="3" fontId="10" fillId="15" borderId="5" xfId="11" applyNumberFormat="1" applyFont="1" applyFill="1" applyBorder="1" applyAlignment="1">
      <alignment vertical="center" wrapText="1"/>
    </xf>
    <xf numFmtId="0" fontId="9" fillId="5" borderId="5" xfId="11" applyFont="1" applyFill="1" applyBorder="1" applyAlignment="1">
      <alignment horizontal="left" vertical="center"/>
    </xf>
    <xf numFmtId="3" fontId="9" fillId="5" borderId="5" xfId="11" applyNumberFormat="1" applyFont="1" applyFill="1" applyBorder="1" applyAlignment="1">
      <alignment horizontal="right" vertical="center"/>
    </xf>
    <xf numFmtId="3" fontId="9" fillId="5" borderId="5" xfId="11" applyNumberFormat="1" applyFont="1" applyFill="1" applyBorder="1" applyAlignment="1">
      <alignment horizontal="center" vertical="center"/>
    </xf>
    <xf numFmtId="0" fontId="22" fillId="0" borderId="5" xfId="11" applyFont="1" applyBorder="1" applyAlignment="1">
      <alignment horizontal="center" vertical="center"/>
    </xf>
    <xf numFmtId="3" fontId="22" fillId="0" borderId="5" xfId="11" applyNumberFormat="1" applyFont="1" applyBorder="1" applyAlignment="1">
      <alignment vertical="center"/>
    </xf>
    <xf numFmtId="0" fontId="9" fillId="0" borderId="5" xfId="11" applyFont="1" applyFill="1" applyBorder="1" applyAlignment="1">
      <alignment vertical="center"/>
    </xf>
    <xf numFmtId="0" fontId="9" fillId="5" borderId="5" xfId="11" applyFont="1" applyFill="1" applyBorder="1" applyAlignment="1">
      <alignment vertical="center"/>
    </xf>
    <xf numFmtId="0" fontId="6" fillId="5" borderId="5" xfId="11" applyFont="1" applyFill="1" applyBorder="1" applyAlignment="1">
      <alignment horizontal="center" vertical="center"/>
    </xf>
    <xf numFmtId="0" fontId="6" fillId="5" borderId="5" xfId="11" applyFont="1" applyFill="1" applyBorder="1" applyAlignment="1">
      <alignment vertical="center" wrapText="1"/>
    </xf>
    <xf numFmtId="3" fontId="6" fillId="5" borderId="5" xfId="11" applyNumberFormat="1" applyFont="1" applyFill="1" applyBorder="1" applyAlignment="1">
      <alignment vertical="center"/>
    </xf>
    <xf numFmtId="3" fontId="10" fillId="14" borderId="5" xfId="11" applyNumberFormat="1" applyFont="1" applyFill="1" applyBorder="1" applyAlignment="1">
      <alignment vertical="center"/>
    </xf>
    <xf numFmtId="0" fontId="9" fillId="0" borderId="5" xfId="11" applyFont="1" applyFill="1" applyBorder="1" applyAlignment="1">
      <alignment horizontal="center" vertical="center"/>
    </xf>
    <xf numFmtId="3" fontId="9" fillId="0" borderId="5" xfId="11" applyNumberFormat="1" applyFont="1" applyFill="1" applyBorder="1" applyAlignment="1">
      <alignment vertical="center"/>
    </xf>
    <xf numFmtId="0" fontId="22" fillId="0" borderId="0" xfId="11" applyFont="1" applyAlignment="1">
      <alignment vertical="center"/>
    </xf>
    <xf numFmtId="0" fontId="9" fillId="0" borderId="0" xfId="2" applyFont="1"/>
    <xf numFmtId="0" fontId="10" fillId="4" borderId="5" xfId="2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0" fillId="5" borderId="5" xfId="2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vertical="center" wrapText="1"/>
    </xf>
    <xf numFmtId="3" fontId="10" fillId="5" borderId="5" xfId="2" applyNumberFormat="1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vertical="center" wrapText="1"/>
    </xf>
    <xf numFmtId="3" fontId="9" fillId="2" borderId="5" xfId="2" applyNumberFormat="1" applyFont="1" applyFill="1" applyBorder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9" fillId="0" borderId="5" xfId="2" applyFont="1" applyBorder="1" applyAlignment="1">
      <alignment vertical="center" wrapText="1"/>
    </xf>
    <xf numFmtId="3" fontId="9" fillId="0" borderId="5" xfId="2" applyNumberFormat="1" applyFont="1" applyBorder="1" applyAlignment="1">
      <alignment vertical="center"/>
    </xf>
    <xf numFmtId="3" fontId="10" fillId="4" borderId="5" xfId="2" applyNumberFormat="1" applyFont="1" applyFill="1" applyBorder="1" applyAlignment="1">
      <alignment vertical="center"/>
    </xf>
    <xf numFmtId="0" fontId="9" fillId="0" borderId="0" xfId="2" applyFont="1" applyAlignment="1">
      <alignment horizontal="center"/>
    </xf>
    <xf numFmtId="0" fontId="11" fillId="0" borderId="27" xfId="7" applyFont="1" applyFill="1" applyBorder="1" applyAlignment="1" applyProtection="1">
      <alignment horizontal="center" vertical="center" wrapText="1"/>
      <protection locked="0"/>
    </xf>
    <xf numFmtId="0" fontId="24" fillId="16" borderId="21" xfId="7" applyFont="1" applyFill="1" applyBorder="1" applyAlignment="1" applyProtection="1">
      <alignment horizontal="center" vertical="center"/>
    </xf>
    <xf numFmtId="0" fontId="24" fillId="16" borderId="21" xfId="7" applyFont="1" applyFill="1" applyBorder="1" applyAlignment="1" applyProtection="1">
      <alignment horizontal="center" vertical="center" wrapText="1"/>
    </xf>
    <xf numFmtId="0" fontId="24" fillId="16" borderId="21" xfId="16" applyFont="1" applyFill="1" applyBorder="1" applyAlignment="1" applyProtection="1">
      <alignment vertical="center" wrapText="1"/>
    </xf>
    <xf numFmtId="3" fontId="24" fillId="16" borderId="21" xfId="7" applyNumberFormat="1" applyFont="1" applyFill="1" applyBorder="1" applyAlignment="1" applyProtection="1">
      <alignment vertical="center" wrapText="1"/>
    </xf>
    <xf numFmtId="3" fontId="24" fillId="16" borderId="21" xfId="7" applyNumberFormat="1" applyFont="1" applyFill="1" applyBorder="1" applyAlignment="1" applyProtection="1">
      <alignment vertical="center"/>
    </xf>
    <xf numFmtId="0" fontId="24" fillId="16" borderId="21" xfId="7" applyFont="1" applyFill="1" applyBorder="1" applyAlignment="1" applyProtection="1">
      <alignment vertical="center" wrapText="1"/>
    </xf>
    <xf numFmtId="0" fontId="24" fillId="16" borderId="21" xfId="7" applyFont="1" applyFill="1" applyBorder="1" applyAlignment="1" applyProtection="1">
      <alignment horizontal="right" vertical="center" wrapText="1"/>
    </xf>
    <xf numFmtId="0" fontId="29" fillId="16" borderId="21" xfId="7" applyFont="1" applyFill="1" applyBorder="1" applyAlignment="1" applyProtection="1">
      <alignment horizontal="center" vertical="center" wrapText="1"/>
    </xf>
    <xf numFmtId="0" fontId="24" fillId="16" borderId="21" xfId="7" applyFont="1" applyFill="1" applyBorder="1" applyAlignment="1" applyProtection="1">
      <alignment horizontal="left" vertical="center" wrapText="1"/>
    </xf>
    <xf numFmtId="3" fontId="34" fillId="16" borderId="21" xfId="7" applyNumberFormat="1" applyFont="1" applyFill="1" applyBorder="1" applyAlignment="1" applyProtection="1">
      <alignment vertical="center"/>
    </xf>
    <xf numFmtId="0" fontId="34" fillId="16" borderId="21" xfId="7" applyFont="1" applyFill="1" applyBorder="1" applyAlignment="1" applyProtection="1">
      <alignment vertical="center" wrapText="1"/>
    </xf>
    <xf numFmtId="165" fontId="34" fillId="16" borderId="21" xfId="21" applyNumberFormat="1" applyFont="1" applyFill="1" applyBorder="1" applyAlignment="1" applyProtection="1">
      <alignment horizontal="right" vertical="center" wrapText="1"/>
    </xf>
    <xf numFmtId="0" fontId="40" fillId="16" borderId="21" xfId="7" applyFont="1" applyFill="1" applyBorder="1" applyAlignment="1" applyProtection="1">
      <alignment horizontal="center" vertical="center" wrapText="1"/>
    </xf>
    <xf numFmtId="0" fontId="11" fillId="6" borderId="0" xfId="7" applyFont="1" applyFill="1"/>
    <xf numFmtId="0" fontId="6" fillId="0" borderId="0" xfId="7" applyFont="1" applyAlignment="1">
      <alignment horizontal="center" vertical="center"/>
    </xf>
    <xf numFmtId="0" fontId="6" fillId="0" borderId="0" xfId="7" applyFont="1" applyAlignment="1"/>
    <xf numFmtId="0" fontId="12" fillId="0" borderId="0" xfId="7" applyFont="1" applyAlignment="1">
      <alignment vertical="center" wrapText="1"/>
    </xf>
    <xf numFmtId="0" fontId="15" fillId="0" borderId="0" xfId="7" applyFont="1"/>
    <xf numFmtId="0" fontId="7" fillId="9" borderId="5" xfId="7" applyFont="1" applyFill="1" applyBorder="1" applyAlignment="1">
      <alignment horizontal="center" vertical="center"/>
    </xf>
    <xf numFmtId="0" fontId="41" fillId="17" borderId="5" xfId="7" applyFont="1" applyFill="1" applyBorder="1" applyAlignment="1">
      <alignment horizontal="center" vertical="center"/>
    </xf>
    <xf numFmtId="0" fontId="41" fillId="0" borderId="0" xfId="7" applyFont="1"/>
    <xf numFmtId="0" fontId="7" fillId="2" borderId="5" xfId="7" applyFont="1" applyFill="1" applyBorder="1" applyAlignment="1">
      <alignment horizontal="center" vertical="center"/>
    </xf>
    <xf numFmtId="0" fontId="6" fillId="2" borderId="5" xfId="7" applyFont="1" applyFill="1" applyBorder="1" applyAlignment="1">
      <alignment horizontal="center" vertical="center"/>
    </xf>
    <xf numFmtId="0" fontId="6" fillId="0" borderId="5" xfId="7" applyFont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42" fillId="0" borderId="5" xfId="7" applyFont="1" applyBorder="1" applyAlignment="1">
      <alignment horizontal="center" vertical="center"/>
    </xf>
    <xf numFmtId="3" fontId="6" fillId="0" borderId="5" xfId="7" applyNumberFormat="1" applyFont="1" applyFill="1" applyBorder="1" applyAlignment="1">
      <alignment horizontal="right" vertical="center"/>
    </xf>
    <xf numFmtId="0" fontId="6" fillId="0" borderId="0" xfId="7" applyFont="1" applyAlignment="1">
      <alignment vertical="center"/>
    </xf>
    <xf numFmtId="0" fontId="6" fillId="0" borderId="5" xfId="7" applyFont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  <xf numFmtId="0" fontId="6" fillId="0" borderId="5" xfId="7" applyFont="1" applyBorder="1" applyAlignment="1">
      <alignment horizontal="left" vertical="center" wrapText="1"/>
    </xf>
    <xf numFmtId="0" fontId="42" fillId="0" borderId="5" xfId="7" applyFont="1" applyBorder="1" applyAlignment="1">
      <alignment vertical="center"/>
    </xf>
    <xf numFmtId="3" fontId="6" fillId="0" borderId="5" xfId="7" applyNumberFormat="1" applyFont="1" applyFill="1" applyBorder="1" applyAlignment="1">
      <alignment vertical="center"/>
    </xf>
    <xf numFmtId="0" fontId="42" fillId="0" borderId="5" xfId="7" applyFont="1" applyBorder="1" applyAlignment="1">
      <alignment vertical="center" wrapText="1"/>
    </xf>
    <xf numFmtId="3" fontId="6" fillId="0" borderId="5" xfId="7" applyNumberFormat="1" applyFont="1" applyFill="1" applyBorder="1" applyAlignment="1">
      <alignment horizontal="right" vertical="center" wrapText="1"/>
    </xf>
    <xf numFmtId="0" fontId="6" fillId="0" borderId="0" xfId="7" applyFont="1" applyAlignment="1">
      <alignment vertical="center" wrapText="1"/>
    </xf>
    <xf numFmtId="0" fontId="22" fillId="0" borderId="5" xfId="7" applyFont="1" applyBorder="1" applyAlignment="1">
      <alignment horizontal="center" vertical="center"/>
    </xf>
    <xf numFmtId="0" fontId="22" fillId="0" borderId="5" xfId="7" applyFont="1" applyFill="1" applyBorder="1" applyAlignment="1">
      <alignment horizontal="center" vertical="center"/>
    </xf>
    <xf numFmtId="0" fontId="22" fillId="0" borderId="5" xfId="7" applyFont="1" applyBorder="1" applyAlignment="1">
      <alignment vertical="center" wrapText="1"/>
    </xf>
    <xf numFmtId="0" fontId="43" fillId="0" borderId="5" xfId="7" applyFont="1" applyBorder="1" applyAlignment="1">
      <alignment vertical="center" wrapText="1"/>
    </xf>
    <xf numFmtId="3" fontId="22" fillId="0" borderId="5" xfId="7" applyNumberFormat="1" applyFont="1" applyFill="1" applyBorder="1" applyAlignment="1">
      <alignment horizontal="right" vertical="center" wrapText="1"/>
    </xf>
    <xf numFmtId="3" fontId="6" fillId="0" borderId="5" xfId="7" applyNumberFormat="1" applyFont="1" applyFill="1" applyBorder="1" applyAlignment="1">
      <alignment vertical="center" wrapText="1"/>
    </xf>
    <xf numFmtId="3" fontId="42" fillId="0" borderId="5" xfId="7" applyNumberFormat="1" applyFont="1" applyFill="1" applyBorder="1" applyAlignment="1">
      <alignment horizontal="right" vertical="center" wrapText="1"/>
    </xf>
    <xf numFmtId="3" fontId="7" fillId="9" borderId="5" xfId="7" applyNumberFormat="1" applyFont="1" applyFill="1" applyBorder="1" applyAlignment="1">
      <alignment vertical="center"/>
    </xf>
    <xf numFmtId="0" fontId="7" fillId="0" borderId="0" xfId="7" applyFont="1" applyAlignment="1">
      <alignment vertical="center"/>
    </xf>
    <xf numFmtId="3" fontId="7" fillId="0" borderId="0" xfId="7" applyNumberFormat="1" applyFont="1" applyAlignment="1">
      <alignment vertical="center"/>
    </xf>
    <xf numFmtId="0" fontId="7" fillId="0" borderId="0" xfId="7" applyFont="1" applyAlignment="1">
      <alignment horizontal="center" vertical="center"/>
    </xf>
    <xf numFmtId="49" fontId="6" fillId="0" borderId="5" xfId="7" applyNumberFormat="1" applyFont="1" applyBorder="1" applyAlignment="1">
      <alignment horizontal="center" vertical="center"/>
    </xf>
    <xf numFmtId="49" fontId="6" fillId="0" borderId="5" xfId="7" applyNumberFormat="1" applyFont="1" applyFill="1" applyBorder="1" applyAlignment="1">
      <alignment horizontal="center" vertical="center"/>
    </xf>
    <xf numFmtId="0" fontId="6" fillId="0" borderId="0" xfId="7" applyFont="1" applyFill="1" applyAlignment="1">
      <alignment vertical="center"/>
    </xf>
    <xf numFmtId="3" fontId="6" fillId="0" borderId="0" xfId="7" applyNumberFormat="1" applyFont="1" applyAlignment="1">
      <alignment vertical="center"/>
    </xf>
    <xf numFmtId="0" fontId="43" fillId="0" borderId="5" xfId="7" applyFont="1" applyBorder="1" applyAlignment="1">
      <alignment vertical="center"/>
    </xf>
    <xf numFmtId="3" fontId="22" fillId="0" borderId="5" xfId="7" applyNumberFormat="1" applyFont="1" applyFill="1" applyBorder="1" applyAlignment="1">
      <alignment vertical="center" wrapText="1"/>
    </xf>
    <xf numFmtId="3" fontId="43" fillId="0" borderId="5" xfId="7" applyNumberFormat="1" applyFont="1" applyBorder="1" applyAlignment="1">
      <alignment vertical="center"/>
    </xf>
    <xf numFmtId="3" fontId="42" fillId="0" borderId="5" xfId="7" applyNumberFormat="1" applyFont="1" applyBorder="1" applyAlignment="1">
      <alignment vertical="center"/>
    </xf>
    <xf numFmtId="3" fontId="42" fillId="0" borderId="5" xfId="7" applyNumberFormat="1" applyFont="1" applyBorder="1" applyAlignment="1">
      <alignment vertical="center" wrapText="1"/>
    </xf>
    <xf numFmtId="0" fontId="42" fillId="6" borderId="5" xfId="7" applyFont="1" applyFill="1" applyBorder="1" applyAlignment="1">
      <alignment vertical="center" wrapText="1"/>
    </xf>
    <xf numFmtId="3" fontId="42" fillId="6" borderId="5" xfId="7" applyNumberFormat="1" applyFont="1" applyFill="1" applyBorder="1" applyAlignment="1">
      <alignment vertical="center" wrapText="1"/>
    </xf>
    <xf numFmtId="0" fontId="6" fillId="0" borderId="5" xfId="7" applyFont="1" applyFill="1" applyBorder="1" applyAlignment="1">
      <alignment vertical="center" wrapText="1"/>
    </xf>
    <xf numFmtId="3" fontId="6" fillId="6" borderId="5" xfId="7" applyNumberFormat="1" applyFont="1" applyFill="1" applyBorder="1" applyAlignment="1">
      <alignment vertical="center" wrapText="1"/>
    </xf>
    <xf numFmtId="0" fontId="43" fillId="6" borderId="5" xfId="7" applyFont="1" applyFill="1" applyBorder="1" applyAlignment="1">
      <alignment vertical="center" wrapText="1"/>
    </xf>
    <xf numFmtId="3" fontId="43" fillId="6" borderId="5" xfId="7" applyNumberFormat="1" applyFont="1" applyFill="1" applyBorder="1" applyAlignment="1">
      <alignment vertical="center" wrapText="1"/>
    </xf>
    <xf numFmtId="0" fontId="23" fillId="18" borderId="30" xfId="0" applyFont="1" applyFill="1" applyBorder="1" applyAlignment="1">
      <alignment horizontal="left" vertical="center" wrapText="1"/>
    </xf>
    <xf numFmtId="3" fontId="42" fillId="0" borderId="5" xfId="7" applyNumberFormat="1" applyFont="1" applyFill="1" applyBorder="1" applyAlignment="1">
      <alignment vertical="center" wrapText="1"/>
    </xf>
    <xf numFmtId="3" fontId="43" fillId="0" borderId="5" xfId="7" applyNumberFormat="1" applyFont="1" applyBorder="1" applyAlignment="1">
      <alignment vertical="center" wrapText="1"/>
    </xf>
    <xf numFmtId="3" fontId="12" fillId="19" borderId="5" xfId="7" applyNumberFormat="1" applyFont="1" applyFill="1" applyBorder="1" applyAlignment="1">
      <alignment horizontal="right"/>
    </xf>
    <xf numFmtId="0" fontId="44" fillId="0" borderId="0" xfId="7" applyFont="1"/>
    <xf numFmtId="0" fontId="6" fillId="6" borderId="5" xfId="7" applyFont="1" applyFill="1" applyBorder="1" applyAlignment="1">
      <alignment vertical="center" wrapText="1"/>
    </xf>
    <xf numFmtId="1" fontId="42" fillId="0" borderId="5" xfId="7" applyNumberFormat="1" applyFont="1" applyBorder="1" applyAlignment="1">
      <alignment vertical="center" wrapText="1"/>
    </xf>
    <xf numFmtId="0" fontId="22" fillId="0" borderId="0" xfId="7" applyFont="1" applyAlignment="1">
      <alignment vertical="center"/>
    </xf>
    <xf numFmtId="3" fontId="22" fillId="0" borderId="0" xfId="7" applyNumberFormat="1" applyFont="1" applyAlignment="1">
      <alignment vertical="center"/>
    </xf>
    <xf numFmtId="0" fontId="22" fillId="0" borderId="0" xfId="7" applyFont="1" applyAlignment="1">
      <alignment horizontal="center" vertical="center"/>
    </xf>
    <xf numFmtId="0" fontId="22" fillId="0" borderId="0" xfId="7" applyFont="1" applyAlignment="1">
      <alignment vertical="center" wrapText="1"/>
    </xf>
    <xf numFmtId="0" fontId="24" fillId="16" borderId="31" xfId="7" applyFont="1" applyFill="1" applyBorder="1" applyAlignment="1" applyProtection="1">
      <alignment horizontal="center" vertical="center"/>
    </xf>
    <xf numFmtId="0" fontId="45" fillId="16" borderId="31" xfId="16" applyFont="1" applyFill="1" applyBorder="1" applyAlignment="1">
      <alignment vertical="center" wrapText="1"/>
    </xf>
    <xf numFmtId="3" fontId="24" fillId="16" borderId="31" xfId="7" applyNumberFormat="1" applyFont="1" applyFill="1" applyBorder="1" applyAlignment="1" applyProtection="1">
      <alignment vertical="center"/>
    </xf>
    <xf numFmtId="3" fontId="34" fillId="16" borderId="31" xfId="7" applyNumberFormat="1" applyFont="1" applyFill="1" applyBorder="1" applyAlignment="1" applyProtection="1">
      <alignment vertical="center"/>
    </xf>
    <xf numFmtId="0" fontId="34" fillId="16" borderId="31" xfId="7" applyFont="1" applyFill="1" applyBorder="1" applyAlignment="1" applyProtection="1">
      <alignment vertical="center" wrapText="1"/>
    </xf>
    <xf numFmtId="0" fontId="24" fillId="16" borderId="31" xfId="7" applyFont="1" applyFill="1" applyBorder="1" applyAlignment="1" applyProtection="1">
      <alignment horizontal="right" vertical="center" wrapText="1"/>
    </xf>
    <xf numFmtId="0" fontId="29" fillId="16" borderId="31" xfId="7" applyFont="1" applyFill="1" applyBorder="1" applyAlignment="1" applyProtection="1">
      <alignment horizontal="center" vertical="center" wrapText="1"/>
    </xf>
    <xf numFmtId="0" fontId="24" fillId="16" borderId="31" xfId="7" applyFont="1" applyFill="1" applyBorder="1" applyAlignment="1" applyProtection="1">
      <alignment horizontal="center" vertical="center" wrapText="1"/>
      <protection locked="0"/>
    </xf>
    <xf numFmtId="0" fontId="13" fillId="9" borderId="23" xfId="7" applyFont="1" applyFill="1" applyBorder="1" applyAlignment="1" applyProtection="1">
      <alignment horizontal="center" vertical="center" wrapText="1"/>
    </xf>
    <xf numFmtId="0" fontId="13" fillId="9" borderId="24" xfId="7" applyFont="1" applyFill="1" applyBorder="1" applyAlignment="1" applyProtection="1">
      <alignment horizontal="center" vertical="center" wrapText="1"/>
    </xf>
    <xf numFmtId="0" fontId="13" fillId="9" borderId="26" xfId="7" applyFont="1" applyFill="1" applyBorder="1" applyAlignment="1" applyProtection="1">
      <alignment horizontal="center" vertical="center" wrapText="1"/>
    </xf>
    <xf numFmtId="166" fontId="13" fillId="13" borderId="23" xfId="8" applyNumberFormat="1" applyFont="1" applyFill="1" applyBorder="1" applyAlignment="1" applyProtection="1">
      <alignment horizontal="center" vertical="center" wrapText="1"/>
    </xf>
    <xf numFmtId="166" fontId="13" fillId="13" borderId="24" xfId="8" applyNumberFormat="1" applyFont="1" applyFill="1" applyBorder="1" applyAlignment="1" applyProtection="1">
      <alignment horizontal="center" vertical="center" wrapText="1"/>
    </xf>
    <xf numFmtId="166" fontId="13" fillId="13" borderId="26" xfId="8" applyNumberFormat="1" applyFont="1" applyFill="1" applyBorder="1" applyAlignment="1" applyProtection="1">
      <alignment horizontal="center" vertical="center" wrapText="1"/>
    </xf>
    <xf numFmtId="0" fontId="26" fillId="10" borderId="21" xfId="7" applyFont="1" applyFill="1" applyBorder="1" applyAlignment="1" applyProtection="1">
      <alignment horizontal="center" vertical="center"/>
    </xf>
    <xf numFmtId="0" fontId="13" fillId="9" borderId="22" xfId="7" applyFont="1" applyFill="1" applyBorder="1" applyAlignment="1" applyProtection="1">
      <alignment horizontal="center" vertical="center" wrapText="1"/>
      <protection locked="0"/>
    </xf>
    <xf numFmtId="0" fontId="13" fillId="9" borderId="25" xfId="7" applyFont="1" applyFill="1" applyBorder="1" applyAlignment="1" applyProtection="1">
      <alignment horizontal="center" vertical="center" wrapText="1"/>
      <protection locked="0"/>
    </xf>
    <xf numFmtId="0" fontId="12" fillId="0" borderId="0" xfId="7" applyFont="1" applyBorder="1" applyAlignment="1" applyProtection="1">
      <alignment horizontal="center"/>
    </xf>
    <xf numFmtId="0" fontId="13" fillId="8" borderId="21" xfId="7" applyFont="1" applyFill="1" applyBorder="1" applyAlignment="1" applyProtection="1">
      <alignment horizontal="center" vertical="center"/>
    </xf>
    <xf numFmtId="0" fontId="13" fillId="8" borderId="21" xfId="7" applyFont="1" applyFill="1" applyBorder="1" applyAlignment="1" applyProtection="1">
      <alignment horizontal="center" vertical="center" wrapText="1"/>
    </xf>
    <xf numFmtId="0" fontId="13" fillId="8" borderId="22" xfId="7" applyFont="1" applyFill="1" applyBorder="1" applyAlignment="1" applyProtection="1">
      <alignment horizontal="center" vertical="center" wrapText="1"/>
    </xf>
    <xf numFmtId="0" fontId="13" fillId="8" borderId="25" xfId="7" applyFont="1" applyFill="1" applyBorder="1" applyAlignment="1" applyProtection="1">
      <alignment horizontal="center" vertical="center" wrapText="1"/>
    </xf>
    <xf numFmtId="0" fontId="13" fillId="8" borderId="23" xfId="7" applyFont="1" applyFill="1" applyBorder="1" applyAlignment="1" applyProtection="1">
      <alignment horizontal="center" vertical="center" wrapText="1"/>
    </xf>
    <xf numFmtId="0" fontId="13" fillId="8" borderId="24" xfId="7" applyFont="1" applyFill="1" applyBorder="1" applyAlignment="1" applyProtection="1">
      <alignment horizontal="center" vertical="center" wrapText="1"/>
    </xf>
    <xf numFmtId="0" fontId="12" fillId="0" borderId="0" xfId="9" applyFont="1" applyAlignment="1">
      <alignment horizontal="center" vertical="center"/>
    </xf>
    <xf numFmtId="0" fontId="13" fillId="3" borderId="6" xfId="9" applyFont="1" applyFill="1" applyBorder="1" applyAlignment="1">
      <alignment horizontal="center" vertical="center"/>
    </xf>
    <xf numFmtId="0" fontId="13" fillId="3" borderId="2" xfId="9" applyFont="1" applyFill="1" applyBorder="1" applyAlignment="1">
      <alignment horizontal="center" vertical="center"/>
    </xf>
    <xf numFmtId="49" fontId="18" fillId="0" borderId="0" xfId="10" applyNumberFormat="1" applyFont="1" applyAlignment="1">
      <alignment horizontal="center" vertical="center" wrapText="1"/>
    </xf>
    <xf numFmtId="0" fontId="10" fillId="4" borderId="5" xfId="1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29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8" fillId="0" borderId="0" xfId="11" applyFont="1" applyAlignment="1">
      <alignment horizontal="center" vertical="center" wrapText="1"/>
    </xf>
    <xf numFmtId="0" fontId="10" fillId="14" borderId="6" xfId="11" applyFont="1" applyFill="1" applyBorder="1" applyAlignment="1">
      <alignment horizontal="center" vertical="center" wrapText="1"/>
    </xf>
    <xf numFmtId="0" fontId="10" fillId="14" borderId="29" xfId="11" applyFont="1" applyFill="1" applyBorder="1" applyAlignment="1">
      <alignment horizontal="center" vertical="center" wrapText="1"/>
    </xf>
    <xf numFmtId="0" fontId="10" fillId="14" borderId="2" xfId="1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7" fillId="9" borderId="5" xfId="7" applyFont="1" applyFill="1" applyBorder="1" applyAlignment="1">
      <alignment horizontal="center" vertical="center"/>
    </xf>
    <xf numFmtId="44" fontId="7" fillId="9" borderId="5" xfId="12" applyFont="1" applyFill="1" applyBorder="1" applyAlignment="1">
      <alignment horizontal="center" vertical="center"/>
    </xf>
    <xf numFmtId="44" fontId="12" fillId="19" borderId="5" xfId="12" applyFont="1" applyFill="1" applyBorder="1" applyAlignment="1">
      <alignment horizontal="center"/>
    </xf>
    <xf numFmtId="0" fontId="26" fillId="0" borderId="0" xfId="7" applyFont="1" applyAlignment="1">
      <alignment horizontal="center" vertical="center" wrapText="1"/>
    </xf>
    <xf numFmtId="0" fontId="7" fillId="7" borderId="18" xfId="7" applyFont="1" applyFill="1" applyBorder="1" applyAlignment="1">
      <alignment horizontal="center" vertical="center" wrapText="1"/>
    </xf>
    <xf numFmtId="0" fontId="7" fillId="7" borderId="19" xfId="7" applyFont="1" applyFill="1" applyBorder="1" applyAlignment="1">
      <alignment horizontal="center" vertical="center" wrapText="1"/>
    </xf>
    <xf numFmtId="0" fontId="7" fillId="7" borderId="20" xfId="7" applyFont="1" applyFill="1" applyBorder="1" applyAlignment="1">
      <alignment horizontal="center" vertical="center" wrapText="1"/>
    </xf>
    <xf numFmtId="0" fontId="12" fillId="0" borderId="0" xfId="7" applyFont="1" applyAlignment="1">
      <alignment horizontal="center" vertical="center" wrapText="1"/>
    </xf>
    <xf numFmtId="0" fontId="7" fillId="7" borderId="8" xfId="7" applyFont="1" applyFill="1" applyBorder="1" applyAlignment="1">
      <alignment horizontal="center" vertical="center" wrapText="1"/>
    </xf>
    <xf numFmtId="0" fontId="7" fillId="7" borderId="13" xfId="7" applyFont="1" applyFill="1" applyBorder="1" applyAlignment="1">
      <alignment horizontal="center" vertical="center" wrapText="1"/>
    </xf>
    <xf numFmtId="0" fontId="7" fillId="7" borderId="9" xfId="7" applyFont="1" applyFill="1" applyBorder="1" applyAlignment="1">
      <alignment horizontal="center" vertical="center" wrapText="1"/>
    </xf>
    <xf numFmtId="0" fontId="7" fillId="7" borderId="0" xfId="7" applyFont="1" applyFill="1" applyBorder="1" applyAlignment="1">
      <alignment horizontal="center" vertical="center" wrapText="1"/>
    </xf>
    <xf numFmtId="0" fontId="7" fillId="7" borderId="10" xfId="7" applyFont="1" applyFill="1" applyBorder="1" applyAlignment="1">
      <alignment horizontal="center" vertical="center" wrapText="1"/>
    </xf>
    <xf numFmtId="0" fontId="7" fillId="7" borderId="11" xfId="7" applyFont="1" applyFill="1" applyBorder="1" applyAlignment="1">
      <alignment horizontal="center" vertical="center" wrapText="1"/>
    </xf>
    <xf numFmtId="0" fontId="7" fillId="7" borderId="12" xfId="7" applyFont="1" applyFill="1" applyBorder="1" applyAlignment="1">
      <alignment horizontal="center" vertical="center" wrapText="1"/>
    </xf>
  </cellXfs>
  <cellStyles count="22">
    <cellStyle name="Dziesiętny 2" xfId="21"/>
    <cellStyle name="Normalny" xfId="0" builtinId="0"/>
    <cellStyle name="Normalny 10" xfId="3"/>
    <cellStyle name="Normalny 11" xfId="20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  <color rgb="FF55F54D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19"/>
  <sheetViews>
    <sheetView tabSelected="1" topLeftCell="A100" zoomScaleNormal="100" workbookViewId="0">
      <selection activeCell="H43" sqref="H43"/>
    </sheetView>
  </sheetViews>
  <sheetFormatPr defaultColWidth="11.6640625" defaultRowHeight="12.75"/>
  <cols>
    <col min="1" max="1" width="5.6640625" style="115" customWidth="1"/>
    <col min="2" max="2" width="6.6640625" style="115" customWidth="1"/>
    <col min="3" max="3" width="9.33203125" style="115" customWidth="1"/>
    <col min="4" max="4" width="7.33203125" style="115" customWidth="1"/>
    <col min="5" max="5" width="85.1640625" style="115" customWidth="1"/>
    <col min="6" max="9" width="14.33203125" style="115" customWidth="1"/>
    <col min="10" max="10" width="15.1640625" style="115" customWidth="1"/>
    <col min="11" max="11" width="31.83203125" style="116" customWidth="1"/>
    <col min="12" max="12" width="6.6640625" style="117" hidden="1" customWidth="1"/>
    <col min="13" max="13" width="14.83203125" style="118" customWidth="1"/>
    <col min="14" max="80" width="11.6640625" style="118"/>
    <col min="81" max="16384" width="11.6640625" style="115"/>
  </cols>
  <sheetData>
    <row r="1" spans="1:80" ht="12" customHeight="1"/>
    <row r="2" spans="1:80" ht="15.75" customHeight="1">
      <c r="A2" s="396" t="s">
        <v>141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</row>
    <row r="3" spans="1:80" ht="15" customHeight="1" thickBo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20"/>
    </row>
    <row r="4" spans="1:80" ht="19.5" customHeight="1" thickBot="1">
      <c r="A4" s="397" t="s">
        <v>53</v>
      </c>
      <c r="B4" s="398" t="s">
        <v>0</v>
      </c>
      <c r="C4" s="398" t="s">
        <v>142</v>
      </c>
      <c r="D4" s="399" t="s">
        <v>143</v>
      </c>
      <c r="E4" s="398" t="s">
        <v>144</v>
      </c>
      <c r="F4" s="398" t="s">
        <v>145</v>
      </c>
      <c r="G4" s="401" t="s">
        <v>146</v>
      </c>
      <c r="H4" s="402"/>
      <c r="I4" s="402"/>
      <c r="J4" s="402"/>
      <c r="K4" s="399" t="s">
        <v>147</v>
      </c>
      <c r="L4" s="394"/>
    </row>
    <row r="5" spans="1:80" ht="95.25" customHeight="1" thickBot="1">
      <c r="A5" s="397"/>
      <c r="B5" s="398"/>
      <c r="C5" s="398"/>
      <c r="D5" s="400"/>
      <c r="E5" s="398"/>
      <c r="F5" s="398"/>
      <c r="G5" s="121" t="s">
        <v>148</v>
      </c>
      <c r="H5" s="121" t="s">
        <v>149</v>
      </c>
      <c r="I5" s="121" t="s">
        <v>150</v>
      </c>
      <c r="J5" s="121" t="s">
        <v>151</v>
      </c>
      <c r="K5" s="400"/>
      <c r="L5" s="395"/>
    </row>
    <row r="6" spans="1:80" s="125" customFormat="1" ht="15" customHeight="1" thickBot="1">
      <c r="A6" s="122" t="s">
        <v>54</v>
      </c>
      <c r="B6" s="122" t="s">
        <v>55</v>
      </c>
      <c r="C6" s="122" t="s">
        <v>56</v>
      </c>
      <c r="D6" s="122" t="s">
        <v>57</v>
      </c>
      <c r="E6" s="123" t="s">
        <v>152</v>
      </c>
      <c r="F6" s="122" t="s">
        <v>153</v>
      </c>
      <c r="G6" s="122" t="s">
        <v>154</v>
      </c>
      <c r="H6" s="122" t="s">
        <v>155</v>
      </c>
      <c r="I6" s="122" t="s">
        <v>156</v>
      </c>
      <c r="J6" s="122" t="s">
        <v>157</v>
      </c>
      <c r="K6" s="122" t="s">
        <v>158</v>
      </c>
      <c r="L6" s="124"/>
    </row>
    <row r="7" spans="1:80" s="131" customFormat="1" ht="32.25" customHeight="1" thickBot="1">
      <c r="A7" s="393" t="s">
        <v>159</v>
      </c>
      <c r="B7" s="393"/>
      <c r="C7" s="393"/>
      <c r="D7" s="393"/>
      <c r="E7" s="393"/>
      <c r="F7" s="126">
        <f>SUM(G7:J7)</f>
        <v>1573833</v>
      </c>
      <c r="G7" s="126">
        <f>SUM(G8:G11)</f>
        <v>441833</v>
      </c>
      <c r="H7" s="126">
        <f t="shared" ref="H7:I7" si="0">SUM(H8:H11)</f>
        <v>0</v>
      </c>
      <c r="I7" s="126">
        <f t="shared" si="0"/>
        <v>0</v>
      </c>
      <c r="J7" s="127">
        <v>1132000</v>
      </c>
      <c r="K7" s="128"/>
      <c r="L7" s="129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</row>
    <row r="8" spans="1:80" s="130" customFormat="1" ht="52.5" customHeight="1" thickBot="1">
      <c r="A8" s="134" t="s">
        <v>54</v>
      </c>
      <c r="B8" s="135">
        <v>600</v>
      </c>
      <c r="C8" s="135">
        <v>60014</v>
      </c>
      <c r="D8" s="135">
        <v>6050</v>
      </c>
      <c r="E8" s="248" t="s">
        <v>160</v>
      </c>
      <c r="F8" s="137">
        <f>100000+14083-50000-49083</f>
        <v>15000</v>
      </c>
      <c r="G8" s="138">
        <f>50000+14083-49083</f>
        <v>15000</v>
      </c>
      <c r="H8" s="138"/>
      <c r="I8" s="139"/>
      <c r="J8" s="140" t="s">
        <v>161</v>
      </c>
      <c r="K8" s="141"/>
      <c r="L8" s="132"/>
    </row>
    <row r="9" spans="1:80" s="221" customFormat="1" ht="33.75" customHeight="1" thickBot="1">
      <c r="A9" s="306" t="s">
        <v>55</v>
      </c>
      <c r="B9" s="307">
        <v>600</v>
      </c>
      <c r="C9" s="307">
        <v>60014</v>
      </c>
      <c r="D9" s="307">
        <v>6050</v>
      </c>
      <c r="E9" s="308" t="s">
        <v>162</v>
      </c>
      <c r="F9" s="309">
        <f>G9+1132000</f>
        <v>1466333</v>
      </c>
      <c r="G9" s="310">
        <f>250000+158000-80667+7000</f>
        <v>334333</v>
      </c>
      <c r="H9" s="310"/>
      <c r="I9" s="311"/>
      <c r="J9" s="312" t="s">
        <v>163</v>
      </c>
      <c r="K9" s="313" t="s">
        <v>164</v>
      </c>
      <c r="L9" s="189" t="s">
        <v>165</v>
      </c>
    </row>
    <row r="10" spans="1:80" s="130" customFormat="1" ht="42" customHeight="1" thickBot="1">
      <c r="A10" s="134" t="s">
        <v>56</v>
      </c>
      <c r="B10" s="135">
        <v>600</v>
      </c>
      <c r="C10" s="135">
        <v>60014</v>
      </c>
      <c r="D10" s="135">
        <v>6050</v>
      </c>
      <c r="E10" s="136" t="s">
        <v>166</v>
      </c>
      <c r="F10" s="137">
        <f>G10</f>
        <v>50000</v>
      </c>
      <c r="G10" s="138">
        <v>50000</v>
      </c>
      <c r="H10" s="138"/>
      <c r="I10" s="139"/>
      <c r="J10" s="140"/>
      <c r="K10" s="141" t="s">
        <v>167</v>
      </c>
      <c r="L10" s="133" t="s">
        <v>165</v>
      </c>
    </row>
    <row r="11" spans="1:80" s="130" customFormat="1" ht="42" customHeight="1" thickBot="1">
      <c r="A11" s="134" t="s">
        <v>57</v>
      </c>
      <c r="B11" s="135">
        <v>600</v>
      </c>
      <c r="C11" s="135">
        <v>60014</v>
      </c>
      <c r="D11" s="135">
        <v>6050</v>
      </c>
      <c r="E11" s="142" t="s">
        <v>168</v>
      </c>
      <c r="F11" s="137">
        <f>G11</f>
        <v>42500</v>
      </c>
      <c r="G11" s="138">
        <f>50000-7500</f>
        <v>42500</v>
      </c>
      <c r="H11" s="138"/>
      <c r="I11" s="139"/>
      <c r="J11" s="140"/>
      <c r="K11" s="141"/>
      <c r="L11" s="132"/>
    </row>
    <row r="12" spans="1:80" s="131" customFormat="1" ht="32.25" customHeight="1" thickBot="1">
      <c r="A12" s="393" t="s">
        <v>169</v>
      </c>
      <c r="B12" s="393"/>
      <c r="C12" s="393"/>
      <c r="D12" s="393"/>
      <c r="E12" s="393"/>
      <c r="F12" s="126">
        <f>SUM(G12:J12)</f>
        <v>798000</v>
      </c>
      <c r="G12" s="126">
        <f>SUM(G13:G20)</f>
        <v>623000</v>
      </c>
      <c r="H12" s="143"/>
      <c r="I12" s="144"/>
      <c r="J12" s="127">
        <v>175000</v>
      </c>
      <c r="K12" s="128"/>
      <c r="L12" s="145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</row>
    <row r="13" spans="1:80" s="151" customFormat="1" ht="35.25" customHeight="1" thickBot="1">
      <c r="A13" s="134" t="s">
        <v>152</v>
      </c>
      <c r="B13" s="135">
        <v>600</v>
      </c>
      <c r="C13" s="135">
        <v>60014</v>
      </c>
      <c r="D13" s="135">
        <v>6050</v>
      </c>
      <c r="E13" s="142" t="s">
        <v>170</v>
      </c>
      <c r="F13" s="137">
        <f>SUM(G13:I13)</f>
        <v>0</v>
      </c>
      <c r="G13" s="138">
        <v>0</v>
      </c>
      <c r="H13" s="146"/>
      <c r="I13" s="147"/>
      <c r="J13" s="148"/>
      <c r="K13" s="149"/>
      <c r="L13" s="150"/>
    </row>
    <row r="14" spans="1:80" s="151" customFormat="1" ht="30" customHeight="1" thickBot="1">
      <c r="A14" s="306" t="s">
        <v>153</v>
      </c>
      <c r="B14" s="307">
        <v>600</v>
      </c>
      <c r="C14" s="307">
        <v>60014</v>
      </c>
      <c r="D14" s="307">
        <v>6050</v>
      </c>
      <c r="E14" s="314" t="s">
        <v>171</v>
      </c>
      <c r="F14" s="309">
        <f>SUM(G14:I14)</f>
        <v>93000</v>
      </c>
      <c r="G14" s="310">
        <f>100000-7000</f>
        <v>93000</v>
      </c>
      <c r="H14" s="315"/>
      <c r="I14" s="316"/>
      <c r="J14" s="317"/>
      <c r="K14" s="318"/>
      <c r="L14" s="133" t="s">
        <v>165</v>
      </c>
    </row>
    <row r="15" spans="1:80" s="151" customFormat="1" ht="30" customHeight="1" thickBot="1">
      <c r="A15" s="306" t="s">
        <v>154</v>
      </c>
      <c r="B15" s="307">
        <v>600</v>
      </c>
      <c r="C15" s="307">
        <v>60014</v>
      </c>
      <c r="D15" s="307">
        <v>6050</v>
      </c>
      <c r="E15" s="314" t="s">
        <v>172</v>
      </c>
      <c r="F15" s="309">
        <f>SUM(G15:I15)</f>
        <v>142000</v>
      </c>
      <c r="G15" s="310">
        <f>150000-8000</f>
        <v>142000</v>
      </c>
      <c r="H15" s="315"/>
      <c r="I15" s="316"/>
      <c r="J15" s="317"/>
      <c r="K15" s="318"/>
      <c r="L15" s="150"/>
    </row>
    <row r="16" spans="1:80" s="151" customFormat="1" ht="30" customHeight="1" thickBot="1">
      <c r="A16" s="134" t="s">
        <v>155</v>
      </c>
      <c r="B16" s="135">
        <v>600</v>
      </c>
      <c r="C16" s="135">
        <v>60014</v>
      </c>
      <c r="D16" s="135">
        <v>6050</v>
      </c>
      <c r="E16" s="142" t="s">
        <v>173</v>
      </c>
      <c r="F16" s="137">
        <f>SUM(G16:I16)</f>
        <v>200000</v>
      </c>
      <c r="G16" s="138">
        <v>200000</v>
      </c>
      <c r="H16" s="146"/>
      <c r="I16" s="147"/>
      <c r="J16" s="152"/>
      <c r="K16" s="149"/>
      <c r="L16" s="150"/>
    </row>
    <row r="17" spans="1:12" s="151" customFormat="1" ht="37.9" customHeight="1" thickBot="1">
      <c r="A17" s="153" t="s">
        <v>156</v>
      </c>
      <c r="B17" s="135">
        <v>600</v>
      </c>
      <c r="C17" s="135">
        <v>60014</v>
      </c>
      <c r="D17" s="135">
        <v>6050</v>
      </c>
      <c r="E17" s="136" t="s">
        <v>174</v>
      </c>
      <c r="F17" s="137">
        <v>0</v>
      </c>
      <c r="G17" s="138">
        <v>0</v>
      </c>
      <c r="H17" s="146"/>
      <c r="I17" s="147"/>
      <c r="J17" s="140" t="s">
        <v>161</v>
      </c>
      <c r="K17" s="149"/>
      <c r="L17" s="150"/>
    </row>
    <row r="18" spans="1:12" s="151" customFormat="1" ht="33.6" customHeight="1" thickBot="1">
      <c r="A18" s="153" t="s">
        <v>157</v>
      </c>
      <c r="B18" s="135">
        <v>600</v>
      </c>
      <c r="C18" s="135">
        <v>60014</v>
      </c>
      <c r="D18" s="135">
        <v>6050</v>
      </c>
      <c r="E18" s="136" t="s">
        <v>175</v>
      </c>
      <c r="F18" s="137">
        <f>G18</f>
        <v>30000</v>
      </c>
      <c r="G18" s="138">
        <v>30000</v>
      </c>
      <c r="H18" s="146"/>
      <c r="I18" s="147"/>
      <c r="J18" s="152"/>
      <c r="K18" s="149"/>
      <c r="L18" s="150"/>
    </row>
    <row r="19" spans="1:12" s="151" customFormat="1" ht="32.450000000000003" customHeight="1" thickBot="1">
      <c r="A19" s="153" t="s">
        <v>158</v>
      </c>
      <c r="B19" s="135">
        <v>600</v>
      </c>
      <c r="C19" s="135">
        <v>60014</v>
      </c>
      <c r="D19" s="135">
        <v>6050</v>
      </c>
      <c r="E19" s="136" t="s">
        <v>176</v>
      </c>
      <c r="F19" s="137">
        <f>G19</f>
        <v>63000</v>
      </c>
      <c r="G19" s="138">
        <f>40000+23000</f>
        <v>63000</v>
      </c>
      <c r="H19" s="146"/>
      <c r="I19" s="147"/>
      <c r="J19" s="152"/>
      <c r="K19" s="149"/>
      <c r="L19" s="150"/>
    </row>
    <row r="20" spans="1:12" s="151" customFormat="1" ht="50.25" customHeight="1" thickBot="1">
      <c r="A20" s="153" t="s">
        <v>177</v>
      </c>
      <c r="B20" s="135">
        <v>600</v>
      </c>
      <c r="C20" s="135">
        <v>60014</v>
      </c>
      <c r="D20" s="135">
        <v>6050</v>
      </c>
      <c r="E20" s="136" t="s">
        <v>178</v>
      </c>
      <c r="F20" s="137">
        <f>250000+50000-30000</f>
        <v>270000</v>
      </c>
      <c r="G20" s="138">
        <f>100000+25000-30000</f>
        <v>95000</v>
      </c>
      <c r="H20" s="146"/>
      <c r="I20" s="147"/>
      <c r="J20" s="140" t="s">
        <v>179</v>
      </c>
      <c r="K20" s="149"/>
      <c r="L20" s="150"/>
    </row>
    <row r="21" spans="1:12" s="159" customFormat="1" ht="27" customHeight="1" thickBot="1">
      <c r="A21" s="393" t="s">
        <v>180</v>
      </c>
      <c r="B21" s="393"/>
      <c r="C21" s="393"/>
      <c r="D21" s="393"/>
      <c r="E21" s="393"/>
      <c r="F21" s="126">
        <f>SUM(G21:J21)</f>
        <v>3805068</v>
      </c>
      <c r="G21" s="126">
        <f>SUM(G22:G31)</f>
        <v>730068</v>
      </c>
      <c r="H21" s="154"/>
      <c r="I21" s="155"/>
      <c r="J21" s="156">
        <f>1419000-70000+7500-849000+2544000+23500</f>
        <v>3075000</v>
      </c>
      <c r="K21" s="157"/>
      <c r="L21" s="158"/>
    </row>
    <row r="22" spans="1:12" s="151" customFormat="1" ht="42" customHeight="1" thickBot="1">
      <c r="A22" s="134" t="s">
        <v>181</v>
      </c>
      <c r="B22" s="135">
        <v>600</v>
      </c>
      <c r="C22" s="135">
        <v>60014</v>
      </c>
      <c r="D22" s="135">
        <v>6050</v>
      </c>
      <c r="E22" s="136" t="s">
        <v>182</v>
      </c>
      <c r="F22" s="137">
        <v>500000</v>
      </c>
      <c r="G22" s="138">
        <f>902000-451000-451000</f>
        <v>0</v>
      </c>
      <c r="H22" s="146"/>
      <c r="I22" s="147"/>
      <c r="J22" s="140" t="s">
        <v>183</v>
      </c>
      <c r="K22" s="149"/>
      <c r="L22" s="133" t="s">
        <v>165</v>
      </c>
    </row>
    <row r="23" spans="1:12" s="130" customFormat="1" ht="30" customHeight="1" thickBot="1">
      <c r="A23" s="134" t="s">
        <v>184</v>
      </c>
      <c r="B23" s="135">
        <v>600</v>
      </c>
      <c r="C23" s="135">
        <v>60014</v>
      </c>
      <c r="D23" s="135">
        <v>6050</v>
      </c>
      <c r="E23" s="142" t="s">
        <v>185</v>
      </c>
      <c r="F23" s="137">
        <f t="shared" ref="F23:F28" si="1">SUM(G23:H23)</f>
        <v>0</v>
      </c>
      <c r="G23" s="138">
        <f>400000-400000</f>
        <v>0</v>
      </c>
      <c r="H23" s="138"/>
      <c r="I23" s="139"/>
      <c r="J23" s="140"/>
      <c r="K23" s="141"/>
      <c r="L23" s="133" t="s">
        <v>165</v>
      </c>
    </row>
    <row r="24" spans="1:12" s="151" customFormat="1" ht="34.5" customHeight="1" thickBot="1">
      <c r="A24" s="134" t="s">
        <v>186</v>
      </c>
      <c r="B24" s="135">
        <v>600</v>
      </c>
      <c r="C24" s="135">
        <v>60014</v>
      </c>
      <c r="D24" s="135">
        <v>6050</v>
      </c>
      <c r="E24" s="136" t="s">
        <v>187</v>
      </c>
      <c r="F24" s="137">
        <f t="shared" si="1"/>
        <v>132000</v>
      </c>
      <c r="G24" s="138">
        <f>80000+52000</f>
        <v>132000</v>
      </c>
      <c r="H24" s="138"/>
      <c r="I24" s="139"/>
      <c r="J24" s="140" t="s">
        <v>188</v>
      </c>
      <c r="K24" s="141"/>
      <c r="L24" s="150"/>
    </row>
    <row r="25" spans="1:12" s="151" customFormat="1" ht="34.5" customHeight="1" thickBot="1">
      <c r="A25" s="134" t="s">
        <v>189</v>
      </c>
      <c r="B25" s="135">
        <v>600</v>
      </c>
      <c r="C25" s="135">
        <v>60014</v>
      </c>
      <c r="D25" s="135">
        <v>6050</v>
      </c>
      <c r="E25" s="136" t="s">
        <v>190</v>
      </c>
      <c r="F25" s="137">
        <f t="shared" si="1"/>
        <v>120000</v>
      </c>
      <c r="G25" s="138">
        <f>150000-30000</f>
        <v>120000</v>
      </c>
      <c r="H25" s="146"/>
      <c r="I25" s="147"/>
      <c r="J25" s="152"/>
      <c r="K25" s="149"/>
      <c r="L25" s="150"/>
    </row>
    <row r="26" spans="1:12" s="151" customFormat="1" ht="44.25" customHeight="1" thickBot="1">
      <c r="A26" s="134" t="s">
        <v>191</v>
      </c>
      <c r="B26" s="135">
        <v>600</v>
      </c>
      <c r="C26" s="135">
        <v>60014</v>
      </c>
      <c r="D26" s="135">
        <v>6050</v>
      </c>
      <c r="E26" s="136" t="s">
        <v>192</v>
      </c>
      <c r="F26" s="138">
        <v>0</v>
      </c>
      <c r="G26" s="138">
        <v>0</v>
      </c>
      <c r="H26" s="146"/>
      <c r="I26" s="147"/>
      <c r="J26" s="140"/>
      <c r="K26" s="149"/>
      <c r="L26" s="132"/>
    </row>
    <row r="27" spans="1:12" s="151" customFormat="1" ht="34.5" customHeight="1" thickBot="1">
      <c r="A27" s="134" t="s">
        <v>193</v>
      </c>
      <c r="B27" s="135">
        <v>600</v>
      </c>
      <c r="C27" s="135">
        <v>60014</v>
      </c>
      <c r="D27" s="135">
        <v>6050</v>
      </c>
      <c r="E27" s="136" t="s">
        <v>194</v>
      </c>
      <c r="F27" s="138">
        <f t="shared" si="1"/>
        <v>15068</v>
      </c>
      <c r="G27" s="138">
        <v>15068</v>
      </c>
      <c r="H27" s="146"/>
      <c r="I27" s="147"/>
      <c r="J27" s="152"/>
      <c r="K27" s="149"/>
      <c r="L27" s="150"/>
    </row>
    <row r="28" spans="1:12" s="151" customFormat="1" ht="34.5" customHeight="1" thickBot="1">
      <c r="A28" s="134" t="s">
        <v>195</v>
      </c>
      <c r="B28" s="135">
        <v>600</v>
      </c>
      <c r="C28" s="135">
        <v>60014</v>
      </c>
      <c r="D28" s="135">
        <v>6050</v>
      </c>
      <c r="E28" s="136" t="s">
        <v>196</v>
      </c>
      <c r="F28" s="138">
        <f t="shared" si="1"/>
        <v>300000</v>
      </c>
      <c r="G28" s="138">
        <v>300000</v>
      </c>
      <c r="H28" s="146"/>
      <c r="I28" s="147"/>
      <c r="J28" s="152"/>
      <c r="K28" s="149"/>
      <c r="L28" s="150"/>
    </row>
    <row r="29" spans="1:12" s="151" customFormat="1" ht="62.25" customHeight="1" thickBot="1">
      <c r="A29" s="134" t="s">
        <v>197</v>
      </c>
      <c r="B29" s="135">
        <v>600</v>
      </c>
      <c r="C29" s="135">
        <v>60014</v>
      </c>
      <c r="D29" s="135">
        <v>6050</v>
      </c>
      <c r="E29" s="136" t="s">
        <v>198</v>
      </c>
      <c r="F29" s="138">
        <f>12500+23500</f>
        <v>36000</v>
      </c>
      <c r="G29" s="138">
        <v>5000</v>
      </c>
      <c r="H29" s="146"/>
      <c r="I29" s="147"/>
      <c r="J29" s="140" t="s">
        <v>199</v>
      </c>
      <c r="K29" s="141" t="s">
        <v>200</v>
      </c>
      <c r="L29" s="150"/>
    </row>
    <row r="30" spans="1:12" s="151" customFormat="1" ht="40.5" customHeight="1" thickBot="1">
      <c r="A30" s="134" t="s">
        <v>201</v>
      </c>
      <c r="B30" s="135">
        <v>600</v>
      </c>
      <c r="C30" s="135">
        <v>60014</v>
      </c>
      <c r="D30" s="135">
        <v>6050</v>
      </c>
      <c r="E30" s="249" t="s">
        <v>202</v>
      </c>
      <c r="F30" s="138">
        <f>3244000-550000</f>
        <v>2694000</v>
      </c>
      <c r="G30" s="138">
        <f>700000-550000</f>
        <v>150000</v>
      </c>
      <c r="H30" s="146"/>
      <c r="I30" s="147"/>
      <c r="J30" s="140" t="s">
        <v>203</v>
      </c>
      <c r="K30" s="141"/>
      <c r="L30" s="133" t="s">
        <v>165</v>
      </c>
    </row>
    <row r="31" spans="1:12" s="151" customFormat="1" ht="40.5" customHeight="1" thickBot="1">
      <c r="A31" s="379" t="s">
        <v>205</v>
      </c>
      <c r="B31" s="307">
        <v>600</v>
      </c>
      <c r="C31" s="307">
        <v>60014</v>
      </c>
      <c r="D31" s="307">
        <v>6050</v>
      </c>
      <c r="E31" s="380" t="s">
        <v>394</v>
      </c>
      <c r="F31" s="381">
        <f>G31</f>
        <v>8000</v>
      </c>
      <c r="G31" s="381">
        <v>8000</v>
      </c>
      <c r="H31" s="382"/>
      <c r="I31" s="383"/>
      <c r="J31" s="384"/>
      <c r="K31" s="385"/>
      <c r="L31" s="386"/>
    </row>
    <row r="32" spans="1:12" s="159" customFormat="1" ht="27.75" customHeight="1" thickBot="1">
      <c r="A32" s="393" t="s">
        <v>204</v>
      </c>
      <c r="B32" s="393"/>
      <c r="C32" s="393"/>
      <c r="D32" s="393"/>
      <c r="E32" s="393"/>
      <c r="F32" s="126">
        <f>SUM(G32:J32)</f>
        <v>3295339</v>
      </c>
      <c r="G32" s="126">
        <f>SUM(G33:G43)</f>
        <v>1188339</v>
      </c>
      <c r="H32" s="154"/>
      <c r="I32" s="155"/>
      <c r="J32" s="156">
        <f>300000-150000-100000+80000+949000+1028000</f>
        <v>2107000</v>
      </c>
      <c r="K32" s="157"/>
      <c r="L32" s="158"/>
    </row>
    <row r="33" spans="1:80" s="151" customFormat="1" ht="34.5" customHeight="1" thickBot="1">
      <c r="A33" s="134" t="s">
        <v>207</v>
      </c>
      <c r="B33" s="135">
        <v>600</v>
      </c>
      <c r="C33" s="135">
        <v>60014</v>
      </c>
      <c r="D33" s="135">
        <v>6050</v>
      </c>
      <c r="E33" s="160" t="s">
        <v>206</v>
      </c>
      <c r="F33" s="137">
        <f>SUM(G33:H33)</f>
        <v>150000</v>
      </c>
      <c r="G33" s="138">
        <v>150000</v>
      </c>
      <c r="H33" s="161"/>
      <c r="I33" s="162"/>
      <c r="J33" s="163"/>
      <c r="K33" s="164"/>
      <c r="L33" s="133" t="s">
        <v>165</v>
      </c>
    </row>
    <row r="34" spans="1:80" s="151" customFormat="1" ht="34.5" customHeight="1" thickBot="1">
      <c r="A34" s="134" t="s">
        <v>210</v>
      </c>
      <c r="B34" s="135">
        <v>600</v>
      </c>
      <c r="C34" s="135">
        <v>60014</v>
      </c>
      <c r="D34" s="135">
        <v>6050</v>
      </c>
      <c r="E34" s="142" t="s">
        <v>208</v>
      </c>
      <c r="F34" s="137">
        <f>G34+1028000</f>
        <v>1416870</v>
      </c>
      <c r="G34" s="138">
        <f>150000+242000-3130</f>
        <v>388870</v>
      </c>
      <c r="H34" s="138"/>
      <c r="I34" s="139"/>
      <c r="J34" s="140" t="s">
        <v>209</v>
      </c>
      <c r="K34" s="141"/>
      <c r="L34" s="132" t="s">
        <v>165</v>
      </c>
    </row>
    <row r="35" spans="1:80" s="130" customFormat="1" ht="48.75" customHeight="1" thickBot="1">
      <c r="A35" s="134" t="s">
        <v>212</v>
      </c>
      <c r="B35" s="135">
        <v>600</v>
      </c>
      <c r="C35" s="135">
        <v>60014</v>
      </c>
      <c r="D35" s="135">
        <v>6050</v>
      </c>
      <c r="E35" s="160" t="s">
        <v>211</v>
      </c>
      <c r="F35" s="137">
        <f>SUM(G35:H35)</f>
        <v>286000</v>
      </c>
      <c r="G35" s="138">
        <f>200000+86000</f>
        <v>286000</v>
      </c>
      <c r="H35" s="138"/>
      <c r="I35" s="139"/>
      <c r="J35" s="140"/>
      <c r="K35" s="141"/>
      <c r="L35" s="132"/>
    </row>
    <row r="36" spans="1:80" s="130" customFormat="1" ht="33.75" customHeight="1" thickBot="1">
      <c r="A36" s="134" t="s">
        <v>215</v>
      </c>
      <c r="B36" s="135">
        <v>600</v>
      </c>
      <c r="C36" s="135">
        <v>60014</v>
      </c>
      <c r="D36" s="135">
        <v>6050</v>
      </c>
      <c r="E36" s="160" t="s">
        <v>213</v>
      </c>
      <c r="F36" s="137">
        <v>116266</v>
      </c>
      <c r="G36" s="138">
        <f>50000+16266</f>
        <v>66266</v>
      </c>
      <c r="H36" s="138"/>
      <c r="I36" s="139"/>
      <c r="J36" s="140" t="s">
        <v>214</v>
      </c>
      <c r="K36" s="149"/>
      <c r="L36" s="133" t="s">
        <v>165</v>
      </c>
    </row>
    <row r="37" spans="1:80" s="130" customFormat="1" ht="54.75" customHeight="1" thickBot="1">
      <c r="A37" s="134" t="s">
        <v>217</v>
      </c>
      <c r="B37" s="153">
        <v>600</v>
      </c>
      <c r="C37" s="165">
        <v>60014</v>
      </c>
      <c r="D37" s="165">
        <v>6050</v>
      </c>
      <c r="E37" s="166" t="s">
        <v>216</v>
      </c>
      <c r="F37" s="137">
        <v>0</v>
      </c>
      <c r="G37" s="138">
        <v>0</v>
      </c>
      <c r="H37" s="138"/>
      <c r="I37" s="139"/>
      <c r="J37" s="140" t="s">
        <v>161</v>
      </c>
      <c r="K37" s="149"/>
      <c r="L37" s="132"/>
    </row>
    <row r="38" spans="1:80" s="130" customFormat="1" ht="39" customHeight="1" thickBot="1">
      <c r="A38" s="134" t="s">
        <v>219</v>
      </c>
      <c r="B38" s="153">
        <v>600</v>
      </c>
      <c r="C38" s="153">
        <v>60014</v>
      </c>
      <c r="D38" s="165">
        <v>6050</v>
      </c>
      <c r="E38" s="136" t="s">
        <v>218</v>
      </c>
      <c r="F38" s="137">
        <f>G38</f>
        <v>45203</v>
      </c>
      <c r="G38" s="138">
        <v>45203</v>
      </c>
      <c r="H38" s="138"/>
      <c r="I38" s="139"/>
      <c r="J38" s="140"/>
      <c r="K38" s="149"/>
      <c r="L38" s="132"/>
    </row>
    <row r="39" spans="1:80" s="130" customFormat="1" ht="39.75" customHeight="1" thickBot="1">
      <c r="A39" s="134" t="s">
        <v>222</v>
      </c>
      <c r="B39" s="153">
        <v>600</v>
      </c>
      <c r="C39" s="153">
        <v>60014</v>
      </c>
      <c r="D39" s="165">
        <v>6050</v>
      </c>
      <c r="E39" s="136" t="s">
        <v>220</v>
      </c>
      <c r="F39" s="137">
        <v>0</v>
      </c>
      <c r="G39" s="138">
        <v>0</v>
      </c>
      <c r="H39" s="138"/>
      <c r="I39" s="139"/>
      <c r="J39" s="140" t="s">
        <v>221</v>
      </c>
      <c r="K39" s="149"/>
      <c r="L39" s="132"/>
    </row>
    <row r="40" spans="1:80" s="130" customFormat="1" ht="42" customHeight="1" thickBot="1">
      <c r="A40" s="134" t="s">
        <v>225</v>
      </c>
      <c r="B40" s="153">
        <v>600</v>
      </c>
      <c r="C40" s="153">
        <v>60014</v>
      </c>
      <c r="D40" s="165">
        <v>6050</v>
      </c>
      <c r="E40" s="167" t="s">
        <v>223</v>
      </c>
      <c r="F40" s="137">
        <v>90000</v>
      </c>
      <c r="G40" s="138">
        <v>50000</v>
      </c>
      <c r="H40" s="138"/>
      <c r="I40" s="139"/>
      <c r="J40" s="140" t="s">
        <v>224</v>
      </c>
      <c r="K40" s="149"/>
      <c r="L40" s="133" t="s">
        <v>165</v>
      </c>
    </row>
    <row r="41" spans="1:80" s="130" customFormat="1" ht="41.25" customHeight="1" thickBot="1">
      <c r="A41" s="134" t="s">
        <v>227</v>
      </c>
      <c r="B41" s="153">
        <v>600</v>
      </c>
      <c r="C41" s="153">
        <v>60014</v>
      </c>
      <c r="D41" s="165">
        <v>6050</v>
      </c>
      <c r="E41" s="168" t="s">
        <v>226</v>
      </c>
      <c r="F41" s="137">
        <v>90000</v>
      </c>
      <c r="G41" s="138">
        <v>50000</v>
      </c>
      <c r="H41" s="138"/>
      <c r="I41" s="139"/>
      <c r="J41" s="140" t="s">
        <v>224</v>
      </c>
      <c r="K41" s="149"/>
      <c r="L41" s="133" t="s">
        <v>165</v>
      </c>
    </row>
    <row r="42" spans="1:80" s="130" customFormat="1" ht="33.75" customHeight="1" thickBot="1">
      <c r="A42" s="134" t="s">
        <v>229</v>
      </c>
      <c r="B42" s="153">
        <v>600</v>
      </c>
      <c r="C42" s="153">
        <v>60014</v>
      </c>
      <c r="D42" s="165">
        <v>6050</v>
      </c>
      <c r="E42" s="169" t="s">
        <v>228</v>
      </c>
      <c r="F42" s="137">
        <f>G42</f>
        <v>150000</v>
      </c>
      <c r="G42" s="138">
        <v>150000</v>
      </c>
      <c r="H42" s="138"/>
      <c r="I42" s="139"/>
      <c r="J42" s="140"/>
      <c r="K42" s="149"/>
      <c r="L42" s="170"/>
    </row>
    <row r="43" spans="1:80" s="130" customFormat="1" ht="41.25" customHeight="1" thickBot="1">
      <c r="A43" s="134" t="s">
        <v>233</v>
      </c>
      <c r="B43" s="153">
        <v>600</v>
      </c>
      <c r="C43" s="153">
        <v>60014</v>
      </c>
      <c r="D43" s="165">
        <v>6050</v>
      </c>
      <c r="E43" s="166" t="s">
        <v>230</v>
      </c>
      <c r="F43" s="137">
        <f>949000+G43</f>
        <v>951000</v>
      </c>
      <c r="G43" s="138">
        <v>2000</v>
      </c>
      <c r="H43" s="138"/>
      <c r="I43" s="139"/>
      <c r="J43" s="140" t="s">
        <v>231</v>
      </c>
      <c r="K43" s="149"/>
      <c r="L43" s="132" t="s">
        <v>165</v>
      </c>
    </row>
    <row r="44" spans="1:80" s="173" customFormat="1" ht="27" customHeight="1" thickBot="1">
      <c r="A44" s="393" t="s">
        <v>232</v>
      </c>
      <c r="B44" s="393"/>
      <c r="C44" s="393"/>
      <c r="D44" s="393"/>
      <c r="E44" s="393"/>
      <c r="F44" s="126">
        <f>SUM(G44:J44)</f>
        <v>800000</v>
      </c>
      <c r="G44" s="126">
        <f>SUM(G45:G50)</f>
        <v>700000</v>
      </c>
      <c r="H44" s="154"/>
      <c r="I44" s="155"/>
      <c r="J44" s="156">
        <v>100000</v>
      </c>
      <c r="K44" s="171"/>
      <c r="L44" s="172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</row>
    <row r="45" spans="1:80" s="174" customFormat="1" ht="30" customHeight="1" thickBot="1">
      <c r="A45" s="134" t="s">
        <v>235</v>
      </c>
      <c r="B45" s="135">
        <v>600</v>
      </c>
      <c r="C45" s="135">
        <v>60014</v>
      </c>
      <c r="D45" s="135">
        <v>6050</v>
      </c>
      <c r="E45" s="142" t="s">
        <v>234</v>
      </c>
      <c r="F45" s="137">
        <v>150000</v>
      </c>
      <c r="G45" s="138">
        <v>100000</v>
      </c>
      <c r="H45" s="138"/>
      <c r="I45" s="139"/>
      <c r="J45" s="140" t="s">
        <v>214</v>
      </c>
      <c r="K45" s="149"/>
      <c r="L45" s="133" t="s">
        <v>165</v>
      </c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</row>
    <row r="46" spans="1:80" s="174" customFormat="1" ht="30" customHeight="1" thickBot="1">
      <c r="A46" s="134" t="s">
        <v>237</v>
      </c>
      <c r="B46" s="135">
        <v>600</v>
      </c>
      <c r="C46" s="135">
        <v>60014</v>
      </c>
      <c r="D46" s="135">
        <v>6050</v>
      </c>
      <c r="E46" s="142" t="s">
        <v>236</v>
      </c>
      <c r="F46" s="137">
        <v>200000</v>
      </c>
      <c r="G46" s="138">
        <v>150000</v>
      </c>
      <c r="H46" s="138"/>
      <c r="I46" s="139"/>
      <c r="J46" s="140" t="s">
        <v>214</v>
      </c>
      <c r="K46" s="149"/>
      <c r="L46" s="133" t="s">
        <v>165</v>
      </c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51"/>
    </row>
    <row r="47" spans="1:80" s="174" customFormat="1" ht="30" customHeight="1" thickBot="1">
      <c r="A47" s="134" t="s">
        <v>239</v>
      </c>
      <c r="B47" s="135">
        <v>600</v>
      </c>
      <c r="C47" s="135">
        <v>60014</v>
      </c>
      <c r="D47" s="135">
        <v>6050</v>
      </c>
      <c r="E47" s="160" t="s">
        <v>238</v>
      </c>
      <c r="F47" s="137">
        <f>SUM(G47)</f>
        <v>150000</v>
      </c>
      <c r="G47" s="138">
        <v>150000</v>
      </c>
      <c r="H47" s="138"/>
      <c r="I47" s="139"/>
      <c r="J47" s="140"/>
      <c r="K47" s="149"/>
      <c r="L47" s="150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</row>
    <row r="48" spans="1:80" s="174" customFormat="1" ht="35.25" customHeight="1" thickBot="1">
      <c r="A48" s="134" t="s">
        <v>241</v>
      </c>
      <c r="B48" s="135">
        <v>600</v>
      </c>
      <c r="C48" s="135">
        <v>60014</v>
      </c>
      <c r="D48" s="135">
        <v>6050</v>
      </c>
      <c r="E48" s="160" t="s">
        <v>240</v>
      </c>
      <c r="F48" s="137">
        <f>SUM(G48)</f>
        <v>150000</v>
      </c>
      <c r="G48" s="137">
        <v>150000</v>
      </c>
      <c r="H48" s="175"/>
      <c r="I48" s="147"/>
      <c r="J48" s="152"/>
      <c r="K48" s="149"/>
      <c r="L48" s="176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</row>
    <row r="49" spans="1:80" s="151" customFormat="1" ht="30.75" customHeight="1" thickBot="1">
      <c r="A49" s="134" t="s">
        <v>243</v>
      </c>
      <c r="B49" s="135">
        <v>600</v>
      </c>
      <c r="C49" s="135">
        <v>60014</v>
      </c>
      <c r="D49" s="135">
        <v>6050</v>
      </c>
      <c r="E49" s="160" t="s">
        <v>242</v>
      </c>
      <c r="F49" s="137">
        <f>SUM(G49)</f>
        <v>50000</v>
      </c>
      <c r="G49" s="137">
        <v>50000</v>
      </c>
      <c r="H49" s="137"/>
      <c r="I49" s="139"/>
      <c r="J49" s="140"/>
      <c r="K49" s="141"/>
      <c r="L49" s="132"/>
    </row>
    <row r="50" spans="1:80" s="151" customFormat="1" ht="36" customHeight="1" thickBot="1">
      <c r="A50" s="134" t="s">
        <v>246</v>
      </c>
      <c r="B50" s="135">
        <v>600</v>
      </c>
      <c r="C50" s="135">
        <v>60014</v>
      </c>
      <c r="D50" s="135">
        <v>6050</v>
      </c>
      <c r="E50" s="160" t="s">
        <v>244</v>
      </c>
      <c r="F50" s="137">
        <f>SUM(G50)</f>
        <v>100000</v>
      </c>
      <c r="G50" s="137">
        <v>100000</v>
      </c>
      <c r="H50" s="137"/>
      <c r="I50" s="139"/>
      <c r="J50" s="140"/>
      <c r="K50" s="141"/>
      <c r="L50" s="133" t="s">
        <v>165</v>
      </c>
    </row>
    <row r="51" spans="1:80" s="174" customFormat="1" ht="30.75" customHeight="1" thickBot="1">
      <c r="A51" s="393" t="s">
        <v>245</v>
      </c>
      <c r="B51" s="393"/>
      <c r="C51" s="393"/>
      <c r="D51" s="393"/>
      <c r="E51" s="393"/>
      <c r="F51" s="126">
        <f>SUM(G51:J51)</f>
        <v>300000</v>
      </c>
      <c r="G51" s="126">
        <f>SUM(G52:G54)</f>
        <v>300000</v>
      </c>
      <c r="H51" s="177"/>
      <c r="I51" s="155"/>
      <c r="J51" s="156">
        <f>100000-100000</f>
        <v>0</v>
      </c>
      <c r="K51" s="171"/>
      <c r="L51" s="178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1"/>
      <c r="BY51" s="151"/>
      <c r="BZ51" s="151"/>
      <c r="CA51" s="151"/>
      <c r="CB51" s="151"/>
    </row>
    <row r="52" spans="1:80" s="174" customFormat="1" ht="30" customHeight="1" thickBot="1">
      <c r="A52" s="134" t="s">
        <v>248</v>
      </c>
      <c r="B52" s="135">
        <v>600</v>
      </c>
      <c r="C52" s="135">
        <v>60014</v>
      </c>
      <c r="D52" s="135">
        <v>6050</v>
      </c>
      <c r="E52" s="179" t="s">
        <v>247</v>
      </c>
      <c r="F52" s="137">
        <f>G52</f>
        <v>30000</v>
      </c>
      <c r="G52" s="137">
        <v>30000</v>
      </c>
      <c r="H52" s="146"/>
      <c r="I52" s="147"/>
      <c r="J52" s="152"/>
      <c r="K52" s="149"/>
      <c r="L52" s="150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1"/>
      <c r="BU52" s="151"/>
      <c r="BV52" s="151"/>
      <c r="BW52" s="151"/>
      <c r="BX52" s="151"/>
      <c r="BY52" s="151"/>
      <c r="BZ52" s="151"/>
      <c r="CA52" s="151"/>
      <c r="CB52" s="151"/>
    </row>
    <row r="53" spans="1:80" s="151" customFormat="1" ht="31.5" customHeight="1" thickBot="1">
      <c r="A53" s="134" t="s">
        <v>250</v>
      </c>
      <c r="B53" s="135">
        <v>600</v>
      </c>
      <c r="C53" s="135">
        <v>60014</v>
      </c>
      <c r="D53" s="135">
        <v>6050</v>
      </c>
      <c r="E53" s="160" t="s">
        <v>249</v>
      </c>
      <c r="F53" s="137">
        <v>20000</v>
      </c>
      <c r="G53" s="137">
        <v>20000</v>
      </c>
      <c r="H53" s="175"/>
      <c r="I53" s="147"/>
      <c r="J53" s="140" t="s">
        <v>221</v>
      </c>
      <c r="K53" s="141" t="s">
        <v>167</v>
      </c>
      <c r="L53" s="133" t="s">
        <v>165</v>
      </c>
    </row>
    <row r="54" spans="1:80" s="151" customFormat="1" ht="30" customHeight="1" thickBot="1">
      <c r="A54" s="134" t="s">
        <v>253</v>
      </c>
      <c r="B54" s="135">
        <v>600</v>
      </c>
      <c r="C54" s="135">
        <v>60014</v>
      </c>
      <c r="D54" s="135">
        <v>6050</v>
      </c>
      <c r="E54" s="160" t="s">
        <v>251</v>
      </c>
      <c r="F54" s="137">
        <f>G54</f>
        <v>250000</v>
      </c>
      <c r="G54" s="137">
        <v>250000</v>
      </c>
      <c r="H54" s="175"/>
      <c r="I54" s="147"/>
      <c r="J54" s="140" t="s">
        <v>161</v>
      </c>
      <c r="K54" s="149"/>
      <c r="L54" s="133" t="s">
        <v>165</v>
      </c>
    </row>
    <row r="55" spans="1:80" s="174" customFormat="1" ht="32.25" customHeight="1" thickBot="1">
      <c r="A55" s="393" t="s">
        <v>252</v>
      </c>
      <c r="B55" s="393"/>
      <c r="C55" s="393"/>
      <c r="D55" s="393"/>
      <c r="E55" s="393"/>
      <c r="F55" s="126">
        <f>SUM(G55:J55)</f>
        <v>701044</v>
      </c>
      <c r="G55" s="126">
        <f>SUM(G56:G58)</f>
        <v>301044</v>
      </c>
      <c r="H55" s="177"/>
      <c r="I55" s="155"/>
      <c r="J55" s="156">
        <v>400000</v>
      </c>
      <c r="K55" s="180"/>
      <c r="L55" s="18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</row>
    <row r="56" spans="1:80" s="151" customFormat="1" ht="36.75" customHeight="1" thickBot="1">
      <c r="A56" s="134" t="s">
        <v>256</v>
      </c>
      <c r="B56" s="135">
        <v>600</v>
      </c>
      <c r="C56" s="135">
        <v>60014</v>
      </c>
      <c r="D56" s="135">
        <v>6050</v>
      </c>
      <c r="E56" s="142" t="s">
        <v>254</v>
      </c>
      <c r="F56" s="137">
        <f>300000+50000</f>
        <v>350000</v>
      </c>
      <c r="G56" s="138">
        <f>100000+50000</f>
        <v>150000</v>
      </c>
      <c r="H56" s="138"/>
      <c r="I56" s="139"/>
      <c r="J56" s="140" t="s">
        <v>255</v>
      </c>
      <c r="K56" s="149"/>
      <c r="L56" s="133" t="s">
        <v>165</v>
      </c>
    </row>
    <row r="57" spans="1:80" s="151" customFormat="1" ht="39" customHeight="1" thickBot="1">
      <c r="A57" s="134" t="s">
        <v>258</v>
      </c>
      <c r="B57" s="135">
        <v>600</v>
      </c>
      <c r="C57" s="135">
        <v>60014</v>
      </c>
      <c r="D57" s="135">
        <v>6050</v>
      </c>
      <c r="E57" s="142" t="s">
        <v>257</v>
      </c>
      <c r="F57" s="137">
        <f>300000+50000</f>
        <v>350000</v>
      </c>
      <c r="G57" s="138">
        <f>100000+50000</f>
        <v>150000</v>
      </c>
      <c r="H57" s="138"/>
      <c r="I57" s="139"/>
      <c r="J57" s="140" t="s">
        <v>255</v>
      </c>
      <c r="K57" s="149"/>
      <c r="L57" s="133" t="s">
        <v>165</v>
      </c>
    </row>
    <row r="58" spans="1:80" s="151" customFormat="1" ht="39" customHeight="1" thickBot="1">
      <c r="A58" s="134" t="s">
        <v>261</v>
      </c>
      <c r="B58" s="135">
        <v>600</v>
      </c>
      <c r="C58" s="135">
        <v>60014</v>
      </c>
      <c r="D58" s="135">
        <v>6050</v>
      </c>
      <c r="E58" s="136" t="s">
        <v>259</v>
      </c>
      <c r="F58" s="137">
        <f>G58</f>
        <v>1044</v>
      </c>
      <c r="G58" s="138">
        <f>200000-198956</f>
        <v>1044</v>
      </c>
      <c r="H58" s="138"/>
      <c r="I58" s="139"/>
      <c r="J58" s="140"/>
      <c r="K58" s="149"/>
      <c r="L58" s="132" t="s">
        <v>165</v>
      </c>
    </row>
    <row r="59" spans="1:80" s="151" customFormat="1" ht="33" customHeight="1" thickBot="1">
      <c r="A59" s="393" t="s">
        <v>260</v>
      </c>
      <c r="B59" s="393"/>
      <c r="C59" s="393"/>
      <c r="D59" s="393"/>
      <c r="E59" s="393"/>
      <c r="F59" s="126">
        <f>SUM(G59:J59)</f>
        <v>836000</v>
      </c>
      <c r="G59" s="126">
        <f>SUM(G60:G67)</f>
        <v>816000</v>
      </c>
      <c r="H59" s="143"/>
      <c r="I59" s="144"/>
      <c r="J59" s="156">
        <f>140000-100000-20000</f>
        <v>20000</v>
      </c>
      <c r="K59" s="157"/>
      <c r="L59" s="145"/>
    </row>
    <row r="60" spans="1:80" s="151" customFormat="1" ht="30" customHeight="1" thickBot="1">
      <c r="A60" s="134" t="s">
        <v>263</v>
      </c>
      <c r="B60" s="135">
        <v>600</v>
      </c>
      <c r="C60" s="135">
        <v>60014</v>
      </c>
      <c r="D60" s="135">
        <v>6050</v>
      </c>
      <c r="E60" s="142" t="s">
        <v>262</v>
      </c>
      <c r="F60" s="137">
        <f>G60</f>
        <v>146000</v>
      </c>
      <c r="G60" s="138">
        <v>146000</v>
      </c>
      <c r="H60" s="146"/>
      <c r="I60" s="147"/>
      <c r="J60" s="152"/>
      <c r="K60" s="149"/>
      <c r="L60" s="133" t="s">
        <v>165</v>
      </c>
    </row>
    <row r="61" spans="1:80" s="174" customFormat="1" ht="30" customHeight="1" thickBot="1">
      <c r="A61" s="134" t="s">
        <v>265</v>
      </c>
      <c r="B61" s="135">
        <v>600</v>
      </c>
      <c r="C61" s="135">
        <v>60014</v>
      </c>
      <c r="D61" s="135">
        <v>6050</v>
      </c>
      <c r="E61" s="142" t="s">
        <v>264</v>
      </c>
      <c r="F61" s="182">
        <f>SUM(G61:H61)</f>
        <v>100000</v>
      </c>
      <c r="G61" s="138">
        <v>100000</v>
      </c>
      <c r="H61" s="146"/>
      <c r="I61" s="147"/>
      <c r="J61" s="152"/>
      <c r="K61" s="149"/>
      <c r="L61" s="170" t="s">
        <v>165</v>
      </c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</row>
    <row r="62" spans="1:80" s="187" customFormat="1" ht="30" customHeight="1" thickBot="1">
      <c r="A62" s="134" t="s">
        <v>267</v>
      </c>
      <c r="B62" s="135">
        <v>600</v>
      </c>
      <c r="C62" s="135">
        <v>60014</v>
      </c>
      <c r="D62" s="135">
        <v>6050</v>
      </c>
      <c r="E62" s="183" t="s">
        <v>266</v>
      </c>
      <c r="F62" s="184">
        <f>SUM(G62)</f>
        <v>120000</v>
      </c>
      <c r="G62" s="184">
        <v>120000</v>
      </c>
      <c r="H62" s="184"/>
      <c r="I62" s="162"/>
      <c r="J62" s="163"/>
      <c r="K62" s="164"/>
      <c r="L62" s="185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6"/>
      <c r="BZ62" s="186"/>
      <c r="CA62" s="186"/>
      <c r="CB62" s="186"/>
    </row>
    <row r="63" spans="1:80" s="187" customFormat="1" ht="30" customHeight="1" thickBot="1">
      <c r="A63" s="134" t="s">
        <v>269</v>
      </c>
      <c r="B63" s="135">
        <v>600</v>
      </c>
      <c r="C63" s="135">
        <v>60014</v>
      </c>
      <c r="D63" s="135">
        <v>605</v>
      </c>
      <c r="E63" s="188" t="s">
        <v>268</v>
      </c>
      <c r="F63" s="137">
        <f>SUM(G63)</f>
        <v>50000</v>
      </c>
      <c r="G63" s="137">
        <v>50000</v>
      </c>
      <c r="H63" s="137"/>
      <c r="I63" s="139"/>
      <c r="J63" s="140"/>
      <c r="K63" s="141"/>
      <c r="L63" s="189" t="s">
        <v>165</v>
      </c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  <c r="CB63" s="186"/>
    </row>
    <row r="64" spans="1:80" s="130" customFormat="1" ht="39.6" customHeight="1" thickBot="1">
      <c r="A64" s="134" t="s">
        <v>271</v>
      </c>
      <c r="B64" s="135">
        <v>600</v>
      </c>
      <c r="C64" s="135">
        <v>60014</v>
      </c>
      <c r="D64" s="135">
        <v>605</v>
      </c>
      <c r="E64" s="188" t="s">
        <v>270</v>
      </c>
      <c r="F64" s="137">
        <f>G64</f>
        <v>0</v>
      </c>
      <c r="G64" s="137">
        <v>0</v>
      </c>
      <c r="H64" s="137"/>
      <c r="I64" s="139"/>
      <c r="J64" s="140"/>
      <c r="K64" s="141"/>
      <c r="L64" s="132" t="s">
        <v>165</v>
      </c>
    </row>
    <row r="65" spans="1:80" s="130" customFormat="1" ht="39.6" customHeight="1" thickBot="1">
      <c r="A65" s="134" t="s">
        <v>274</v>
      </c>
      <c r="B65" s="135">
        <v>600</v>
      </c>
      <c r="C65" s="135">
        <v>60014</v>
      </c>
      <c r="D65" s="135">
        <v>605</v>
      </c>
      <c r="E65" s="188" t="s">
        <v>272</v>
      </c>
      <c r="F65" s="137">
        <v>20000</v>
      </c>
      <c r="G65" s="137"/>
      <c r="H65" s="137"/>
      <c r="I65" s="139"/>
      <c r="J65" s="140" t="s">
        <v>273</v>
      </c>
      <c r="K65" s="141"/>
      <c r="L65" s="132"/>
    </row>
    <row r="66" spans="1:80" s="130" customFormat="1" ht="36" customHeight="1" thickBot="1">
      <c r="A66" s="134" t="s">
        <v>276</v>
      </c>
      <c r="B66" s="135">
        <v>600</v>
      </c>
      <c r="C66" s="135">
        <v>60014</v>
      </c>
      <c r="D66" s="135">
        <v>605</v>
      </c>
      <c r="E66" s="188" t="s">
        <v>275</v>
      </c>
      <c r="F66" s="137">
        <v>300000</v>
      </c>
      <c r="G66" s="137">
        <f>200000+100000</f>
        <v>300000</v>
      </c>
      <c r="H66" s="137"/>
      <c r="I66" s="139"/>
      <c r="J66" s="140" t="s">
        <v>161</v>
      </c>
      <c r="K66" s="141"/>
      <c r="L66" s="132"/>
    </row>
    <row r="67" spans="1:80" s="187" customFormat="1" ht="30.75" customHeight="1" thickBot="1">
      <c r="A67" s="134" t="s">
        <v>279</v>
      </c>
      <c r="B67" s="135">
        <v>600</v>
      </c>
      <c r="C67" s="135">
        <v>60014</v>
      </c>
      <c r="D67" s="135">
        <v>605</v>
      </c>
      <c r="E67" s="188" t="s">
        <v>277</v>
      </c>
      <c r="F67" s="137">
        <f>G67</f>
        <v>100000</v>
      </c>
      <c r="G67" s="137">
        <v>100000</v>
      </c>
      <c r="H67" s="137"/>
      <c r="I67" s="139"/>
      <c r="J67" s="140"/>
      <c r="K67" s="141"/>
      <c r="L67" s="189" t="s">
        <v>165</v>
      </c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6"/>
      <c r="CA67" s="186"/>
      <c r="CB67" s="186"/>
    </row>
    <row r="68" spans="1:80" s="187" customFormat="1" ht="21.75" customHeight="1" thickBot="1">
      <c r="A68" s="393" t="s">
        <v>278</v>
      </c>
      <c r="B68" s="393"/>
      <c r="C68" s="393"/>
      <c r="D68" s="393"/>
      <c r="E68" s="393"/>
      <c r="F68" s="126">
        <f>SUM(G68:J68)</f>
        <v>350000</v>
      </c>
      <c r="G68" s="126">
        <f>SUM(G69:G70)</f>
        <v>350000</v>
      </c>
      <c r="H68" s="126"/>
      <c r="I68" s="144"/>
      <c r="J68" s="190"/>
      <c r="K68" s="128"/>
      <c r="L68" s="191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186"/>
      <c r="BZ68" s="186"/>
      <c r="CA68" s="186"/>
      <c r="CB68" s="186"/>
    </row>
    <row r="69" spans="1:80" s="151" customFormat="1" ht="35.25" customHeight="1" thickBot="1">
      <c r="A69" s="134" t="s">
        <v>281</v>
      </c>
      <c r="B69" s="135">
        <v>600</v>
      </c>
      <c r="C69" s="135">
        <v>60014</v>
      </c>
      <c r="D69" s="135">
        <v>6050</v>
      </c>
      <c r="E69" s="142" t="s">
        <v>280</v>
      </c>
      <c r="F69" s="137">
        <f>SUM(G69:H69)</f>
        <v>150000</v>
      </c>
      <c r="G69" s="137">
        <v>150000</v>
      </c>
      <c r="H69" s="175"/>
      <c r="I69" s="147"/>
      <c r="J69" s="147"/>
      <c r="K69" s="149"/>
      <c r="L69" s="150"/>
    </row>
    <row r="70" spans="1:80" s="174" customFormat="1" ht="30" customHeight="1" thickBot="1">
      <c r="A70" s="134" t="s">
        <v>285</v>
      </c>
      <c r="B70" s="192">
        <v>600</v>
      </c>
      <c r="C70" s="192">
        <v>60014</v>
      </c>
      <c r="D70" s="192">
        <v>6060</v>
      </c>
      <c r="E70" s="193" t="s">
        <v>282</v>
      </c>
      <c r="F70" s="182">
        <f>SUM(G70:H70)</f>
        <v>200000</v>
      </c>
      <c r="G70" s="182">
        <v>200000</v>
      </c>
      <c r="H70" s="194"/>
      <c r="I70" s="195"/>
      <c r="J70" s="195"/>
      <c r="K70" s="196"/>
      <c r="L70" s="150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</row>
    <row r="71" spans="1:80" s="159" customFormat="1" ht="27" customHeight="1" thickBot="1">
      <c r="A71" s="387" t="s">
        <v>283</v>
      </c>
      <c r="B71" s="388"/>
      <c r="C71" s="388"/>
      <c r="D71" s="388"/>
      <c r="E71" s="389"/>
      <c r="F71" s="197">
        <f>SUM(F7,F12,F21,F32,F44,F51,F55,F59,F68)</f>
        <v>12459284</v>
      </c>
      <c r="G71" s="197">
        <f>SUM(G7,G12,G21,G32,G44,G51,G55,G59,G68)</f>
        <v>5450284</v>
      </c>
      <c r="H71" s="197">
        <f>SUM(H7:H69)</f>
        <v>0</v>
      </c>
      <c r="I71" s="197"/>
      <c r="J71" s="197">
        <f>SUM(J7,J12,J21,J32,J44,J51,J55,J59)</f>
        <v>7009000</v>
      </c>
      <c r="K71" s="198"/>
      <c r="L71" s="199"/>
    </row>
    <row r="72" spans="1:80" s="202" customFormat="1" ht="36" customHeight="1" thickBot="1">
      <c r="A72" s="200" t="s">
        <v>289</v>
      </c>
      <c r="B72" s="135">
        <v>700</v>
      </c>
      <c r="C72" s="135">
        <v>70005</v>
      </c>
      <c r="D72" s="135">
        <v>6050</v>
      </c>
      <c r="E72" s="139" t="s">
        <v>284</v>
      </c>
      <c r="F72" s="137">
        <f>SUM(G72)</f>
        <v>20700</v>
      </c>
      <c r="G72" s="137">
        <v>20700</v>
      </c>
      <c r="H72" s="137"/>
      <c r="I72" s="139"/>
      <c r="J72" s="139"/>
      <c r="K72" s="141"/>
      <c r="L72" s="132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1"/>
      <c r="BD72" s="201"/>
      <c r="BE72" s="201"/>
      <c r="BF72" s="201"/>
      <c r="BG72" s="201"/>
      <c r="BH72" s="201"/>
      <c r="BI72" s="201"/>
      <c r="BJ72" s="201"/>
      <c r="BK72" s="201"/>
      <c r="BL72" s="201"/>
      <c r="BM72" s="201"/>
      <c r="BN72" s="201"/>
      <c r="BO72" s="201"/>
      <c r="BP72" s="201"/>
      <c r="BQ72" s="201"/>
      <c r="BR72" s="201"/>
      <c r="BS72" s="201"/>
      <c r="BT72" s="201"/>
      <c r="BU72" s="201"/>
      <c r="BV72" s="201"/>
      <c r="BW72" s="201"/>
      <c r="BX72" s="201"/>
      <c r="BY72" s="201"/>
      <c r="BZ72" s="201"/>
      <c r="CA72" s="201"/>
      <c r="CB72" s="201"/>
    </row>
    <row r="73" spans="1:80" s="151" customFormat="1" ht="48" customHeight="1" thickBot="1">
      <c r="A73" s="134" t="s">
        <v>292</v>
      </c>
      <c r="B73" s="135">
        <v>700</v>
      </c>
      <c r="C73" s="135">
        <v>70005</v>
      </c>
      <c r="D73" s="135">
        <v>6050</v>
      </c>
      <c r="E73" s="139" t="s">
        <v>286</v>
      </c>
      <c r="F73" s="137">
        <f>110000+39000</f>
        <v>149000</v>
      </c>
      <c r="G73" s="137">
        <f>50000+39000</f>
        <v>89000</v>
      </c>
      <c r="H73" s="137"/>
      <c r="I73" s="139"/>
      <c r="J73" s="140" t="s">
        <v>287</v>
      </c>
      <c r="K73" s="141"/>
      <c r="L73" s="132"/>
    </row>
    <row r="74" spans="1:80" s="204" customFormat="1" ht="27" customHeight="1" thickBot="1">
      <c r="A74" s="387" t="s">
        <v>288</v>
      </c>
      <c r="B74" s="388"/>
      <c r="C74" s="388"/>
      <c r="D74" s="388"/>
      <c r="E74" s="389"/>
      <c r="F74" s="197">
        <f>SUM(F72:F73)</f>
        <v>169700</v>
      </c>
      <c r="G74" s="197">
        <f>SUM(G72:G73)</f>
        <v>109700</v>
      </c>
      <c r="H74" s="197">
        <f>SUM(H72:H72)</f>
        <v>0</v>
      </c>
      <c r="I74" s="197"/>
      <c r="J74" s="197">
        <v>60000</v>
      </c>
      <c r="K74" s="198"/>
      <c r="L74" s="203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1"/>
      <c r="CB74" s="151"/>
    </row>
    <row r="75" spans="1:80" s="201" customFormat="1" ht="39" customHeight="1" thickBot="1">
      <c r="A75" s="135" t="s">
        <v>295</v>
      </c>
      <c r="B75" s="135">
        <v>710</v>
      </c>
      <c r="C75" s="135">
        <v>71095</v>
      </c>
      <c r="D75" s="135">
        <v>6639</v>
      </c>
      <c r="E75" s="139" t="s">
        <v>290</v>
      </c>
      <c r="F75" s="137">
        <f>G75</f>
        <v>70572</v>
      </c>
      <c r="G75" s="137">
        <f>80330-9758</f>
        <v>70572</v>
      </c>
      <c r="H75" s="137"/>
      <c r="I75" s="139"/>
      <c r="J75" s="139"/>
      <c r="K75" s="141"/>
      <c r="L75" s="205" t="s">
        <v>165</v>
      </c>
    </row>
    <row r="76" spans="1:80" s="151" customFormat="1" ht="27" customHeight="1" thickBot="1">
      <c r="A76" s="387" t="s">
        <v>291</v>
      </c>
      <c r="B76" s="388"/>
      <c r="C76" s="388"/>
      <c r="D76" s="388"/>
      <c r="E76" s="389"/>
      <c r="F76" s="197">
        <f>F75</f>
        <v>70572</v>
      </c>
      <c r="G76" s="197">
        <f>G75</f>
        <v>70572</v>
      </c>
      <c r="H76" s="197">
        <f>H75</f>
        <v>0</v>
      </c>
      <c r="I76" s="197"/>
      <c r="J76" s="197"/>
      <c r="K76" s="198"/>
      <c r="L76" s="203"/>
    </row>
    <row r="77" spans="1:80" s="130" customFormat="1" ht="30" customHeight="1" thickBot="1">
      <c r="A77" s="134" t="s">
        <v>297</v>
      </c>
      <c r="B77" s="135">
        <v>750</v>
      </c>
      <c r="C77" s="135">
        <v>75019</v>
      </c>
      <c r="D77" s="135">
        <v>6060</v>
      </c>
      <c r="E77" s="142" t="s">
        <v>293</v>
      </c>
      <c r="F77" s="137">
        <f>SUM(G77:H77)</f>
        <v>31980</v>
      </c>
      <c r="G77" s="137">
        <f>50000-15000-3020</f>
        <v>31980</v>
      </c>
      <c r="H77" s="137"/>
      <c r="I77" s="147"/>
      <c r="J77" s="147"/>
      <c r="K77" s="149"/>
      <c r="L77" s="206"/>
    </row>
    <row r="78" spans="1:80" s="174" customFormat="1" ht="27" customHeight="1" thickBot="1">
      <c r="A78" s="387" t="s">
        <v>294</v>
      </c>
      <c r="B78" s="388"/>
      <c r="C78" s="388"/>
      <c r="D78" s="388"/>
      <c r="E78" s="389"/>
      <c r="F78" s="197">
        <f>SUM(F77:F77)</f>
        <v>31980</v>
      </c>
      <c r="G78" s="197">
        <f>SUM(G77:G77)</f>
        <v>31980</v>
      </c>
      <c r="H78" s="197"/>
      <c r="I78" s="207"/>
      <c r="J78" s="207"/>
      <c r="K78" s="198"/>
      <c r="L78" s="203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</row>
    <row r="79" spans="1:80" s="130" customFormat="1" ht="51" customHeight="1" thickBot="1">
      <c r="A79" s="135" t="s">
        <v>300</v>
      </c>
      <c r="B79" s="135">
        <v>750</v>
      </c>
      <c r="C79" s="135">
        <v>75020</v>
      </c>
      <c r="D79" s="135">
        <v>6050</v>
      </c>
      <c r="E79" s="142" t="s">
        <v>296</v>
      </c>
      <c r="F79" s="137">
        <f>SUM(G79:H79)</f>
        <v>280000</v>
      </c>
      <c r="G79" s="137">
        <f>200000+80000</f>
        <v>280000</v>
      </c>
      <c r="H79" s="137"/>
      <c r="I79" s="139"/>
      <c r="J79" s="139"/>
      <c r="K79" s="149"/>
      <c r="L79" s="205" t="s">
        <v>165</v>
      </c>
    </row>
    <row r="80" spans="1:80" s="151" customFormat="1" ht="30.75" customHeight="1" thickBot="1">
      <c r="A80" s="208" t="s">
        <v>304</v>
      </c>
      <c r="B80" s="135">
        <v>750</v>
      </c>
      <c r="C80" s="135">
        <v>75020</v>
      </c>
      <c r="D80" s="135">
        <v>6060</v>
      </c>
      <c r="E80" s="209" t="s">
        <v>298</v>
      </c>
      <c r="F80" s="137">
        <f>G80</f>
        <v>50000</v>
      </c>
      <c r="G80" s="137">
        <v>50000</v>
      </c>
      <c r="H80" s="137"/>
      <c r="I80" s="139"/>
      <c r="J80" s="139"/>
      <c r="K80" s="210"/>
      <c r="L80" s="211"/>
    </row>
    <row r="81" spans="1:80" s="201" customFormat="1" ht="27" customHeight="1" thickBot="1">
      <c r="A81" s="387" t="s">
        <v>299</v>
      </c>
      <c r="B81" s="388"/>
      <c r="C81" s="388"/>
      <c r="D81" s="388"/>
      <c r="E81" s="389"/>
      <c r="F81" s="197">
        <f>SUM(F79:F80)</f>
        <v>330000</v>
      </c>
      <c r="G81" s="197">
        <f>SUM(G79:G80)</f>
        <v>330000</v>
      </c>
      <c r="H81" s="197"/>
      <c r="I81" s="207"/>
      <c r="J81" s="207"/>
      <c r="K81" s="198"/>
      <c r="L81" s="212"/>
    </row>
    <row r="82" spans="1:80" s="151" customFormat="1" ht="38.25" customHeight="1" thickBot="1">
      <c r="A82" s="135" t="s">
        <v>306</v>
      </c>
      <c r="B82" s="135">
        <v>752</v>
      </c>
      <c r="C82" s="135">
        <v>75295</v>
      </c>
      <c r="D82" s="135">
        <v>6060</v>
      </c>
      <c r="E82" s="142" t="s">
        <v>301</v>
      </c>
      <c r="F82" s="137">
        <v>17685</v>
      </c>
      <c r="G82" s="137"/>
      <c r="H82" s="137"/>
      <c r="I82" s="139"/>
      <c r="J82" s="140" t="s">
        <v>302</v>
      </c>
      <c r="K82" s="141"/>
      <c r="L82" s="213"/>
    </row>
    <row r="83" spans="1:80" s="201" customFormat="1" ht="27" customHeight="1" thickBot="1">
      <c r="A83" s="387" t="s">
        <v>303</v>
      </c>
      <c r="B83" s="388"/>
      <c r="C83" s="388"/>
      <c r="D83" s="388"/>
      <c r="E83" s="389"/>
      <c r="F83" s="197">
        <f>SUM(F82)</f>
        <v>17685</v>
      </c>
      <c r="G83" s="197">
        <f>SUM(G82)</f>
        <v>0</v>
      </c>
      <c r="H83" s="197"/>
      <c r="I83" s="207"/>
      <c r="J83" s="197">
        <v>17685</v>
      </c>
      <c r="K83" s="198"/>
      <c r="L83" s="212"/>
    </row>
    <row r="84" spans="1:80" s="201" customFormat="1" ht="48.75" customHeight="1" thickBot="1">
      <c r="A84" s="134" t="s">
        <v>309</v>
      </c>
      <c r="B84" s="135">
        <v>754</v>
      </c>
      <c r="C84" s="135">
        <v>75404</v>
      </c>
      <c r="D84" s="135">
        <v>6170</v>
      </c>
      <c r="E84" s="139" t="s">
        <v>305</v>
      </c>
      <c r="F84" s="137">
        <f>SUM(G84:H84)</f>
        <v>50000</v>
      </c>
      <c r="G84" s="137">
        <v>50000</v>
      </c>
      <c r="H84" s="137"/>
      <c r="I84" s="139"/>
      <c r="J84" s="139"/>
      <c r="K84" s="141"/>
      <c r="L84" s="213"/>
    </row>
    <row r="85" spans="1:80" s="151" customFormat="1" ht="48.75" customHeight="1" thickBot="1">
      <c r="A85" s="134" t="s">
        <v>312</v>
      </c>
      <c r="B85" s="135">
        <v>754</v>
      </c>
      <c r="C85" s="135">
        <v>75404</v>
      </c>
      <c r="D85" s="135">
        <v>6170</v>
      </c>
      <c r="E85" s="139" t="s">
        <v>307</v>
      </c>
      <c r="F85" s="137">
        <f>SUM(G85:H85)</f>
        <v>16000</v>
      </c>
      <c r="G85" s="137">
        <v>16000</v>
      </c>
      <c r="H85" s="137"/>
      <c r="I85" s="139"/>
      <c r="J85" s="139"/>
      <c r="K85" s="141"/>
      <c r="L85" s="213"/>
    </row>
    <row r="86" spans="1:80" s="201" customFormat="1" ht="27" customHeight="1" thickBot="1">
      <c r="A86" s="387" t="s">
        <v>308</v>
      </c>
      <c r="B86" s="388"/>
      <c r="C86" s="388"/>
      <c r="D86" s="388"/>
      <c r="E86" s="389"/>
      <c r="F86" s="197">
        <f>SUM(F84:F85)</f>
        <v>66000</v>
      </c>
      <c r="G86" s="197">
        <f>SUM(G84:G85)</f>
        <v>66000</v>
      </c>
      <c r="H86" s="197"/>
      <c r="I86" s="207"/>
      <c r="J86" s="207"/>
      <c r="K86" s="198"/>
      <c r="L86" s="212"/>
    </row>
    <row r="87" spans="1:80" s="201" customFormat="1" ht="42.75" customHeight="1" thickBot="1">
      <c r="A87" s="135" t="s">
        <v>315</v>
      </c>
      <c r="B87" s="135">
        <v>754</v>
      </c>
      <c r="C87" s="135">
        <v>75410</v>
      </c>
      <c r="D87" s="135">
        <v>6170</v>
      </c>
      <c r="E87" s="142" t="s">
        <v>310</v>
      </c>
      <c r="F87" s="214">
        <f>G87</f>
        <v>200000</v>
      </c>
      <c r="G87" s="214">
        <v>200000</v>
      </c>
      <c r="H87" s="215"/>
      <c r="I87" s="142"/>
      <c r="J87" s="142"/>
      <c r="K87" s="141"/>
      <c r="L87" s="216"/>
    </row>
    <row r="88" spans="1:80" s="151" customFormat="1" ht="27" customHeight="1" thickBot="1">
      <c r="A88" s="387" t="s">
        <v>311</v>
      </c>
      <c r="B88" s="388"/>
      <c r="C88" s="388"/>
      <c r="D88" s="388"/>
      <c r="E88" s="389"/>
      <c r="F88" s="197">
        <f>SUM(F87)</f>
        <v>200000</v>
      </c>
      <c r="G88" s="197">
        <f>SUM(G87)</f>
        <v>200000</v>
      </c>
      <c r="H88" s="197"/>
      <c r="I88" s="207"/>
      <c r="J88" s="207"/>
      <c r="K88" s="198"/>
      <c r="L88" s="217"/>
    </row>
    <row r="89" spans="1:80" s="218" customFormat="1" ht="31.5" customHeight="1" thickBot="1">
      <c r="A89" s="135" t="s">
        <v>318</v>
      </c>
      <c r="B89" s="135">
        <v>758</v>
      </c>
      <c r="C89" s="135">
        <v>75818</v>
      </c>
      <c r="D89" s="135">
        <v>6800</v>
      </c>
      <c r="E89" s="142" t="s">
        <v>313</v>
      </c>
      <c r="F89" s="137">
        <f>G89</f>
        <v>299950</v>
      </c>
      <c r="G89" s="137">
        <f>395570-271-16266-14083-26000-39000</f>
        <v>299950</v>
      </c>
      <c r="H89" s="137"/>
      <c r="I89" s="139"/>
      <c r="J89" s="139"/>
      <c r="K89" s="141"/>
      <c r="L89" s="213"/>
    </row>
    <row r="90" spans="1:80" s="151" customFormat="1" ht="27" customHeight="1" thickBot="1">
      <c r="A90" s="387" t="s">
        <v>314</v>
      </c>
      <c r="B90" s="388"/>
      <c r="C90" s="388"/>
      <c r="D90" s="388"/>
      <c r="E90" s="389"/>
      <c r="F90" s="197">
        <f>SUM(F89)</f>
        <v>299950</v>
      </c>
      <c r="G90" s="197">
        <f>SUM(G89)</f>
        <v>299950</v>
      </c>
      <c r="H90" s="197"/>
      <c r="I90" s="207"/>
      <c r="J90" s="207"/>
      <c r="K90" s="198"/>
      <c r="L90" s="219"/>
    </row>
    <row r="91" spans="1:80" s="130" customFormat="1" ht="33.75" customHeight="1" thickBot="1">
      <c r="A91" s="134" t="s">
        <v>321</v>
      </c>
      <c r="B91" s="135">
        <v>801</v>
      </c>
      <c r="C91" s="135">
        <v>80115</v>
      </c>
      <c r="D91" s="135">
        <v>6050</v>
      </c>
      <c r="E91" s="139" t="s">
        <v>316</v>
      </c>
      <c r="F91" s="137">
        <f>SUM(G91:H91)</f>
        <v>4180000</v>
      </c>
      <c r="G91" s="137">
        <f>300000+180000</f>
        <v>480000</v>
      </c>
      <c r="H91" s="137">
        <f>3500000+200000</f>
        <v>3700000</v>
      </c>
      <c r="I91" s="139"/>
      <c r="J91" s="140"/>
      <c r="K91" s="141"/>
      <c r="L91" s="305" t="s">
        <v>165</v>
      </c>
    </row>
    <row r="92" spans="1:80" s="201" customFormat="1" ht="27" customHeight="1" thickBot="1">
      <c r="A92" s="387" t="s">
        <v>317</v>
      </c>
      <c r="B92" s="388"/>
      <c r="C92" s="388"/>
      <c r="D92" s="388"/>
      <c r="E92" s="389"/>
      <c r="F92" s="197">
        <f>SUM(F91:F91)</f>
        <v>4180000</v>
      </c>
      <c r="G92" s="197">
        <f>SUM(G91:G91)</f>
        <v>480000</v>
      </c>
      <c r="H92" s="197">
        <f>SUM(H91:H91)</f>
        <v>3700000</v>
      </c>
      <c r="I92" s="197"/>
      <c r="J92" s="197"/>
      <c r="K92" s="198"/>
      <c r="L92" s="212"/>
    </row>
    <row r="93" spans="1:80" s="130" customFormat="1" ht="33" customHeight="1" thickBot="1">
      <c r="A93" s="134" t="s">
        <v>323</v>
      </c>
      <c r="B93" s="135">
        <v>801</v>
      </c>
      <c r="C93" s="135">
        <v>80120</v>
      </c>
      <c r="D93" s="135">
        <v>6050</v>
      </c>
      <c r="E93" s="139" t="s">
        <v>319</v>
      </c>
      <c r="F93" s="137">
        <f>SUM(G93:H93)</f>
        <v>1890000</v>
      </c>
      <c r="G93" s="137">
        <f>1443866+10000-910000</f>
        <v>543866</v>
      </c>
      <c r="H93" s="137">
        <f>1556134-200000-10000</f>
        <v>1346134</v>
      </c>
      <c r="I93" s="139"/>
      <c r="J93" s="139"/>
      <c r="K93" s="141"/>
      <c r="L93" s="220" t="s">
        <v>165</v>
      </c>
    </row>
    <row r="94" spans="1:80" s="223" customFormat="1" ht="27" customHeight="1" thickBot="1">
      <c r="A94" s="387" t="s">
        <v>320</v>
      </c>
      <c r="B94" s="388"/>
      <c r="C94" s="388"/>
      <c r="D94" s="388"/>
      <c r="E94" s="389"/>
      <c r="F94" s="197">
        <f>SUM(F93:F93)</f>
        <v>1890000</v>
      </c>
      <c r="G94" s="197">
        <f>SUM(G93:G93)</f>
        <v>543866</v>
      </c>
      <c r="H94" s="197">
        <f>SUM(H93:H93)</f>
        <v>1346134</v>
      </c>
      <c r="I94" s="207"/>
      <c r="J94" s="207"/>
      <c r="K94" s="198"/>
      <c r="L94" s="217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  <c r="AM94" s="222"/>
      <c r="AN94" s="222"/>
      <c r="AO94" s="222"/>
      <c r="AP94" s="222"/>
      <c r="AQ94" s="222"/>
      <c r="AR94" s="222"/>
      <c r="AS94" s="222"/>
      <c r="AT94" s="222"/>
      <c r="AU94" s="222"/>
      <c r="AV94" s="222"/>
      <c r="AW94" s="222"/>
      <c r="AX94" s="222"/>
      <c r="AY94" s="222"/>
      <c r="AZ94" s="222"/>
      <c r="BA94" s="222"/>
      <c r="BB94" s="222"/>
      <c r="BC94" s="222"/>
      <c r="BD94" s="222"/>
      <c r="BE94" s="222"/>
      <c r="BF94" s="222"/>
      <c r="BG94" s="222"/>
      <c r="BH94" s="222"/>
      <c r="BI94" s="222"/>
      <c r="BJ94" s="222"/>
      <c r="BK94" s="222"/>
      <c r="BL94" s="222"/>
      <c r="BM94" s="222"/>
      <c r="BN94" s="222"/>
      <c r="BO94" s="222"/>
      <c r="BP94" s="222"/>
      <c r="BQ94" s="222"/>
      <c r="BR94" s="222"/>
      <c r="BS94" s="222"/>
      <c r="BT94" s="222"/>
      <c r="BU94" s="222"/>
      <c r="BV94" s="222"/>
      <c r="BW94" s="222"/>
      <c r="BX94" s="222"/>
      <c r="BY94" s="222"/>
      <c r="BZ94" s="222"/>
      <c r="CA94" s="222"/>
      <c r="CB94" s="222"/>
    </row>
    <row r="95" spans="1:80" s="130" customFormat="1" ht="41.25" customHeight="1" thickBot="1">
      <c r="A95" s="224" t="s">
        <v>326</v>
      </c>
      <c r="B95" s="135">
        <v>851</v>
      </c>
      <c r="C95" s="135">
        <v>85111</v>
      </c>
      <c r="D95" s="135">
        <v>6010</v>
      </c>
      <c r="E95" s="139" t="s">
        <v>322</v>
      </c>
      <c r="F95" s="137">
        <f>SUM(G95:H95)</f>
        <v>4058450</v>
      </c>
      <c r="G95" s="137">
        <f>3700000-3450+361900</f>
        <v>4058450</v>
      </c>
      <c r="H95" s="175"/>
      <c r="I95" s="147"/>
      <c r="J95" s="147"/>
      <c r="K95" s="149"/>
      <c r="L95" s="225"/>
    </row>
    <row r="96" spans="1:80" s="130" customFormat="1" ht="38.25" customHeight="1" thickBot="1">
      <c r="A96" s="224" t="s">
        <v>328</v>
      </c>
      <c r="B96" s="135">
        <v>851</v>
      </c>
      <c r="C96" s="135">
        <v>85111</v>
      </c>
      <c r="D96" s="135">
        <v>6230</v>
      </c>
      <c r="E96" s="139" t="s">
        <v>324</v>
      </c>
      <c r="F96" s="137">
        <f>SUM(G96:H96)</f>
        <v>140000</v>
      </c>
      <c r="G96" s="137">
        <v>140000</v>
      </c>
      <c r="H96" s="175"/>
      <c r="I96" s="147"/>
      <c r="J96" s="147"/>
      <c r="K96" s="149"/>
      <c r="L96" s="225"/>
    </row>
    <row r="97" spans="1:80" s="223" customFormat="1" ht="27" customHeight="1" thickBot="1">
      <c r="A97" s="387" t="s">
        <v>325</v>
      </c>
      <c r="B97" s="388"/>
      <c r="C97" s="388"/>
      <c r="D97" s="388"/>
      <c r="E97" s="389"/>
      <c r="F97" s="197">
        <f>SUM(F95:F96)</f>
        <v>4198450</v>
      </c>
      <c r="G97" s="197">
        <f>SUM(G95:G96)</f>
        <v>4198450</v>
      </c>
      <c r="H97" s="197">
        <f>SUM(H95:H95)</f>
        <v>0</v>
      </c>
      <c r="I97" s="207"/>
      <c r="J97" s="207"/>
      <c r="K97" s="198"/>
      <c r="L97" s="217"/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  <c r="AM97" s="222"/>
      <c r="AN97" s="222"/>
      <c r="AO97" s="222"/>
      <c r="AP97" s="222"/>
      <c r="AQ97" s="222"/>
      <c r="AR97" s="222"/>
      <c r="AS97" s="222"/>
      <c r="AT97" s="222"/>
      <c r="AU97" s="222"/>
      <c r="AV97" s="222"/>
      <c r="AW97" s="222"/>
      <c r="AX97" s="222"/>
      <c r="AY97" s="222"/>
      <c r="AZ97" s="222"/>
      <c r="BA97" s="222"/>
      <c r="BB97" s="222"/>
      <c r="BC97" s="222"/>
      <c r="BD97" s="222"/>
      <c r="BE97" s="222"/>
      <c r="BF97" s="222"/>
      <c r="BG97" s="222"/>
      <c r="BH97" s="222"/>
      <c r="BI97" s="222"/>
      <c r="BJ97" s="222"/>
      <c r="BK97" s="222"/>
      <c r="BL97" s="222"/>
      <c r="BM97" s="222"/>
      <c r="BN97" s="222"/>
      <c r="BO97" s="222"/>
      <c r="BP97" s="222"/>
      <c r="BQ97" s="222"/>
      <c r="BR97" s="222"/>
      <c r="BS97" s="222"/>
      <c r="BT97" s="222"/>
      <c r="BU97" s="222"/>
      <c r="BV97" s="222"/>
      <c r="BW97" s="222"/>
      <c r="BX97" s="222"/>
      <c r="BY97" s="222"/>
      <c r="BZ97" s="222"/>
      <c r="CA97" s="222"/>
      <c r="CB97" s="222"/>
    </row>
    <row r="98" spans="1:80" s="130" customFormat="1" ht="40.5" customHeight="1" thickBot="1">
      <c r="A98" s="134" t="s">
        <v>332</v>
      </c>
      <c r="B98" s="135">
        <v>852</v>
      </c>
      <c r="C98" s="135">
        <v>85202</v>
      </c>
      <c r="D98" s="135">
        <v>6050</v>
      </c>
      <c r="E98" s="142" t="s">
        <v>327</v>
      </c>
      <c r="F98" s="137">
        <f>SUM(G98:H98)</f>
        <v>0</v>
      </c>
      <c r="G98" s="137">
        <f>50000-50000</f>
        <v>0</v>
      </c>
      <c r="H98" s="175"/>
      <c r="I98" s="147"/>
      <c r="J98" s="147"/>
      <c r="K98" s="149"/>
      <c r="L98" s="226"/>
    </row>
    <row r="99" spans="1:80" s="228" customFormat="1" ht="38.25" customHeight="1" thickBot="1">
      <c r="A99" s="200" t="s">
        <v>335</v>
      </c>
      <c r="B99" s="192">
        <v>852</v>
      </c>
      <c r="C99" s="192">
        <v>85202</v>
      </c>
      <c r="D99" s="192">
        <v>6050</v>
      </c>
      <c r="E99" s="162" t="s">
        <v>329</v>
      </c>
      <c r="F99" s="182">
        <f>SUM(G99:H99)</f>
        <v>50000</v>
      </c>
      <c r="G99" s="182">
        <v>50000</v>
      </c>
      <c r="H99" s="194"/>
      <c r="I99" s="195"/>
      <c r="J99" s="195"/>
      <c r="K99" s="227" t="s">
        <v>330</v>
      </c>
      <c r="L99" s="220" t="s">
        <v>165</v>
      </c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</row>
    <row r="100" spans="1:80" s="222" customFormat="1" ht="27" customHeight="1" thickBot="1">
      <c r="A100" s="387" t="s">
        <v>331</v>
      </c>
      <c r="B100" s="388"/>
      <c r="C100" s="388"/>
      <c r="D100" s="388"/>
      <c r="E100" s="389"/>
      <c r="F100" s="197">
        <f>SUM(F98:F99)</f>
        <v>50000</v>
      </c>
      <c r="G100" s="197">
        <f>SUM(G98:G99)</f>
        <v>50000</v>
      </c>
      <c r="H100" s="197"/>
      <c r="I100" s="207"/>
      <c r="J100" s="207"/>
      <c r="K100" s="198"/>
      <c r="L100" s="217"/>
    </row>
    <row r="101" spans="1:80" s="130" customFormat="1" ht="90" customHeight="1" thickBot="1">
      <c r="A101" s="135" t="s">
        <v>338</v>
      </c>
      <c r="B101" s="135">
        <v>853</v>
      </c>
      <c r="C101" s="135">
        <v>85311</v>
      </c>
      <c r="D101" s="135">
        <v>6230</v>
      </c>
      <c r="E101" s="142" t="s">
        <v>333</v>
      </c>
      <c r="F101" s="137">
        <f>G101</f>
        <v>70000</v>
      </c>
      <c r="G101" s="137">
        <v>70000</v>
      </c>
      <c r="H101" s="137"/>
      <c r="I101" s="139"/>
      <c r="J101" s="139"/>
      <c r="K101" s="141"/>
      <c r="L101" s="213"/>
    </row>
    <row r="102" spans="1:80" s="222" customFormat="1" ht="27" customHeight="1" thickBot="1">
      <c r="A102" s="387" t="s">
        <v>334</v>
      </c>
      <c r="B102" s="388"/>
      <c r="C102" s="388"/>
      <c r="D102" s="388"/>
      <c r="E102" s="389"/>
      <c r="F102" s="197">
        <f>F101</f>
        <v>70000</v>
      </c>
      <c r="G102" s="197">
        <f>G101</f>
        <v>70000</v>
      </c>
      <c r="H102" s="197"/>
      <c r="I102" s="207"/>
      <c r="J102" s="207"/>
      <c r="K102" s="198"/>
      <c r="L102" s="217"/>
    </row>
    <row r="103" spans="1:80" s="204" customFormat="1" ht="34.5" customHeight="1" thickBot="1">
      <c r="A103" s="208" t="s">
        <v>392</v>
      </c>
      <c r="B103" s="208">
        <v>854</v>
      </c>
      <c r="C103" s="208">
        <v>85403</v>
      </c>
      <c r="D103" s="208">
        <v>6060</v>
      </c>
      <c r="E103" s="229" t="s">
        <v>336</v>
      </c>
      <c r="F103" s="184">
        <f>G103</f>
        <v>80000</v>
      </c>
      <c r="G103" s="184">
        <v>80000</v>
      </c>
      <c r="H103" s="230"/>
      <c r="I103" s="231"/>
      <c r="J103" s="232"/>
      <c r="K103" s="233"/>
      <c r="L103" s="234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  <c r="BZ103" s="151"/>
      <c r="CA103" s="151"/>
      <c r="CB103" s="151"/>
    </row>
    <row r="104" spans="1:80" s="222" customFormat="1" ht="27" customHeight="1" thickBot="1">
      <c r="A104" s="387" t="s">
        <v>337</v>
      </c>
      <c r="B104" s="388"/>
      <c r="C104" s="388"/>
      <c r="D104" s="388"/>
      <c r="E104" s="389"/>
      <c r="F104" s="197">
        <f>SUM(F103:F103)</f>
        <v>80000</v>
      </c>
      <c r="G104" s="197">
        <f>SUM(G103:G103)</f>
        <v>80000</v>
      </c>
      <c r="H104" s="197"/>
      <c r="I104" s="207"/>
      <c r="J104" s="235"/>
      <c r="K104" s="198"/>
      <c r="L104" s="217"/>
    </row>
    <row r="105" spans="1:80" s="130" customFormat="1" ht="36" customHeight="1" thickBot="1">
      <c r="A105" s="135" t="s">
        <v>393</v>
      </c>
      <c r="B105" s="135">
        <v>854</v>
      </c>
      <c r="C105" s="135">
        <v>85421</v>
      </c>
      <c r="D105" s="135">
        <v>6060</v>
      </c>
      <c r="E105" s="142" t="s">
        <v>339</v>
      </c>
      <c r="F105" s="137">
        <f>G105</f>
        <v>90053</v>
      </c>
      <c r="G105" s="137">
        <f>45053+45000</f>
        <v>90053</v>
      </c>
      <c r="H105" s="137"/>
      <c r="I105" s="139"/>
      <c r="J105" s="236"/>
      <c r="K105" s="141"/>
      <c r="L105" s="237"/>
    </row>
    <row r="106" spans="1:80" s="222" customFormat="1" ht="27" customHeight="1" thickBot="1">
      <c r="A106" s="387" t="s">
        <v>340</v>
      </c>
      <c r="B106" s="388"/>
      <c r="C106" s="388"/>
      <c r="D106" s="388"/>
      <c r="E106" s="389"/>
      <c r="F106" s="197">
        <f>SUM(F105)</f>
        <v>90053</v>
      </c>
      <c r="G106" s="197">
        <f>SUM(G105)</f>
        <v>90053</v>
      </c>
      <c r="H106" s="197"/>
      <c r="I106" s="207"/>
      <c r="J106" s="235"/>
      <c r="K106" s="198"/>
      <c r="L106" s="203"/>
    </row>
    <row r="107" spans="1:80" s="241" customFormat="1" ht="27" customHeight="1" thickBot="1">
      <c r="A107" s="390" t="s">
        <v>126</v>
      </c>
      <c r="B107" s="391"/>
      <c r="C107" s="391"/>
      <c r="D107" s="391"/>
      <c r="E107" s="392"/>
      <c r="F107" s="238">
        <f>F71+F74+F76+F78+F81+F83+F86+F88+F90+F92+F94+F97+F100+F102+F104+F106</f>
        <v>24203674</v>
      </c>
      <c r="G107" s="238">
        <f>G71+G74+G76+G78+G81+G83+G86+G88+G90+G92+G94+G97+G100+G102+G104+G106</f>
        <v>12070855</v>
      </c>
      <c r="H107" s="238">
        <f t="shared" ref="H107:K107" si="2">H71+H74+H76+H78+H81+H83+H86+H88+H90+H92+H94+H97+H100+H102+H104+H106</f>
        <v>5046134</v>
      </c>
      <c r="I107" s="238">
        <f t="shared" si="2"/>
        <v>0</v>
      </c>
      <c r="J107" s="238">
        <f>J71+J74+J76+J78+J81+J83+J86+J88+J90+J92+J94+J97+J100+J102+J104+J106</f>
        <v>7086685</v>
      </c>
      <c r="K107" s="238">
        <f t="shared" si="2"/>
        <v>0</v>
      </c>
      <c r="L107" s="239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0"/>
      <c r="AR107" s="240"/>
      <c r="AS107" s="240"/>
      <c r="AT107" s="240"/>
      <c r="AU107" s="240"/>
      <c r="AV107" s="240"/>
      <c r="AW107" s="240"/>
      <c r="AX107" s="240"/>
      <c r="AY107" s="240"/>
      <c r="AZ107" s="240"/>
      <c r="BA107" s="240"/>
      <c r="BB107" s="240"/>
      <c r="BC107" s="240"/>
      <c r="BD107" s="240"/>
      <c r="BE107" s="240"/>
      <c r="BF107" s="240"/>
      <c r="BG107" s="240"/>
      <c r="BH107" s="240"/>
      <c r="BI107" s="240"/>
      <c r="BJ107" s="240"/>
      <c r="BK107" s="240"/>
      <c r="BL107" s="240"/>
      <c r="BM107" s="240"/>
      <c r="BN107" s="240"/>
      <c r="BO107" s="240"/>
      <c r="BP107" s="240"/>
      <c r="BQ107" s="240"/>
      <c r="BR107" s="240"/>
      <c r="BS107" s="240"/>
      <c r="BT107" s="240"/>
      <c r="BU107" s="240"/>
      <c r="BV107" s="240"/>
      <c r="BW107" s="240"/>
      <c r="BX107" s="240"/>
      <c r="BY107" s="240"/>
      <c r="BZ107" s="240"/>
      <c r="CA107" s="240"/>
      <c r="CB107" s="240"/>
    </row>
    <row r="108" spans="1:80" s="241" customFormat="1" ht="18" customHeight="1">
      <c r="A108" s="119"/>
      <c r="B108" s="119"/>
      <c r="C108" s="119"/>
      <c r="D108" s="119"/>
      <c r="E108" s="119"/>
      <c r="F108" s="242" t="s">
        <v>341</v>
      </c>
      <c r="G108" s="119"/>
      <c r="H108" s="119"/>
      <c r="I108" s="119"/>
      <c r="J108" s="119"/>
      <c r="K108" s="120"/>
      <c r="L108" s="118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40"/>
      <c r="AG108" s="240"/>
      <c r="AH108" s="240"/>
      <c r="AI108" s="240"/>
      <c r="AJ108" s="240"/>
      <c r="AK108" s="240"/>
      <c r="AL108" s="240"/>
      <c r="AM108" s="240"/>
      <c r="AN108" s="240"/>
      <c r="AO108" s="240"/>
      <c r="AP108" s="240"/>
      <c r="AQ108" s="240"/>
      <c r="AR108" s="240"/>
      <c r="AS108" s="240"/>
      <c r="AT108" s="240"/>
      <c r="AU108" s="240"/>
      <c r="AV108" s="240"/>
      <c r="AW108" s="240"/>
      <c r="AX108" s="240"/>
      <c r="AY108" s="240"/>
      <c r="AZ108" s="240"/>
      <c r="BA108" s="240"/>
      <c r="BB108" s="240"/>
      <c r="BC108" s="240"/>
      <c r="BD108" s="240"/>
      <c r="BE108" s="240"/>
      <c r="BF108" s="240"/>
      <c r="BG108" s="240"/>
      <c r="BH108" s="240"/>
      <c r="BI108" s="240"/>
      <c r="BJ108" s="240"/>
      <c r="BK108" s="240"/>
      <c r="BL108" s="240"/>
      <c r="BM108" s="240"/>
      <c r="BN108" s="240"/>
      <c r="BO108" s="240"/>
      <c r="BP108" s="240"/>
      <c r="BQ108" s="240"/>
      <c r="BR108" s="240"/>
      <c r="BS108" s="240"/>
      <c r="BT108" s="240"/>
      <c r="BU108" s="240"/>
      <c r="BV108" s="240"/>
      <c r="BW108" s="240"/>
      <c r="BX108" s="240"/>
      <c r="BY108" s="240"/>
      <c r="BZ108" s="240"/>
      <c r="CA108" s="240"/>
      <c r="CB108" s="240"/>
    </row>
    <row r="109" spans="1:80" s="222" customFormat="1" ht="27" customHeight="1">
      <c r="A109" s="243" t="s">
        <v>342</v>
      </c>
      <c r="B109" s="244"/>
      <c r="C109" s="244"/>
      <c r="D109" s="244"/>
      <c r="E109" s="119"/>
      <c r="F109" s="244"/>
      <c r="G109" s="245"/>
      <c r="H109" s="244"/>
      <c r="I109" s="244"/>
      <c r="J109" s="244"/>
      <c r="K109" s="246"/>
      <c r="L109" s="118"/>
    </row>
    <row r="110" spans="1:80" s="174" customFormat="1" ht="20.25" customHeight="1">
      <c r="A110" s="243" t="s">
        <v>343</v>
      </c>
      <c r="B110" s="244"/>
      <c r="C110" s="244"/>
      <c r="D110" s="244"/>
      <c r="E110" s="119"/>
      <c r="F110" s="244"/>
      <c r="G110" s="245"/>
      <c r="H110" s="244"/>
      <c r="I110" s="244"/>
      <c r="J110" s="244"/>
      <c r="K110" s="246"/>
      <c r="L110" s="118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</row>
    <row r="111" spans="1:80" s="222" customFormat="1" ht="21" customHeight="1">
      <c r="A111" s="243" t="s">
        <v>344</v>
      </c>
      <c r="B111" s="244"/>
      <c r="C111" s="244"/>
      <c r="D111" s="244"/>
      <c r="E111" s="119"/>
      <c r="F111" s="245"/>
      <c r="G111" s="245"/>
      <c r="H111" s="244"/>
      <c r="I111" s="244"/>
      <c r="J111" s="244"/>
      <c r="K111" s="246"/>
      <c r="L111" s="118"/>
    </row>
    <row r="112" spans="1:80" s="222" customFormat="1" ht="27" customHeight="1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20"/>
      <c r="L112" s="117"/>
    </row>
    <row r="113" spans="1:80" s="151" customFormat="1" ht="28.5" customHeight="1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20"/>
      <c r="L113" s="117"/>
    </row>
    <row r="114" spans="1:80" s="222" customFormat="1" ht="30" customHeight="1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6"/>
      <c r="L114" s="117"/>
    </row>
    <row r="115" spans="1:80" s="131" customFormat="1" ht="27" customHeight="1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6"/>
      <c r="L115" s="117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</row>
    <row r="117" spans="1:80" s="247" customFormat="1" ht="12.75" customHeight="1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K117" s="116"/>
      <c r="L117" s="117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</row>
    <row r="118" spans="1:80" s="247" customFormat="1" ht="12.75" customHeight="1">
      <c r="A118" s="115"/>
      <c r="B118" s="115"/>
      <c r="C118" s="115"/>
      <c r="D118" s="115"/>
      <c r="E118" s="115"/>
      <c r="F118" s="115"/>
      <c r="G118" s="115"/>
      <c r="H118" s="115"/>
      <c r="I118" s="115"/>
      <c r="J118" s="115"/>
      <c r="K118" s="116"/>
      <c r="L118" s="117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</row>
    <row r="119" spans="1:80" s="247" customFormat="1" ht="12.75" customHeight="1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6"/>
      <c r="L119" s="117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  <c r="BV119" s="125"/>
      <c r="BW119" s="125"/>
      <c r="BX119" s="125"/>
      <c r="BY119" s="125"/>
      <c r="BZ119" s="125"/>
      <c r="CA119" s="125"/>
      <c r="CB119" s="125"/>
    </row>
  </sheetData>
  <mergeCells count="36">
    <mergeCell ref="A44:E44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7:E7"/>
    <mergeCell ref="A12:E12"/>
    <mergeCell ref="A21:E21"/>
    <mergeCell ref="A32:E32"/>
    <mergeCell ref="A88:E88"/>
    <mergeCell ref="A51:E51"/>
    <mergeCell ref="A55:E55"/>
    <mergeCell ref="A59:E59"/>
    <mergeCell ref="A68:E68"/>
    <mergeCell ref="A71:E71"/>
    <mergeCell ref="A74:E74"/>
    <mergeCell ref="A76:E76"/>
    <mergeCell ref="A78:E78"/>
    <mergeCell ref="A81:E81"/>
    <mergeCell ref="A83:E83"/>
    <mergeCell ref="A86:E86"/>
    <mergeCell ref="A104:E104"/>
    <mergeCell ref="A106:E106"/>
    <mergeCell ref="A107:E107"/>
    <mergeCell ref="A90:E90"/>
    <mergeCell ref="A92:E92"/>
    <mergeCell ref="A94:E94"/>
    <mergeCell ref="A97:E97"/>
    <mergeCell ref="A100:E100"/>
    <mergeCell ref="A102:E102"/>
  </mergeCells>
  <pageMargins left="0.51181102362204722" right="0.51181102362204722" top="0.74803149606299213" bottom="0.74803149606299213" header="0.31496062992125984" footer="0.31496062992125984"/>
  <pageSetup paperSize="9" scale="80" orientation="landscape" horizontalDpi="4294967294" verticalDpi="0" r:id="rId1"/>
  <headerFooter differentOddEven="1" differentFirst="1">
    <oddFooter>&amp;C&amp;P</oddFooter>
    <evenFooter>&amp;C&amp;P</evenFooter>
    <firstHeader>&amp;RTabela Nr 2a
do uchwały Nr ................
Rady Powiatu w Otwocku
z dnia 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50"/>
  </sheetPr>
  <dimension ref="A3:D26"/>
  <sheetViews>
    <sheetView showGridLines="0" workbookViewId="0">
      <selection activeCell="D12" sqref="D12"/>
    </sheetView>
  </sheetViews>
  <sheetFormatPr defaultColWidth="9.33203125" defaultRowHeight="12.75"/>
  <cols>
    <col min="1" max="1" width="5.83203125" style="3" customWidth="1"/>
    <col min="2" max="2" width="62.83203125" style="3" customWidth="1"/>
    <col min="3" max="4" width="18.83203125" style="3" customWidth="1"/>
    <col min="5" max="16384" width="9.33203125" style="3"/>
  </cols>
  <sheetData>
    <row r="3" spans="1:4" s="2" customFormat="1" ht="15" customHeight="1">
      <c r="A3" s="403" t="s">
        <v>107</v>
      </c>
      <c r="B3" s="403"/>
      <c r="C3" s="403"/>
      <c r="D3" s="403"/>
    </row>
    <row r="4" spans="1:4">
      <c r="D4" s="4"/>
    </row>
    <row r="5" spans="1:4" ht="54" customHeight="1">
      <c r="A5" s="5" t="s">
        <v>53</v>
      </c>
      <c r="B5" s="5" t="s">
        <v>58</v>
      </c>
      <c r="C5" s="6" t="s">
        <v>59</v>
      </c>
      <c r="D5" s="6" t="s">
        <v>60</v>
      </c>
    </row>
    <row r="6" spans="1:4" s="25" customFormat="1" ht="16.5" customHeight="1">
      <c r="A6" s="41">
        <v>1</v>
      </c>
      <c r="B6" s="41">
        <v>2</v>
      </c>
      <c r="C6" s="41">
        <v>3</v>
      </c>
      <c r="D6" s="42">
        <v>4</v>
      </c>
    </row>
    <row r="7" spans="1:4" s="9" customFormat="1" ht="24.75" customHeight="1">
      <c r="A7" s="7" t="s">
        <v>54</v>
      </c>
      <c r="B7" s="8" t="s">
        <v>61</v>
      </c>
      <c r="C7" s="7"/>
      <c r="D7" s="88">
        <f>SUM(D8:D9)</f>
        <v>152650954.34999999</v>
      </c>
    </row>
    <row r="8" spans="1:4" s="12" customFormat="1" ht="24.75" customHeight="1">
      <c r="A8" s="10"/>
      <c r="B8" s="11" t="s">
        <v>62</v>
      </c>
      <c r="C8" s="10"/>
      <c r="D8" s="89">
        <v>139712086.34999999</v>
      </c>
    </row>
    <row r="9" spans="1:4" s="12" customFormat="1" ht="24.75" customHeight="1">
      <c r="A9" s="10"/>
      <c r="B9" s="11" t="s">
        <v>63</v>
      </c>
      <c r="C9" s="10"/>
      <c r="D9" s="90">
        <v>12938868</v>
      </c>
    </row>
    <row r="10" spans="1:4" s="9" customFormat="1" ht="24.75" customHeight="1">
      <c r="A10" s="7" t="s">
        <v>55</v>
      </c>
      <c r="B10" s="8" t="s">
        <v>64</v>
      </c>
      <c r="C10" s="7"/>
      <c r="D10" s="91">
        <f>SUM(D11,D12)</f>
        <v>157865545.34999999</v>
      </c>
    </row>
    <row r="11" spans="1:4" s="12" customFormat="1" ht="24.75" customHeight="1">
      <c r="A11" s="10"/>
      <c r="B11" s="11" t="s">
        <v>87</v>
      </c>
      <c r="C11" s="10"/>
      <c r="D11" s="92">
        <v>133661871.34999999</v>
      </c>
    </row>
    <row r="12" spans="1:4" s="12" customFormat="1" ht="24.75" customHeight="1">
      <c r="A12" s="10"/>
      <c r="B12" s="11" t="s">
        <v>65</v>
      </c>
      <c r="C12" s="10"/>
      <c r="D12" s="93">
        <v>24203674</v>
      </c>
    </row>
    <row r="13" spans="1:4" s="9" customFormat="1" ht="24.75" customHeight="1">
      <c r="A13" s="7" t="s">
        <v>56</v>
      </c>
      <c r="B13" s="8" t="s">
        <v>66</v>
      </c>
      <c r="C13" s="13"/>
      <c r="D13" s="88">
        <f>D7-D10</f>
        <v>-5214591</v>
      </c>
    </row>
    <row r="14" spans="1:4" ht="24.75" customHeight="1">
      <c r="A14" s="404" t="s">
        <v>67</v>
      </c>
      <c r="B14" s="405"/>
      <c r="C14" s="14"/>
      <c r="D14" s="95">
        <f>SUM(D15:D18)</f>
        <v>11002861</v>
      </c>
    </row>
    <row r="15" spans="1:4" ht="24.75" customHeight="1">
      <c r="A15" s="15" t="s">
        <v>54</v>
      </c>
      <c r="B15" s="20" t="s">
        <v>84</v>
      </c>
      <c r="C15" s="15" t="s">
        <v>69</v>
      </c>
      <c r="D15" s="94">
        <f>3044404+168457</f>
        <v>3212861</v>
      </c>
    </row>
    <row r="16" spans="1:4" ht="32.25" customHeight="1">
      <c r="A16" s="15" t="s">
        <v>55</v>
      </c>
      <c r="B16" s="58" t="s">
        <v>100</v>
      </c>
      <c r="C16" s="15" t="s">
        <v>101</v>
      </c>
      <c r="D16" s="94">
        <v>0</v>
      </c>
    </row>
    <row r="17" spans="1:4" ht="24.75" customHeight="1">
      <c r="A17" s="15" t="s">
        <v>56</v>
      </c>
      <c r="B17" s="16" t="s">
        <v>82</v>
      </c>
      <c r="C17" s="15" t="s">
        <v>68</v>
      </c>
      <c r="D17" s="94">
        <v>7790000</v>
      </c>
    </row>
    <row r="18" spans="1:4" ht="24.75" customHeight="1">
      <c r="A18" s="15" t="s">
        <v>57</v>
      </c>
      <c r="B18" s="18" t="s">
        <v>83</v>
      </c>
      <c r="C18" s="15" t="s">
        <v>68</v>
      </c>
      <c r="D18" s="19">
        <v>0</v>
      </c>
    </row>
    <row r="19" spans="1:4" ht="24.75" customHeight="1">
      <c r="A19" s="404" t="s">
        <v>70</v>
      </c>
      <c r="B19" s="405"/>
      <c r="C19" s="21"/>
      <c r="D19" s="95">
        <f>SUM(D20:D22)</f>
        <v>5788270</v>
      </c>
    </row>
    <row r="20" spans="1:4" s="59" customFormat="1" ht="24.75" customHeight="1">
      <c r="A20" s="15" t="s">
        <v>54</v>
      </c>
      <c r="B20" s="18" t="s">
        <v>103</v>
      </c>
      <c r="C20" s="15" t="s">
        <v>102</v>
      </c>
      <c r="D20" s="94">
        <v>0</v>
      </c>
    </row>
    <row r="21" spans="1:4" ht="24.75" customHeight="1">
      <c r="A21" s="15" t="s">
        <v>55</v>
      </c>
      <c r="B21" s="18" t="s">
        <v>85</v>
      </c>
      <c r="C21" s="15" t="s">
        <v>71</v>
      </c>
      <c r="D21" s="94">
        <v>5788270</v>
      </c>
    </row>
    <row r="22" spans="1:4" ht="24.75" customHeight="1">
      <c r="A22" s="15" t="s">
        <v>56</v>
      </c>
      <c r="B22" s="18" t="s">
        <v>86</v>
      </c>
      <c r="C22" s="15" t="s">
        <v>71</v>
      </c>
      <c r="D22" s="17">
        <v>0</v>
      </c>
    </row>
    <row r="23" spans="1:4" ht="21.75" customHeight="1">
      <c r="A23" s="22"/>
      <c r="B23" s="23"/>
      <c r="C23" s="22"/>
      <c r="D23" s="24"/>
    </row>
    <row r="24" spans="1:4" ht="24.75" customHeight="1"/>
    <row r="25" spans="1:4" ht="24.75" customHeight="1"/>
    <row r="26" spans="1:4" ht="24.75" customHeight="1"/>
  </sheetData>
  <sheetProtection algorithmName="SHA-512" hashValue="+pME3OFYs35po4BuFnVAoy2/37jo4fam40Qk7NOGCzgDrIwOhwiwjFNqx5FQ1EPHfE7cwb/GGs1P6xn8ksQ12g==" saltValue="5bOWaXAR/JBsFPs9dRUxIQ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50"/>
  </sheetPr>
  <dimension ref="A1:F202"/>
  <sheetViews>
    <sheetView zoomScale="126" zoomScaleNormal="126" workbookViewId="0">
      <pane ySplit="4" topLeftCell="A93" activePane="bottomLeft" state="frozen"/>
      <selection activeCell="C11" sqref="C11:I13"/>
      <selection pane="bottomLeft" activeCell="F95" sqref="F95"/>
    </sheetView>
  </sheetViews>
  <sheetFormatPr defaultColWidth="9.33203125" defaultRowHeight="12"/>
  <cols>
    <col min="1" max="1" width="6.33203125" style="26" customWidth="1"/>
    <col min="2" max="2" width="9.5" style="26" customWidth="1"/>
    <col min="3" max="3" width="10.1640625" style="27" customWidth="1"/>
    <col min="4" max="4" width="61.5" style="28" customWidth="1"/>
    <col min="5" max="6" width="17" style="29" customWidth="1"/>
    <col min="7" max="16384" width="9.33203125" style="30"/>
  </cols>
  <sheetData>
    <row r="1" spans="1:6" ht="12.75" customHeight="1"/>
    <row r="2" spans="1:6" ht="30.75" customHeight="1">
      <c r="A2" s="406" t="s">
        <v>108</v>
      </c>
      <c r="B2" s="406"/>
      <c r="C2" s="406"/>
      <c r="D2" s="406"/>
      <c r="E2" s="406"/>
      <c r="F2" s="406"/>
    </row>
    <row r="3" spans="1:6" ht="9.75" customHeight="1"/>
    <row r="4" spans="1:6" s="27" customFormat="1" ht="25.5" customHeight="1">
      <c r="A4" s="45" t="s">
        <v>0</v>
      </c>
      <c r="B4" s="45" t="s">
        <v>1</v>
      </c>
      <c r="C4" s="46" t="s">
        <v>72</v>
      </c>
      <c r="D4" s="47" t="s">
        <v>73</v>
      </c>
      <c r="E4" s="48" t="s">
        <v>74</v>
      </c>
      <c r="F4" s="48" t="s">
        <v>75</v>
      </c>
    </row>
    <row r="5" spans="1:6" s="31" customFormat="1" ht="17.25" customHeight="1">
      <c r="A5" s="49" t="s">
        <v>2</v>
      </c>
      <c r="B5" s="49"/>
      <c r="C5" s="50"/>
      <c r="D5" s="51" t="s">
        <v>16</v>
      </c>
      <c r="E5" s="52">
        <f>SUM(E6)</f>
        <v>82140</v>
      </c>
      <c r="F5" s="52">
        <f>SUM(F6)</f>
        <v>82140</v>
      </c>
    </row>
    <row r="6" spans="1:6" s="31" customFormat="1" ht="17.25" customHeight="1">
      <c r="A6" s="37"/>
      <c r="B6" s="37" t="s">
        <v>3</v>
      </c>
      <c r="C6" s="38"/>
      <c r="D6" s="39" t="s">
        <v>4</v>
      </c>
      <c r="E6" s="40">
        <f>SUM(E7)</f>
        <v>82140</v>
      </c>
      <c r="F6" s="40">
        <f>SUM(F8)</f>
        <v>82140</v>
      </c>
    </row>
    <row r="7" spans="1:6" s="31" customFormat="1" ht="42" customHeight="1">
      <c r="A7" s="32"/>
      <c r="B7" s="32"/>
      <c r="C7" s="33">
        <v>2110</v>
      </c>
      <c r="D7" s="34" t="s">
        <v>5</v>
      </c>
      <c r="E7" s="35">
        <f>12000+70470-330</f>
        <v>82140</v>
      </c>
      <c r="F7" s="35"/>
    </row>
    <row r="8" spans="1:6" s="31" customFormat="1" ht="15.75" customHeight="1">
      <c r="A8" s="32"/>
      <c r="B8" s="32"/>
      <c r="C8" s="33">
        <v>4300</v>
      </c>
      <c r="D8" s="34" t="s">
        <v>17</v>
      </c>
      <c r="E8" s="35"/>
      <c r="F8" s="35">
        <f>12000+70470-330</f>
        <v>82140</v>
      </c>
    </row>
    <row r="9" spans="1:6" s="31" customFormat="1" ht="17.25" customHeight="1">
      <c r="A9" s="49">
        <v>700</v>
      </c>
      <c r="B9" s="49"/>
      <c r="C9" s="50"/>
      <c r="D9" s="51" t="s">
        <v>31</v>
      </c>
      <c r="E9" s="52">
        <f>SUM(E10)</f>
        <v>301194</v>
      </c>
      <c r="F9" s="52">
        <f>SUM(F10)</f>
        <v>301194</v>
      </c>
    </row>
    <row r="10" spans="1:6" s="31" customFormat="1" ht="17.25" customHeight="1">
      <c r="A10" s="37"/>
      <c r="B10" s="37">
        <v>70005</v>
      </c>
      <c r="C10" s="38"/>
      <c r="D10" s="39" t="s">
        <v>32</v>
      </c>
      <c r="E10" s="40">
        <f>SUM(E11)</f>
        <v>301194</v>
      </c>
      <c r="F10" s="40">
        <f>SUM(F11:F26)</f>
        <v>301194</v>
      </c>
    </row>
    <row r="11" spans="1:6" s="68" customFormat="1" ht="42.75" customHeight="1">
      <c r="A11" s="64"/>
      <c r="B11" s="64"/>
      <c r="C11" s="65">
        <v>2110</v>
      </c>
      <c r="D11" s="66" t="s">
        <v>5</v>
      </c>
      <c r="E11" s="67">
        <v>301194</v>
      </c>
      <c r="F11" s="67"/>
    </row>
    <row r="12" spans="1:6" s="57" customFormat="1" ht="15.75" customHeight="1">
      <c r="A12" s="54"/>
      <c r="B12" s="54"/>
      <c r="C12" s="55">
        <v>4010</v>
      </c>
      <c r="D12" s="60" t="s">
        <v>20</v>
      </c>
      <c r="E12" s="77"/>
      <c r="F12" s="77">
        <v>43900</v>
      </c>
    </row>
    <row r="13" spans="1:6" s="57" customFormat="1" ht="15.75" customHeight="1">
      <c r="A13" s="54"/>
      <c r="B13" s="54"/>
      <c r="C13" s="55">
        <v>4110</v>
      </c>
      <c r="D13" s="60" t="s">
        <v>22</v>
      </c>
      <c r="E13" s="77"/>
      <c r="F13" s="77">
        <f>7540+450+1100</f>
        <v>9090</v>
      </c>
    </row>
    <row r="14" spans="1:6" s="57" customFormat="1" ht="26.25" customHeight="1">
      <c r="A14" s="54"/>
      <c r="B14" s="54"/>
      <c r="C14" s="55">
        <v>4120</v>
      </c>
      <c r="D14" s="60" t="s">
        <v>124</v>
      </c>
      <c r="E14" s="77"/>
      <c r="F14" s="77">
        <f>1070+70+120</f>
        <v>1260</v>
      </c>
    </row>
    <row r="15" spans="1:6" s="57" customFormat="1" ht="15.75" customHeight="1">
      <c r="A15" s="54"/>
      <c r="B15" s="54"/>
      <c r="C15" s="55">
        <v>4170</v>
      </c>
      <c r="D15" s="60" t="s">
        <v>23</v>
      </c>
      <c r="E15" s="77"/>
      <c r="F15" s="77">
        <f>2000+1000+4000+4690</f>
        <v>11690</v>
      </c>
    </row>
    <row r="16" spans="1:6" s="57" customFormat="1" ht="15.75" customHeight="1">
      <c r="A16" s="54"/>
      <c r="B16" s="54"/>
      <c r="C16" s="55">
        <v>4210</v>
      </c>
      <c r="D16" s="60" t="s">
        <v>18</v>
      </c>
      <c r="E16" s="56"/>
      <c r="F16" s="56">
        <f>435-382</f>
        <v>53</v>
      </c>
    </row>
    <row r="17" spans="1:6" s="57" customFormat="1" ht="15.75" customHeight="1">
      <c r="A17" s="54"/>
      <c r="B17" s="54"/>
      <c r="C17" s="55">
        <v>4260</v>
      </c>
      <c r="D17" s="60" t="s">
        <v>24</v>
      </c>
      <c r="E17" s="56"/>
      <c r="F17" s="56">
        <v>0</v>
      </c>
    </row>
    <row r="18" spans="1:6" s="57" customFormat="1" ht="15.75" customHeight="1">
      <c r="A18" s="54"/>
      <c r="B18" s="54"/>
      <c r="C18" s="55">
        <v>4270</v>
      </c>
      <c r="D18" s="60" t="s">
        <v>25</v>
      </c>
      <c r="E18" s="56"/>
      <c r="F18" s="56">
        <f>15000-4690</f>
        <v>10310</v>
      </c>
    </row>
    <row r="19" spans="1:6" s="57" customFormat="1" ht="15.75" customHeight="1">
      <c r="A19" s="54"/>
      <c r="B19" s="54"/>
      <c r="C19" s="55">
        <v>4300</v>
      </c>
      <c r="D19" s="60" t="s">
        <v>17</v>
      </c>
      <c r="E19" s="56"/>
      <c r="F19" s="56">
        <v>56700</v>
      </c>
    </row>
    <row r="20" spans="1:6" s="57" customFormat="1" ht="15.75" customHeight="1">
      <c r="A20" s="54"/>
      <c r="B20" s="54"/>
      <c r="C20" s="55">
        <v>4390</v>
      </c>
      <c r="D20" s="60" t="s">
        <v>33</v>
      </c>
      <c r="E20" s="56"/>
      <c r="F20" s="77">
        <v>41434</v>
      </c>
    </row>
    <row r="21" spans="1:6" s="57" customFormat="1" ht="15.75" customHeight="1">
      <c r="A21" s="54"/>
      <c r="B21" s="54"/>
      <c r="C21" s="55">
        <v>4430</v>
      </c>
      <c r="D21" s="60" t="s">
        <v>27</v>
      </c>
      <c r="E21" s="56"/>
      <c r="F21" s="77">
        <f>4100-4100</f>
        <v>0</v>
      </c>
    </row>
    <row r="22" spans="1:6" s="57" customFormat="1" ht="15.75" customHeight="1">
      <c r="A22" s="54"/>
      <c r="B22" s="54"/>
      <c r="C22" s="55">
        <v>4480</v>
      </c>
      <c r="D22" s="60" t="s">
        <v>29</v>
      </c>
      <c r="E22" s="56"/>
      <c r="F22" s="77">
        <v>94000</v>
      </c>
    </row>
    <row r="23" spans="1:6" s="57" customFormat="1" ht="15.75" customHeight="1">
      <c r="A23" s="54"/>
      <c r="B23" s="54"/>
      <c r="C23" s="55">
        <v>4520</v>
      </c>
      <c r="D23" s="60" t="s">
        <v>30</v>
      </c>
      <c r="E23" s="56"/>
      <c r="F23" s="77">
        <f>10000-2472</f>
        <v>7528</v>
      </c>
    </row>
    <row r="24" spans="1:6" s="57" customFormat="1" ht="15.75" customHeight="1">
      <c r="A24" s="54"/>
      <c r="B24" s="54"/>
      <c r="C24" s="55">
        <v>4580</v>
      </c>
      <c r="D24" s="60" t="s">
        <v>34</v>
      </c>
      <c r="E24" s="56"/>
      <c r="F24" s="77">
        <v>3955</v>
      </c>
    </row>
    <row r="25" spans="1:6" s="73" customFormat="1" ht="15.75" customHeight="1">
      <c r="A25" s="78"/>
      <c r="B25" s="78"/>
      <c r="C25" s="79">
        <v>4590</v>
      </c>
      <c r="D25" s="84" t="s">
        <v>35</v>
      </c>
      <c r="E25" s="77"/>
      <c r="F25" s="77">
        <f>9000-3000+8858+4636</f>
        <v>19494</v>
      </c>
    </row>
    <row r="26" spans="1:6" s="57" customFormat="1" ht="15.75" customHeight="1">
      <c r="A26" s="54"/>
      <c r="B26" s="54"/>
      <c r="C26" s="55">
        <v>4610</v>
      </c>
      <c r="D26" s="60" t="s">
        <v>36</v>
      </c>
      <c r="E26" s="56"/>
      <c r="F26" s="77">
        <v>1780</v>
      </c>
    </row>
    <row r="27" spans="1:6" s="31" customFormat="1" ht="17.25" customHeight="1">
      <c r="A27" s="49">
        <v>710</v>
      </c>
      <c r="B27" s="49"/>
      <c r="C27" s="50"/>
      <c r="D27" s="51" t="s">
        <v>37</v>
      </c>
      <c r="E27" s="52">
        <f>SUM(E28,E34)</f>
        <v>1207079</v>
      </c>
      <c r="F27" s="52">
        <f>SUM(F28,F34)</f>
        <v>1207079</v>
      </c>
    </row>
    <row r="28" spans="1:6" s="31" customFormat="1" ht="17.25" customHeight="1">
      <c r="A28" s="37"/>
      <c r="B28" s="37" t="s">
        <v>81</v>
      </c>
      <c r="C28" s="38"/>
      <c r="D28" s="1" t="s">
        <v>80</v>
      </c>
      <c r="E28" s="40">
        <f>SUM(E29)</f>
        <v>347409</v>
      </c>
      <c r="F28" s="40">
        <f>SUM(F30:F33)</f>
        <v>347409</v>
      </c>
    </row>
    <row r="29" spans="1:6" s="31" customFormat="1" ht="42.75" customHeight="1">
      <c r="A29" s="32"/>
      <c r="B29" s="32"/>
      <c r="C29" s="33">
        <v>2110</v>
      </c>
      <c r="D29" s="34" t="s">
        <v>5</v>
      </c>
      <c r="E29" s="35">
        <f>353144-5735</f>
        <v>347409</v>
      </c>
      <c r="F29" s="35"/>
    </row>
    <row r="30" spans="1:6" s="57" customFormat="1" ht="15.75" customHeight="1">
      <c r="A30" s="54"/>
      <c r="B30" s="54"/>
      <c r="C30" s="55">
        <v>4010</v>
      </c>
      <c r="D30" s="60" t="s">
        <v>20</v>
      </c>
      <c r="E30" s="56"/>
      <c r="F30" s="77">
        <v>217943</v>
      </c>
    </row>
    <row r="31" spans="1:6" s="57" customFormat="1" ht="15.75" customHeight="1">
      <c r="A31" s="54"/>
      <c r="B31" s="54"/>
      <c r="C31" s="55">
        <v>4110</v>
      </c>
      <c r="D31" s="60" t="s">
        <v>22</v>
      </c>
      <c r="E31" s="56"/>
      <c r="F31" s="77">
        <v>40318</v>
      </c>
    </row>
    <row r="32" spans="1:6" s="57" customFormat="1" ht="29.25" customHeight="1">
      <c r="A32" s="54"/>
      <c r="B32" s="54"/>
      <c r="C32" s="55">
        <v>4120</v>
      </c>
      <c r="D32" s="60" t="s">
        <v>124</v>
      </c>
      <c r="E32" s="56"/>
      <c r="F32" s="77">
        <v>5787</v>
      </c>
    </row>
    <row r="33" spans="1:6" s="57" customFormat="1" ht="15.75" customHeight="1">
      <c r="A33" s="54"/>
      <c r="B33" s="54"/>
      <c r="C33" s="55">
        <v>4300</v>
      </c>
      <c r="D33" s="60" t="s">
        <v>17</v>
      </c>
      <c r="E33" s="56"/>
      <c r="F33" s="56">
        <f>89096-5735</f>
        <v>83361</v>
      </c>
    </row>
    <row r="34" spans="1:6" s="31" customFormat="1" ht="17.25" customHeight="1">
      <c r="A34" s="37"/>
      <c r="B34" s="37">
        <v>71015</v>
      </c>
      <c r="C34" s="38"/>
      <c r="D34" s="39" t="s">
        <v>39</v>
      </c>
      <c r="E34" s="40">
        <f>SUM(E35:E35)</f>
        <v>859670</v>
      </c>
      <c r="F34" s="40">
        <f>SUM(F36:F55)</f>
        <v>859670</v>
      </c>
    </row>
    <row r="35" spans="1:6" s="31" customFormat="1" ht="42.75" customHeight="1">
      <c r="A35" s="32"/>
      <c r="B35" s="32"/>
      <c r="C35" s="33">
        <v>2110</v>
      </c>
      <c r="D35" s="34" t="s">
        <v>5</v>
      </c>
      <c r="E35" s="67">
        <v>859670</v>
      </c>
      <c r="F35" s="67"/>
    </row>
    <row r="36" spans="1:6" s="31" customFormat="1" ht="15.75" customHeight="1">
      <c r="A36" s="32"/>
      <c r="B36" s="32"/>
      <c r="C36" s="33">
        <v>3020</v>
      </c>
      <c r="D36" s="34" t="s">
        <v>19</v>
      </c>
      <c r="E36" s="67"/>
      <c r="F36" s="67">
        <f>450-230</f>
        <v>220</v>
      </c>
    </row>
    <row r="37" spans="1:6" s="31" customFormat="1" ht="15.75" customHeight="1">
      <c r="A37" s="32"/>
      <c r="B37" s="32"/>
      <c r="C37" s="33">
        <v>4010</v>
      </c>
      <c r="D37" s="34" t="s">
        <v>20</v>
      </c>
      <c r="E37" s="67"/>
      <c r="F37" s="67">
        <f>111305+4459-1704</f>
        <v>114060</v>
      </c>
    </row>
    <row r="38" spans="1:6" s="31" customFormat="1" ht="15.75" customHeight="1">
      <c r="A38" s="32"/>
      <c r="B38" s="32"/>
      <c r="C38" s="33">
        <v>4020</v>
      </c>
      <c r="D38" s="34" t="s">
        <v>40</v>
      </c>
      <c r="E38" s="67"/>
      <c r="F38" s="67">
        <f>401462+10757+18990-466</f>
        <v>430743</v>
      </c>
    </row>
    <row r="39" spans="1:6" s="31" customFormat="1" ht="15.75" customHeight="1">
      <c r="A39" s="32"/>
      <c r="B39" s="32"/>
      <c r="C39" s="33">
        <v>4040</v>
      </c>
      <c r="D39" s="34" t="s">
        <v>21</v>
      </c>
      <c r="E39" s="67"/>
      <c r="F39" s="67">
        <v>33372</v>
      </c>
    </row>
    <row r="40" spans="1:6" s="31" customFormat="1" ht="15.75" customHeight="1">
      <c r="A40" s="32"/>
      <c r="B40" s="32"/>
      <c r="C40" s="33">
        <v>4110</v>
      </c>
      <c r="D40" s="34" t="s">
        <v>22</v>
      </c>
      <c r="E40" s="67"/>
      <c r="F40" s="67">
        <f>94460+918+357</f>
        <v>95735</v>
      </c>
    </row>
    <row r="41" spans="1:6" s="31" customFormat="1" ht="27.75" customHeight="1">
      <c r="A41" s="32"/>
      <c r="B41" s="32"/>
      <c r="C41" s="33">
        <v>4120</v>
      </c>
      <c r="D41" s="34" t="s">
        <v>124</v>
      </c>
      <c r="E41" s="67"/>
      <c r="F41" s="67">
        <f>13534-2596</f>
        <v>10938</v>
      </c>
    </row>
    <row r="42" spans="1:6" s="31" customFormat="1" ht="15.75" customHeight="1">
      <c r="A42" s="32"/>
      <c r="B42" s="32"/>
      <c r="C42" s="33">
        <v>4170</v>
      </c>
      <c r="D42" s="34" t="s">
        <v>23</v>
      </c>
      <c r="E42" s="67"/>
      <c r="F42" s="67">
        <f>7770-4265</f>
        <v>3505</v>
      </c>
    </row>
    <row r="43" spans="1:6" s="31" customFormat="1" ht="15.75" customHeight="1">
      <c r="A43" s="32"/>
      <c r="B43" s="32"/>
      <c r="C43" s="33">
        <v>4210</v>
      </c>
      <c r="D43" s="34" t="s">
        <v>18</v>
      </c>
      <c r="E43" s="67"/>
      <c r="F43" s="67">
        <f>32141+6235+5642</f>
        <v>44018</v>
      </c>
    </row>
    <row r="44" spans="1:6" s="31" customFormat="1" ht="15.75" customHeight="1">
      <c r="A44" s="32"/>
      <c r="B44" s="32"/>
      <c r="C44" s="33">
        <v>4260</v>
      </c>
      <c r="D44" s="34" t="s">
        <v>24</v>
      </c>
      <c r="E44" s="67"/>
      <c r="F44" s="67">
        <v>14548</v>
      </c>
    </row>
    <row r="45" spans="1:6" s="31" customFormat="1" ht="15.75" customHeight="1">
      <c r="A45" s="32"/>
      <c r="B45" s="32"/>
      <c r="C45" s="33">
        <v>4270</v>
      </c>
      <c r="D45" s="34" t="s">
        <v>25</v>
      </c>
      <c r="E45" s="67"/>
      <c r="F45" s="67">
        <v>5708</v>
      </c>
    </row>
    <row r="46" spans="1:6" s="31" customFormat="1" ht="15.75" customHeight="1">
      <c r="A46" s="32"/>
      <c r="B46" s="32"/>
      <c r="C46" s="33">
        <v>4280</v>
      </c>
      <c r="D46" s="34" t="s">
        <v>38</v>
      </c>
      <c r="E46" s="67"/>
      <c r="F46" s="67">
        <f>906-174-442</f>
        <v>290</v>
      </c>
    </row>
    <row r="47" spans="1:6" s="31" customFormat="1" ht="15.75" customHeight="1">
      <c r="A47" s="32"/>
      <c r="B47" s="32"/>
      <c r="C47" s="33">
        <v>4300</v>
      </c>
      <c r="D47" s="34" t="s">
        <v>17</v>
      </c>
      <c r="E47" s="67"/>
      <c r="F47" s="67">
        <f>77429+5000</f>
        <v>82429</v>
      </c>
    </row>
    <row r="48" spans="1:6" s="31" customFormat="1" ht="15.75" customHeight="1">
      <c r="A48" s="32"/>
      <c r="B48" s="32"/>
      <c r="C48" s="33">
        <v>4360</v>
      </c>
      <c r="D48" s="34" t="s">
        <v>76</v>
      </c>
      <c r="E48" s="67"/>
      <c r="F48" s="67">
        <v>3224</v>
      </c>
    </row>
    <row r="49" spans="1:6" s="31" customFormat="1" ht="15.75" customHeight="1">
      <c r="A49" s="32"/>
      <c r="B49" s="32"/>
      <c r="C49" s="33">
        <v>4410</v>
      </c>
      <c r="D49" s="34" t="s">
        <v>26</v>
      </c>
      <c r="E49" s="67"/>
      <c r="F49" s="67">
        <f>3190-477</f>
        <v>2713</v>
      </c>
    </row>
    <row r="50" spans="1:6" s="31" customFormat="1" ht="15.75" customHeight="1">
      <c r="A50" s="32"/>
      <c r="B50" s="32"/>
      <c r="C50" s="33">
        <v>4430</v>
      </c>
      <c r="D50" s="34" t="s">
        <v>27</v>
      </c>
      <c r="E50" s="67"/>
      <c r="F50" s="67">
        <f>4506-314</f>
        <v>4192</v>
      </c>
    </row>
    <row r="51" spans="1:6" s="31" customFormat="1" ht="15.75" customHeight="1">
      <c r="A51" s="32"/>
      <c r="B51" s="32"/>
      <c r="C51" s="33">
        <v>4440</v>
      </c>
      <c r="D51" s="34" t="s">
        <v>28</v>
      </c>
      <c r="E51" s="67"/>
      <c r="F51" s="67">
        <f>12549-454+174</f>
        <v>12269</v>
      </c>
    </row>
    <row r="52" spans="1:6" s="31" customFormat="1" ht="15.75" customHeight="1">
      <c r="A52" s="32"/>
      <c r="B52" s="32"/>
      <c r="C52" s="33">
        <v>4480</v>
      </c>
      <c r="D52" s="34" t="s">
        <v>29</v>
      </c>
      <c r="E52" s="67"/>
      <c r="F52" s="67">
        <f>1409-163</f>
        <v>1246</v>
      </c>
    </row>
    <row r="53" spans="1:6" s="31" customFormat="1" ht="15.75" customHeight="1">
      <c r="A53" s="32"/>
      <c r="B53" s="32"/>
      <c r="C53" s="33">
        <v>4550</v>
      </c>
      <c r="D53" s="34" t="s">
        <v>41</v>
      </c>
      <c r="E53" s="67"/>
      <c r="F53" s="67">
        <f>1100-750</f>
        <v>350</v>
      </c>
    </row>
    <row r="54" spans="1:6" s="31" customFormat="1" ht="15.75" customHeight="1">
      <c r="A54" s="32"/>
      <c r="B54" s="32"/>
      <c r="C54" s="33">
        <v>4610</v>
      </c>
      <c r="D54" s="34" t="s">
        <v>36</v>
      </c>
      <c r="E54" s="67"/>
      <c r="F54" s="67">
        <f>5000-5000</f>
        <v>0</v>
      </c>
    </row>
    <row r="55" spans="1:6" s="31" customFormat="1" ht="27.75" customHeight="1">
      <c r="A55" s="32"/>
      <c r="B55" s="32"/>
      <c r="C55" s="33">
        <v>4700</v>
      </c>
      <c r="D55" s="34" t="s">
        <v>77</v>
      </c>
      <c r="E55" s="35"/>
      <c r="F55" s="35">
        <f>1100-990</f>
        <v>110</v>
      </c>
    </row>
    <row r="56" spans="1:6" s="31" customFormat="1" ht="16.5" customHeight="1">
      <c r="A56" s="49">
        <v>750</v>
      </c>
      <c r="B56" s="49"/>
      <c r="C56" s="50"/>
      <c r="D56" s="51" t="s">
        <v>42</v>
      </c>
      <c r="E56" s="52">
        <f>SUM(E57,E62)</f>
        <v>71916</v>
      </c>
      <c r="F56" s="52">
        <f>SUM(F57,F62)</f>
        <v>71916</v>
      </c>
    </row>
    <row r="57" spans="1:6" s="31" customFormat="1" ht="17.25" customHeight="1">
      <c r="A57" s="37"/>
      <c r="B57" s="37">
        <v>75011</v>
      </c>
      <c r="C57" s="38"/>
      <c r="D57" s="39" t="s">
        <v>43</v>
      </c>
      <c r="E57" s="40">
        <f>SUM(E58)</f>
        <v>39104</v>
      </c>
      <c r="F57" s="40">
        <f>SUM(F59:F61)</f>
        <v>39104</v>
      </c>
    </row>
    <row r="58" spans="1:6" s="31" customFormat="1" ht="42.75" customHeight="1">
      <c r="A58" s="32"/>
      <c r="B58" s="32"/>
      <c r="C58" s="33">
        <v>2110</v>
      </c>
      <c r="D58" s="34" t="s">
        <v>5</v>
      </c>
      <c r="E58" s="67">
        <v>39104</v>
      </c>
      <c r="F58" s="35"/>
    </row>
    <row r="59" spans="1:6" s="57" customFormat="1" ht="15.75" customHeight="1">
      <c r="A59" s="54"/>
      <c r="B59" s="54"/>
      <c r="C59" s="55">
        <v>4010</v>
      </c>
      <c r="D59" s="60" t="s">
        <v>20</v>
      </c>
      <c r="E59" s="56"/>
      <c r="F59" s="56">
        <v>32094</v>
      </c>
    </row>
    <row r="60" spans="1:6" s="57" customFormat="1" ht="15.75" customHeight="1">
      <c r="A60" s="54"/>
      <c r="B60" s="54"/>
      <c r="C60" s="55">
        <v>4110</v>
      </c>
      <c r="D60" s="60" t="s">
        <v>22</v>
      </c>
      <c r="E60" s="56"/>
      <c r="F60" s="56">
        <v>6136</v>
      </c>
    </row>
    <row r="61" spans="1:6" s="57" customFormat="1" ht="29.25" customHeight="1">
      <c r="A61" s="54"/>
      <c r="B61" s="54"/>
      <c r="C61" s="55">
        <v>4120</v>
      </c>
      <c r="D61" s="60" t="s">
        <v>124</v>
      </c>
      <c r="E61" s="56"/>
      <c r="F61" s="56">
        <v>874</v>
      </c>
    </row>
    <row r="62" spans="1:6" s="31" customFormat="1" ht="17.25" customHeight="1">
      <c r="A62" s="37"/>
      <c r="B62" s="37">
        <v>75045</v>
      </c>
      <c r="C62" s="38"/>
      <c r="D62" s="39" t="s">
        <v>7</v>
      </c>
      <c r="E62" s="40">
        <f>SUM(E63)</f>
        <v>32812</v>
      </c>
      <c r="F62" s="40">
        <f>SUM(F64:F68)</f>
        <v>32812</v>
      </c>
    </row>
    <row r="63" spans="1:6" s="31" customFormat="1" ht="42.75" customHeight="1">
      <c r="A63" s="32"/>
      <c r="B63" s="32"/>
      <c r="C63" s="33">
        <v>2110</v>
      </c>
      <c r="D63" s="34" t="s">
        <v>5</v>
      </c>
      <c r="E63" s="35">
        <f>25000+9660-1848</f>
        <v>32812</v>
      </c>
      <c r="F63" s="35"/>
    </row>
    <row r="64" spans="1:6" s="57" customFormat="1" ht="15.75" customHeight="1">
      <c r="A64" s="54"/>
      <c r="B64" s="54"/>
      <c r="C64" s="55">
        <v>4110</v>
      </c>
      <c r="D64" s="60" t="s">
        <v>22</v>
      </c>
      <c r="E64" s="56"/>
      <c r="F64" s="56">
        <v>1599</v>
      </c>
    </row>
    <row r="65" spans="1:6" s="57" customFormat="1" ht="24.75" customHeight="1">
      <c r="A65" s="54"/>
      <c r="B65" s="54"/>
      <c r="C65" s="55">
        <v>4120</v>
      </c>
      <c r="D65" s="60" t="s">
        <v>124</v>
      </c>
      <c r="E65" s="56"/>
      <c r="F65" s="56">
        <v>187</v>
      </c>
    </row>
    <row r="66" spans="1:6" s="57" customFormat="1" ht="15.75" customHeight="1">
      <c r="A66" s="54"/>
      <c r="B66" s="54"/>
      <c r="C66" s="55">
        <v>4170</v>
      </c>
      <c r="D66" s="60" t="s">
        <v>23</v>
      </c>
      <c r="E66" s="56"/>
      <c r="F66" s="56">
        <f>21300+9420</f>
        <v>30720</v>
      </c>
    </row>
    <row r="67" spans="1:6" s="57" customFormat="1" ht="15.75" customHeight="1">
      <c r="A67" s="54"/>
      <c r="B67" s="54"/>
      <c r="C67" s="55">
        <v>4210</v>
      </c>
      <c r="D67" s="60" t="s">
        <v>18</v>
      </c>
      <c r="E67" s="56"/>
      <c r="F67" s="56">
        <f>1739+240-1673</f>
        <v>306</v>
      </c>
    </row>
    <row r="68" spans="1:6" s="57" customFormat="1" ht="15.75" customHeight="1">
      <c r="A68" s="54"/>
      <c r="B68" s="54"/>
      <c r="C68" s="55">
        <v>4300</v>
      </c>
      <c r="D68" s="60" t="s">
        <v>17</v>
      </c>
      <c r="E68" s="56"/>
      <c r="F68" s="56">
        <f>175-175</f>
        <v>0</v>
      </c>
    </row>
    <row r="69" spans="1:6" s="57" customFormat="1" ht="15.75" customHeight="1">
      <c r="A69" s="80" t="s">
        <v>110</v>
      </c>
      <c r="B69" s="80"/>
      <c r="C69" s="81"/>
      <c r="D69" s="82" t="s">
        <v>111</v>
      </c>
      <c r="E69" s="83">
        <f>E70</f>
        <v>70885</v>
      </c>
      <c r="F69" s="83">
        <f>F70</f>
        <v>70885</v>
      </c>
    </row>
    <row r="70" spans="1:6" s="57" customFormat="1" ht="15.75" customHeight="1">
      <c r="A70" s="69"/>
      <c r="B70" s="69" t="s">
        <v>114</v>
      </c>
      <c r="C70" s="70"/>
      <c r="D70" s="71" t="s">
        <v>6</v>
      </c>
      <c r="E70" s="72">
        <f>SUM(E71:E72)</f>
        <v>70885</v>
      </c>
      <c r="F70" s="72">
        <f>SUM(F73:F74)</f>
        <v>70885</v>
      </c>
    </row>
    <row r="71" spans="1:6" s="57" customFormat="1" ht="40.5" customHeight="1">
      <c r="A71" s="54"/>
      <c r="B71" s="54"/>
      <c r="C71" s="55">
        <v>2110</v>
      </c>
      <c r="D71" s="34" t="s">
        <v>5</v>
      </c>
      <c r="E71" s="56">
        <v>53200</v>
      </c>
      <c r="F71" s="56"/>
    </row>
    <row r="72" spans="1:6" s="57" customFormat="1" ht="43.5" customHeight="1">
      <c r="A72" s="54"/>
      <c r="B72" s="54"/>
      <c r="C72" s="55">
        <v>6410</v>
      </c>
      <c r="D72" s="84" t="s">
        <v>112</v>
      </c>
      <c r="E72" s="56">
        <v>17685</v>
      </c>
      <c r="F72" s="56"/>
    </row>
    <row r="73" spans="1:6" s="57" customFormat="1" ht="15.75" customHeight="1">
      <c r="A73" s="54"/>
      <c r="B73" s="54"/>
      <c r="C73" s="55">
        <v>4210</v>
      </c>
      <c r="D73" s="60" t="s">
        <v>18</v>
      </c>
      <c r="E73" s="56"/>
      <c r="F73" s="56">
        <v>53200</v>
      </c>
    </row>
    <row r="74" spans="1:6" s="57" customFormat="1" ht="15.75" customHeight="1">
      <c r="A74" s="54"/>
      <c r="B74" s="54"/>
      <c r="C74" s="55">
        <v>6060</v>
      </c>
      <c r="D74" s="85" t="s">
        <v>113</v>
      </c>
      <c r="E74" s="56"/>
      <c r="F74" s="56">
        <v>17685</v>
      </c>
    </row>
    <row r="75" spans="1:6" s="31" customFormat="1" ht="18" customHeight="1">
      <c r="A75" s="49">
        <v>754</v>
      </c>
      <c r="B75" s="49"/>
      <c r="C75" s="50"/>
      <c r="D75" s="51" t="s">
        <v>8</v>
      </c>
      <c r="E75" s="52">
        <f>SUM(E76,E107)</f>
        <v>7462353</v>
      </c>
      <c r="F75" s="52">
        <f>SUM(F76,F107)</f>
        <v>7462353</v>
      </c>
    </row>
    <row r="76" spans="1:6" s="31" customFormat="1" ht="17.25" customHeight="1">
      <c r="A76" s="37"/>
      <c r="B76" s="37">
        <v>75411</v>
      </c>
      <c r="C76" s="38"/>
      <c r="D76" s="39" t="s">
        <v>9</v>
      </c>
      <c r="E76" s="40">
        <f>SUM(E77,J80)</f>
        <v>7456353</v>
      </c>
      <c r="F76" s="40">
        <f>SUM(F78:F106)</f>
        <v>7456353</v>
      </c>
    </row>
    <row r="77" spans="1:6" s="68" customFormat="1" ht="42.75" customHeight="1">
      <c r="A77" s="64"/>
      <c r="B77" s="64"/>
      <c r="C77" s="65">
        <v>2110</v>
      </c>
      <c r="D77" s="66" t="s">
        <v>5</v>
      </c>
      <c r="E77" s="67">
        <f>6834638+355491+7185+101301+94827+16199+14456+32256</f>
        <v>7456353</v>
      </c>
      <c r="F77" s="67"/>
    </row>
    <row r="78" spans="1:6" s="31" customFormat="1" ht="21.75" customHeight="1">
      <c r="A78" s="32"/>
      <c r="B78" s="32"/>
      <c r="C78" s="33">
        <v>3030</v>
      </c>
      <c r="D78" s="34" t="s">
        <v>117</v>
      </c>
      <c r="E78" s="35"/>
      <c r="F78" s="35">
        <f>5000+1129</f>
        <v>6129</v>
      </c>
    </row>
    <row r="79" spans="1:6" s="31" customFormat="1" ht="28.5" customHeight="1">
      <c r="A79" s="32"/>
      <c r="B79" s="32"/>
      <c r="C79" s="33">
        <v>3070</v>
      </c>
      <c r="D79" s="34" t="s">
        <v>44</v>
      </c>
      <c r="E79" s="67"/>
      <c r="F79" s="67">
        <f>270029-40000-5000-7129-27000+99000+9830</f>
        <v>299730</v>
      </c>
    </row>
    <row r="80" spans="1:6" s="31" customFormat="1" ht="15.75" customHeight="1">
      <c r="A80" s="32"/>
      <c r="B80" s="32"/>
      <c r="C80" s="33">
        <v>4010</v>
      </c>
      <c r="D80" s="34" t="s">
        <v>20</v>
      </c>
      <c r="E80" s="67"/>
      <c r="F80" s="67">
        <f>27724+3600+1500+2563+15000+3587</f>
        <v>53974</v>
      </c>
    </row>
    <row r="81" spans="1:6" s="31" customFormat="1" ht="15.75" customHeight="1">
      <c r="A81" s="32"/>
      <c r="B81" s="32"/>
      <c r="C81" s="33">
        <v>4020</v>
      </c>
      <c r="D81" s="34" t="s">
        <v>40</v>
      </c>
      <c r="E81" s="67"/>
      <c r="F81" s="67">
        <f>101447+10800+4500-15000-9419</f>
        <v>92328</v>
      </c>
    </row>
    <row r="82" spans="1:6" s="31" customFormat="1" ht="15.75" customHeight="1">
      <c r="A82" s="32"/>
      <c r="B82" s="32"/>
      <c r="C82" s="33">
        <v>4040</v>
      </c>
      <c r="D82" s="34" t="s">
        <v>21</v>
      </c>
      <c r="E82" s="67"/>
      <c r="F82" s="67">
        <f>10980-2563</f>
        <v>8417</v>
      </c>
    </row>
    <row r="83" spans="1:6" s="31" customFormat="1" ht="15.75" customHeight="1">
      <c r="A83" s="32"/>
      <c r="B83" s="32"/>
      <c r="C83" s="33">
        <v>4050</v>
      </c>
      <c r="D83" s="34" t="s">
        <v>45</v>
      </c>
      <c r="E83" s="67"/>
      <c r="F83" s="67">
        <f>5009604+326681-5542+98297-212596-48952</f>
        <v>5167492</v>
      </c>
    </row>
    <row r="84" spans="1:6" s="31" customFormat="1" ht="29.25" customHeight="1">
      <c r="A84" s="32"/>
      <c r="B84" s="32"/>
      <c r="C84" s="33">
        <v>4060</v>
      </c>
      <c r="D84" s="34" t="s">
        <v>88</v>
      </c>
      <c r="E84" s="67"/>
      <c r="F84" s="67">
        <f>117640+7341+5542+3004+11596+48952</f>
        <v>194075</v>
      </c>
    </row>
    <row r="85" spans="1:6" s="31" customFormat="1" ht="29.25" customHeight="1">
      <c r="A85" s="32"/>
      <c r="B85" s="32"/>
      <c r="C85" s="33">
        <v>4070</v>
      </c>
      <c r="D85" s="34" t="s">
        <v>46</v>
      </c>
      <c r="E85" s="67"/>
      <c r="F85" s="67">
        <f>396331-37751</f>
        <v>358580</v>
      </c>
    </row>
    <row r="86" spans="1:6" s="31" customFormat="1" ht="29.25" customHeight="1">
      <c r="A86" s="32"/>
      <c r="B86" s="32"/>
      <c r="C86" s="33">
        <v>4080</v>
      </c>
      <c r="D86" s="34" t="s">
        <v>104</v>
      </c>
      <c r="E86" s="67"/>
      <c r="F86" s="67">
        <f>44215-340</f>
        <v>43875</v>
      </c>
    </row>
    <row r="87" spans="1:6" s="31" customFormat="1" ht="15.75" customHeight="1">
      <c r="A87" s="32"/>
      <c r="B87" s="32"/>
      <c r="C87" s="33">
        <v>4110</v>
      </c>
      <c r="D87" s="34" t="s">
        <v>22</v>
      </c>
      <c r="E87" s="67"/>
      <c r="F87" s="67">
        <f>26895+2495+1038+81</f>
        <v>30509</v>
      </c>
    </row>
    <row r="88" spans="1:6" s="31" customFormat="1" ht="25.5" customHeight="1">
      <c r="A88" s="32"/>
      <c r="B88" s="32"/>
      <c r="C88" s="33">
        <v>4120</v>
      </c>
      <c r="D88" s="34" t="s">
        <v>124</v>
      </c>
      <c r="E88" s="67"/>
      <c r="F88" s="67">
        <f>3434+362+147-81</f>
        <v>3862</v>
      </c>
    </row>
    <row r="89" spans="1:6" s="31" customFormat="1" ht="15.75" customHeight="1">
      <c r="A89" s="32"/>
      <c r="B89" s="32"/>
      <c r="C89" s="33">
        <v>4170</v>
      </c>
      <c r="D89" s="34" t="s">
        <v>23</v>
      </c>
      <c r="E89" s="67"/>
      <c r="F89" s="67">
        <f>19000+4020+1729</f>
        <v>24749</v>
      </c>
    </row>
    <row r="90" spans="1:6" s="68" customFormat="1" ht="29.25" customHeight="1">
      <c r="A90" s="64"/>
      <c r="B90" s="64"/>
      <c r="C90" s="65">
        <v>4180</v>
      </c>
      <c r="D90" s="66" t="s">
        <v>89</v>
      </c>
      <c r="E90" s="67"/>
      <c r="F90" s="67">
        <f>370648+4212+94827+16199+2754-5727</f>
        <v>482913</v>
      </c>
    </row>
    <row r="91" spans="1:6" s="31" customFormat="1" ht="15.75" customHeight="1">
      <c r="A91" s="32"/>
      <c r="B91" s="32"/>
      <c r="C91" s="33">
        <v>4210</v>
      </c>
      <c r="D91" s="34" t="s">
        <v>18</v>
      </c>
      <c r="E91" s="67"/>
      <c r="F91" s="67">
        <f>119592+20000+15000+55000+18000+13770+50935</f>
        <v>292297</v>
      </c>
    </row>
    <row r="92" spans="1:6" s="31" customFormat="1" ht="15.75" customHeight="1">
      <c r="A92" s="32"/>
      <c r="B92" s="32"/>
      <c r="C92" s="33">
        <v>4220</v>
      </c>
      <c r="D92" s="34" t="s">
        <v>47</v>
      </c>
      <c r="E92" s="67"/>
      <c r="F92" s="67">
        <f>9000+5000+1000</f>
        <v>15000</v>
      </c>
    </row>
    <row r="93" spans="1:6" s="31" customFormat="1" ht="15.75" customHeight="1">
      <c r="A93" s="32"/>
      <c r="B93" s="32"/>
      <c r="C93" s="33">
        <v>4230</v>
      </c>
      <c r="D93" s="34" t="s">
        <v>48</v>
      </c>
      <c r="E93" s="67"/>
      <c r="F93" s="67">
        <v>8000</v>
      </c>
    </row>
    <row r="94" spans="1:6" s="31" customFormat="1" ht="15.75" customHeight="1">
      <c r="A94" s="32"/>
      <c r="B94" s="32"/>
      <c r="C94" s="33">
        <v>4250</v>
      </c>
      <c r="D94" s="34" t="s">
        <v>49</v>
      </c>
      <c r="E94" s="67"/>
      <c r="F94" s="67">
        <f>16000+13500</f>
        <v>29500</v>
      </c>
    </row>
    <row r="95" spans="1:6" s="31" customFormat="1" ht="15.75" customHeight="1">
      <c r="A95" s="32"/>
      <c r="B95" s="32"/>
      <c r="C95" s="33">
        <v>4260</v>
      </c>
      <c r="D95" s="34" t="s">
        <v>24</v>
      </c>
      <c r="E95" s="67"/>
      <c r="F95" s="67">
        <f>78086+10000+25000+14456+15732-51562</f>
        <v>91712</v>
      </c>
    </row>
    <row r="96" spans="1:6" s="31" customFormat="1" ht="15.75" customHeight="1">
      <c r="A96" s="32"/>
      <c r="B96" s="32"/>
      <c r="C96" s="33">
        <v>4270</v>
      </c>
      <c r="D96" s="34" t="s">
        <v>25</v>
      </c>
      <c r="E96" s="67"/>
      <c r="F96" s="67">
        <f>61809+11772</f>
        <v>73581</v>
      </c>
    </row>
    <row r="97" spans="1:6" s="31" customFormat="1" ht="15.75" customHeight="1">
      <c r="A97" s="32"/>
      <c r="B97" s="32"/>
      <c r="C97" s="33">
        <v>4280</v>
      </c>
      <c r="D97" s="34" t="s">
        <v>38</v>
      </c>
      <c r="E97" s="67"/>
      <c r="F97" s="67">
        <f>29300+4500-200</f>
        <v>33600</v>
      </c>
    </row>
    <row r="98" spans="1:6" s="31" customFormat="1" ht="15.75" customHeight="1">
      <c r="A98" s="32"/>
      <c r="B98" s="32"/>
      <c r="C98" s="33">
        <v>4300</v>
      </c>
      <c r="D98" s="34" t="s">
        <v>17</v>
      </c>
      <c r="E98" s="67"/>
      <c r="F98" s="67">
        <f>43000+20000+10000+10000</f>
        <v>83000</v>
      </c>
    </row>
    <row r="99" spans="1:6" s="31" customFormat="1" ht="15.75" customHeight="1">
      <c r="A99" s="32"/>
      <c r="B99" s="32"/>
      <c r="C99" s="33">
        <v>4360</v>
      </c>
      <c r="D99" s="34" t="s">
        <v>76</v>
      </c>
      <c r="E99" s="67"/>
      <c r="F99" s="67">
        <f>8562-1933</f>
        <v>6629</v>
      </c>
    </row>
    <row r="100" spans="1:6" s="31" customFormat="1" ht="15.75" customHeight="1">
      <c r="A100" s="32"/>
      <c r="B100" s="32"/>
      <c r="C100" s="33">
        <v>4410</v>
      </c>
      <c r="D100" s="34" t="s">
        <v>26</v>
      </c>
      <c r="E100" s="67"/>
      <c r="F100" s="67">
        <f>15300+6000+12000-10306</f>
        <v>22994</v>
      </c>
    </row>
    <row r="101" spans="1:6" s="31" customFormat="1" ht="15.75" customHeight="1">
      <c r="A101" s="32"/>
      <c r="B101" s="32"/>
      <c r="C101" s="33">
        <v>4430</v>
      </c>
      <c r="D101" s="34" t="s">
        <v>27</v>
      </c>
      <c r="E101" s="67"/>
      <c r="F101" s="67">
        <f>3700+2000-1376</f>
        <v>4324</v>
      </c>
    </row>
    <row r="102" spans="1:6" s="31" customFormat="1" ht="15.75" customHeight="1">
      <c r="A102" s="32"/>
      <c r="B102" s="32"/>
      <c r="C102" s="33">
        <v>4440</v>
      </c>
      <c r="D102" s="34" t="s">
        <v>28</v>
      </c>
      <c r="E102" s="67"/>
      <c r="F102" s="67">
        <f>4917-1288</f>
        <v>3629</v>
      </c>
    </row>
    <row r="103" spans="1:6" s="31" customFormat="1" ht="15.75" customHeight="1">
      <c r="A103" s="32"/>
      <c r="B103" s="32"/>
      <c r="C103" s="33">
        <v>4480</v>
      </c>
      <c r="D103" s="34" t="s">
        <v>29</v>
      </c>
      <c r="E103" s="67"/>
      <c r="F103" s="67">
        <f>24325-201</f>
        <v>24124</v>
      </c>
    </row>
    <row r="104" spans="1:6" s="31" customFormat="1" ht="15.75" customHeight="1">
      <c r="A104" s="32"/>
      <c r="B104" s="32"/>
      <c r="C104" s="33">
        <v>4550</v>
      </c>
      <c r="D104" s="34" t="s">
        <v>41</v>
      </c>
      <c r="E104" s="67"/>
      <c r="F104" s="67">
        <f>3700-3450</f>
        <v>250</v>
      </c>
    </row>
    <row r="105" spans="1:6" s="31" customFormat="1" ht="15.75" customHeight="1">
      <c r="A105" s="32"/>
      <c r="B105" s="32"/>
      <c r="C105" s="33">
        <v>4610</v>
      </c>
      <c r="D105" s="34" t="s">
        <v>36</v>
      </c>
      <c r="E105" s="67"/>
      <c r="F105" s="67">
        <v>900</v>
      </c>
    </row>
    <row r="106" spans="1:6" s="31" customFormat="1" ht="28.5" customHeight="1">
      <c r="A106" s="32"/>
      <c r="B106" s="32"/>
      <c r="C106" s="33">
        <v>4700</v>
      </c>
      <c r="D106" s="34" t="s">
        <v>77</v>
      </c>
      <c r="E106" s="35"/>
      <c r="F106" s="35">
        <f>5500-5320</f>
        <v>180</v>
      </c>
    </row>
    <row r="107" spans="1:6" s="31" customFormat="1" ht="18" customHeight="1">
      <c r="A107" s="37"/>
      <c r="B107" s="37" t="s">
        <v>115</v>
      </c>
      <c r="C107" s="38"/>
      <c r="D107" s="39" t="s">
        <v>116</v>
      </c>
      <c r="E107" s="40">
        <f>SUM(E108)</f>
        <v>6000</v>
      </c>
      <c r="F107" s="40">
        <f>SUM(F109)</f>
        <v>6000</v>
      </c>
    </row>
    <row r="108" spans="1:6" s="31" customFormat="1" ht="48" customHeight="1">
      <c r="A108" s="32"/>
      <c r="B108" s="32"/>
      <c r="C108" s="33">
        <v>2110</v>
      </c>
      <c r="D108" s="43" t="s">
        <v>5</v>
      </c>
      <c r="E108" s="35">
        <v>6000</v>
      </c>
      <c r="F108" s="35"/>
    </row>
    <row r="109" spans="1:6" s="31" customFormat="1" ht="21" customHeight="1">
      <c r="A109" s="32"/>
      <c r="B109" s="32"/>
      <c r="C109" s="33">
        <v>4210</v>
      </c>
      <c r="D109" s="34" t="s">
        <v>18</v>
      </c>
      <c r="E109" s="35"/>
      <c r="F109" s="35">
        <v>6000</v>
      </c>
    </row>
    <row r="110" spans="1:6" s="31" customFormat="1" ht="17.25" customHeight="1">
      <c r="A110" s="49" t="s">
        <v>93</v>
      </c>
      <c r="B110" s="49"/>
      <c r="C110" s="50"/>
      <c r="D110" s="51" t="s">
        <v>90</v>
      </c>
      <c r="E110" s="52">
        <f>AVERAGE(E111)</f>
        <v>330000</v>
      </c>
      <c r="F110" s="52">
        <f>AVERAGE(F111)</f>
        <v>330000</v>
      </c>
    </row>
    <row r="111" spans="1:6" s="31" customFormat="1" ht="17.25" customHeight="1">
      <c r="A111" s="37"/>
      <c r="B111" s="37" t="s">
        <v>92</v>
      </c>
      <c r="C111" s="38"/>
      <c r="D111" s="39" t="s">
        <v>91</v>
      </c>
      <c r="E111" s="40">
        <f>SUM(E112)</f>
        <v>330000</v>
      </c>
      <c r="F111" s="40">
        <f>SUM(F113:F120)</f>
        <v>330000</v>
      </c>
    </row>
    <row r="112" spans="1:6" s="31" customFormat="1" ht="47.25" customHeight="1">
      <c r="A112" s="32"/>
      <c r="B112" s="32"/>
      <c r="C112" s="33">
        <v>2110</v>
      </c>
      <c r="D112" s="43" t="s">
        <v>5</v>
      </c>
      <c r="E112" s="35">
        <v>330000</v>
      </c>
      <c r="F112" s="35"/>
    </row>
    <row r="113" spans="1:6" s="57" customFormat="1" ht="60" customHeight="1">
      <c r="A113" s="54"/>
      <c r="B113" s="54"/>
      <c r="C113" s="61">
        <v>2360</v>
      </c>
      <c r="D113" s="44" t="s">
        <v>94</v>
      </c>
      <c r="E113" s="62"/>
      <c r="F113" s="56">
        <v>190080</v>
      </c>
    </row>
    <row r="114" spans="1:6" s="57" customFormat="1" ht="15.75" customHeight="1">
      <c r="A114" s="54"/>
      <c r="B114" s="54"/>
      <c r="C114" s="61">
        <v>4010</v>
      </c>
      <c r="D114" s="60" t="s">
        <v>20</v>
      </c>
      <c r="E114" s="62"/>
      <c r="F114" s="56">
        <v>4300</v>
      </c>
    </row>
    <row r="115" spans="1:6" s="57" customFormat="1" ht="15.75" customHeight="1">
      <c r="A115" s="54"/>
      <c r="B115" s="54"/>
      <c r="C115" s="61">
        <v>4110</v>
      </c>
      <c r="D115" s="60" t="s">
        <v>22</v>
      </c>
      <c r="E115" s="62"/>
      <c r="F115" s="56">
        <v>724</v>
      </c>
    </row>
    <row r="116" spans="1:6" s="57" customFormat="1" ht="31.5" customHeight="1">
      <c r="A116" s="54"/>
      <c r="B116" s="54"/>
      <c r="C116" s="61">
        <v>4120</v>
      </c>
      <c r="D116" s="60" t="s">
        <v>124</v>
      </c>
      <c r="E116" s="62"/>
      <c r="F116" s="56">
        <v>112</v>
      </c>
    </row>
    <row r="117" spans="1:6" s="57" customFormat="1" ht="15.75" customHeight="1">
      <c r="A117" s="54"/>
      <c r="B117" s="54"/>
      <c r="C117" s="61">
        <v>4170</v>
      </c>
      <c r="D117" s="60" t="s">
        <v>23</v>
      </c>
      <c r="E117" s="62"/>
      <c r="F117" s="56">
        <v>0</v>
      </c>
    </row>
    <row r="118" spans="1:6" s="57" customFormat="1" ht="15.75" customHeight="1">
      <c r="A118" s="54"/>
      <c r="B118" s="54"/>
      <c r="C118" s="55">
        <v>4210</v>
      </c>
      <c r="D118" s="63" t="s">
        <v>18</v>
      </c>
      <c r="E118" s="56"/>
      <c r="F118" s="56">
        <v>11484</v>
      </c>
    </row>
    <row r="119" spans="1:6" s="57" customFormat="1" ht="15.75" customHeight="1">
      <c r="A119" s="54"/>
      <c r="B119" s="54"/>
      <c r="C119" s="55">
        <v>4300</v>
      </c>
      <c r="D119" s="60" t="s">
        <v>17</v>
      </c>
      <c r="E119" s="56"/>
      <c r="F119" s="56">
        <v>122500</v>
      </c>
    </row>
    <row r="120" spans="1:6" s="57" customFormat="1" ht="27" customHeight="1">
      <c r="A120" s="54"/>
      <c r="B120" s="54"/>
      <c r="C120" s="55">
        <v>4700</v>
      </c>
      <c r="D120" s="60" t="s">
        <v>77</v>
      </c>
      <c r="E120" s="56"/>
      <c r="F120" s="56">
        <v>800</v>
      </c>
    </row>
    <row r="121" spans="1:6" s="57" customFormat="1" ht="15.75" customHeight="1">
      <c r="A121" s="80" t="s">
        <v>118</v>
      </c>
      <c r="B121" s="80"/>
      <c r="C121" s="81"/>
      <c r="D121" s="82" t="s">
        <v>119</v>
      </c>
      <c r="E121" s="87">
        <f>E122</f>
        <v>43281</v>
      </c>
      <c r="F121" s="87">
        <f>F122</f>
        <v>43281</v>
      </c>
    </row>
    <row r="122" spans="1:6" s="57" customFormat="1" ht="36" customHeight="1">
      <c r="A122" s="69"/>
      <c r="B122" s="69" t="s">
        <v>120</v>
      </c>
      <c r="C122" s="70"/>
      <c r="D122" s="71" t="s">
        <v>121</v>
      </c>
      <c r="E122" s="86">
        <f>SUM(E123)</f>
        <v>43281</v>
      </c>
      <c r="F122" s="86">
        <f>SUM(F124:F125)</f>
        <v>43281</v>
      </c>
    </row>
    <row r="123" spans="1:6" s="57" customFormat="1" ht="43.5" customHeight="1">
      <c r="A123" s="78"/>
      <c r="B123" s="78"/>
      <c r="C123" s="79">
        <v>2110</v>
      </c>
      <c r="D123" s="43" t="s">
        <v>5</v>
      </c>
      <c r="E123" s="56">
        <f>23349+18786+1146</f>
        <v>43281</v>
      </c>
      <c r="F123" s="56"/>
    </row>
    <row r="124" spans="1:6" s="57" customFormat="1" ht="45" customHeight="1">
      <c r="A124" s="78"/>
      <c r="B124" s="78"/>
      <c r="C124" s="79">
        <v>2830</v>
      </c>
      <c r="D124" s="84" t="s">
        <v>122</v>
      </c>
      <c r="E124" s="56"/>
      <c r="F124" s="77">
        <f>4257+3392+996</f>
        <v>8645</v>
      </c>
    </row>
    <row r="125" spans="1:6" s="57" customFormat="1" ht="21" customHeight="1">
      <c r="A125" s="78"/>
      <c r="B125" s="78"/>
      <c r="C125" s="79">
        <v>4240</v>
      </c>
      <c r="D125" s="84" t="s">
        <v>123</v>
      </c>
      <c r="E125" s="56"/>
      <c r="F125" s="77">
        <f>19092+15394+150</f>
        <v>34636</v>
      </c>
    </row>
    <row r="126" spans="1:6" s="31" customFormat="1" ht="17.25" customHeight="1">
      <c r="A126" s="49">
        <v>851</v>
      </c>
      <c r="B126" s="49"/>
      <c r="C126" s="50"/>
      <c r="D126" s="51" t="s">
        <v>10</v>
      </c>
      <c r="E126" s="52">
        <f>SUM(E127)</f>
        <v>1246437</v>
      </c>
      <c r="F126" s="52">
        <f>SUM(F127)</f>
        <v>1246437</v>
      </c>
    </row>
    <row r="127" spans="1:6" s="31" customFormat="1" ht="33.75" customHeight="1">
      <c r="A127" s="37"/>
      <c r="B127" s="37">
        <v>85156</v>
      </c>
      <c r="C127" s="38"/>
      <c r="D127" s="39" t="s">
        <v>11</v>
      </c>
      <c r="E127" s="40">
        <f>E128</f>
        <v>1246437</v>
      </c>
      <c r="F127" s="40">
        <f>F129</f>
        <v>1246437</v>
      </c>
    </row>
    <row r="128" spans="1:6" s="31" customFormat="1" ht="42.75" customHeight="1">
      <c r="A128" s="32"/>
      <c r="B128" s="32"/>
      <c r="C128" s="33">
        <v>2110</v>
      </c>
      <c r="D128" s="34" t="s">
        <v>5</v>
      </c>
      <c r="E128" s="35">
        <f>1246099+338</f>
        <v>1246437</v>
      </c>
      <c r="F128" s="35"/>
    </row>
    <row r="129" spans="1:6" s="31" customFormat="1" ht="15.75" customHeight="1">
      <c r="A129" s="32"/>
      <c r="B129" s="32"/>
      <c r="C129" s="33">
        <v>4130</v>
      </c>
      <c r="D129" s="34" t="s">
        <v>50</v>
      </c>
      <c r="E129" s="35"/>
      <c r="F129" s="35">
        <f>1246099+338</f>
        <v>1246437</v>
      </c>
    </row>
    <row r="130" spans="1:6" s="31" customFormat="1" ht="17.25" customHeight="1">
      <c r="A130" s="49" t="s">
        <v>79</v>
      </c>
      <c r="B130" s="49"/>
      <c r="C130" s="50"/>
      <c r="D130" s="51" t="s">
        <v>51</v>
      </c>
      <c r="E130" s="52">
        <f>E131</f>
        <v>853509</v>
      </c>
      <c r="F130" s="52">
        <f>F131</f>
        <v>853509</v>
      </c>
    </row>
    <row r="131" spans="1:6" s="31" customFormat="1" ht="17.25" customHeight="1">
      <c r="A131" s="37"/>
      <c r="B131" s="37">
        <v>85203</v>
      </c>
      <c r="C131" s="38"/>
      <c r="D131" s="39" t="s">
        <v>12</v>
      </c>
      <c r="E131" s="40">
        <f>SUM(E132,)</f>
        <v>853509</v>
      </c>
      <c r="F131" s="40">
        <f>SUM(F133:F151)</f>
        <v>853509</v>
      </c>
    </row>
    <row r="132" spans="1:6" s="31" customFormat="1" ht="43.5" customHeight="1">
      <c r="A132" s="32"/>
      <c r="B132" s="32"/>
      <c r="C132" s="33">
        <v>2110</v>
      </c>
      <c r="D132" s="34" t="s">
        <v>5</v>
      </c>
      <c r="E132" s="35">
        <f>841440-1931+14000</f>
        <v>853509</v>
      </c>
      <c r="F132" s="35"/>
    </row>
    <row r="133" spans="1:6" s="31" customFormat="1" ht="15.75" customHeight="1">
      <c r="A133" s="32"/>
      <c r="B133" s="32"/>
      <c r="C133" s="55">
        <v>3020</v>
      </c>
      <c r="D133" s="34" t="s">
        <v>19</v>
      </c>
      <c r="E133" s="56"/>
      <c r="F133" s="77">
        <f>500-185</f>
        <v>315</v>
      </c>
    </row>
    <row r="134" spans="1:6" s="57" customFormat="1" ht="15.75" customHeight="1">
      <c r="A134" s="54"/>
      <c r="B134" s="54"/>
      <c r="C134" s="55">
        <v>4010</v>
      </c>
      <c r="D134" s="60" t="s">
        <v>20</v>
      </c>
      <c r="E134" s="56"/>
      <c r="F134" s="77">
        <f>450000+6800</f>
        <v>456800</v>
      </c>
    </row>
    <row r="135" spans="1:6" s="57" customFormat="1" ht="15.75" customHeight="1">
      <c r="A135" s="54"/>
      <c r="B135" s="54"/>
      <c r="C135" s="55">
        <v>4040</v>
      </c>
      <c r="D135" s="60" t="s">
        <v>21</v>
      </c>
      <c r="E135" s="56"/>
      <c r="F135" s="77">
        <f>25852-458</f>
        <v>25394</v>
      </c>
    </row>
    <row r="136" spans="1:6" s="57" customFormat="1" ht="15.75" customHeight="1">
      <c r="A136" s="54"/>
      <c r="B136" s="54"/>
      <c r="C136" s="55">
        <v>4110</v>
      </c>
      <c r="D136" s="60" t="s">
        <v>22</v>
      </c>
      <c r="E136" s="56"/>
      <c r="F136" s="77">
        <f>85320+1945</f>
        <v>87265</v>
      </c>
    </row>
    <row r="137" spans="1:6" s="57" customFormat="1" ht="30" customHeight="1">
      <c r="A137" s="54"/>
      <c r="B137" s="54"/>
      <c r="C137" s="55">
        <v>4120</v>
      </c>
      <c r="D137" s="60" t="s">
        <v>124</v>
      </c>
      <c r="E137" s="56"/>
      <c r="F137" s="77">
        <f>11658-2985</f>
        <v>8673</v>
      </c>
    </row>
    <row r="138" spans="1:6" s="57" customFormat="1" ht="15.75" customHeight="1">
      <c r="A138" s="54"/>
      <c r="B138" s="54"/>
      <c r="C138" s="55">
        <v>4170</v>
      </c>
      <c r="D138" s="60" t="s">
        <v>23</v>
      </c>
      <c r="E138" s="56"/>
      <c r="F138" s="77">
        <f>2500+3000+1280</f>
        <v>6780</v>
      </c>
    </row>
    <row r="139" spans="1:6" s="57" customFormat="1" ht="15.75" customHeight="1">
      <c r="A139" s="54"/>
      <c r="B139" s="54"/>
      <c r="C139" s="55">
        <v>4210</v>
      </c>
      <c r="D139" s="60" t="s">
        <v>18</v>
      </c>
      <c r="E139" s="56"/>
      <c r="F139" s="77">
        <v>48796</v>
      </c>
    </row>
    <row r="140" spans="1:6" s="57" customFormat="1" ht="15.75" customHeight="1">
      <c r="A140" s="54"/>
      <c r="B140" s="54"/>
      <c r="C140" s="55">
        <v>4220</v>
      </c>
      <c r="D140" s="60" t="s">
        <v>47</v>
      </c>
      <c r="E140" s="56"/>
      <c r="F140" s="77">
        <v>19000</v>
      </c>
    </row>
    <row r="141" spans="1:6" s="57" customFormat="1" ht="15.75" customHeight="1">
      <c r="A141" s="54"/>
      <c r="B141" s="54"/>
      <c r="C141" s="55">
        <v>4260</v>
      </c>
      <c r="D141" s="60" t="s">
        <v>24</v>
      </c>
      <c r="E141" s="56"/>
      <c r="F141" s="77">
        <f>6000+580</f>
        <v>6580</v>
      </c>
    </row>
    <row r="142" spans="1:6" s="57" customFormat="1" ht="15.75" customHeight="1">
      <c r="A142" s="54"/>
      <c r="B142" s="54"/>
      <c r="C142" s="55">
        <v>4270</v>
      </c>
      <c r="D142" s="60" t="s">
        <v>25</v>
      </c>
      <c r="E142" s="56"/>
      <c r="F142" s="77">
        <f>33577-2529-1931-12000</f>
        <v>17117</v>
      </c>
    </row>
    <row r="143" spans="1:6" s="57" customFormat="1" ht="15.75" customHeight="1">
      <c r="A143" s="54"/>
      <c r="B143" s="54"/>
      <c r="C143" s="55">
        <v>4280</v>
      </c>
      <c r="D143" s="60" t="s">
        <v>38</v>
      </c>
      <c r="E143" s="56"/>
      <c r="F143" s="77">
        <f>400+50</f>
        <v>450</v>
      </c>
    </row>
    <row r="144" spans="1:6" s="57" customFormat="1" ht="15.75" customHeight="1">
      <c r="A144" s="54"/>
      <c r="B144" s="54"/>
      <c r="C144" s="55">
        <v>4300</v>
      </c>
      <c r="D144" s="60" t="s">
        <v>17</v>
      </c>
      <c r="E144" s="56"/>
      <c r="F144" s="77">
        <f>130178+7486</f>
        <v>137664</v>
      </c>
    </row>
    <row r="145" spans="1:6" s="57" customFormat="1" ht="15.75" customHeight="1">
      <c r="A145" s="54"/>
      <c r="B145" s="54"/>
      <c r="C145" s="55">
        <v>4360</v>
      </c>
      <c r="D145" s="60" t="s">
        <v>76</v>
      </c>
      <c r="E145" s="56"/>
      <c r="F145" s="77">
        <v>3050</v>
      </c>
    </row>
    <row r="146" spans="1:6" s="57" customFormat="1" ht="15.75" customHeight="1">
      <c r="A146" s="54"/>
      <c r="B146" s="54"/>
      <c r="C146" s="55">
        <v>4410</v>
      </c>
      <c r="D146" s="60" t="s">
        <v>26</v>
      </c>
      <c r="E146" s="56"/>
      <c r="F146" s="56">
        <v>2000</v>
      </c>
    </row>
    <row r="147" spans="1:6" s="57" customFormat="1" ht="15.75" customHeight="1">
      <c r="A147" s="54"/>
      <c r="B147" s="54"/>
      <c r="C147" s="55">
        <v>4430</v>
      </c>
      <c r="D147" s="60" t="s">
        <v>27</v>
      </c>
      <c r="E147" s="56"/>
      <c r="F147" s="56">
        <f>1125-4</f>
        <v>1121</v>
      </c>
    </row>
    <row r="148" spans="1:6" s="57" customFormat="1" ht="15.75" customHeight="1">
      <c r="A148" s="54"/>
      <c r="B148" s="54"/>
      <c r="C148" s="55">
        <v>4440</v>
      </c>
      <c r="D148" s="60" t="s">
        <v>28</v>
      </c>
      <c r="E148" s="56"/>
      <c r="F148" s="56">
        <f>11269+368</f>
        <v>11637</v>
      </c>
    </row>
    <row r="149" spans="1:6" s="57" customFormat="1" ht="15.75" customHeight="1">
      <c r="A149" s="54"/>
      <c r="B149" s="54"/>
      <c r="C149" s="55">
        <v>4480</v>
      </c>
      <c r="D149" s="60" t="s">
        <v>29</v>
      </c>
      <c r="E149" s="56"/>
      <c r="F149" s="56">
        <v>3632</v>
      </c>
    </row>
    <row r="150" spans="1:6" s="57" customFormat="1" ht="15.75" customHeight="1">
      <c r="A150" s="54"/>
      <c r="B150" s="54"/>
      <c r="C150" s="55">
        <v>4520</v>
      </c>
      <c r="D150" s="60" t="s">
        <v>30</v>
      </c>
      <c r="E150" s="56"/>
      <c r="F150" s="56">
        <f>3070-13</f>
        <v>3057</v>
      </c>
    </row>
    <row r="151" spans="1:6" s="57" customFormat="1" ht="31.5" customHeight="1">
      <c r="A151" s="54"/>
      <c r="B151" s="54"/>
      <c r="C151" s="55">
        <v>4700</v>
      </c>
      <c r="D151" s="60" t="s">
        <v>77</v>
      </c>
      <c r="E151" s="56"/>
      <c r="F151" s="56">
        <f>14000+178</f>
        <v>14178</v>
      </c>
    </row>
    <row r="152" spans="1:6" s="31" customFormat="1" ht="17.25" customHeight="1">
      <c r="A152" s="49">
        <v>853</v>
      </c>
      <c r="B152" s="49"/>
      <c r="C152" s="50"/>
      <c r="D152" s="51" t="s">
        <v>14</v>
      </c>
      <c r="E152" s="98">
        <f>SUM(E153,E166)</f>
        <v>385041.35</v>
      </c>
      <c r="F152" s="98">
        <f>SUM(F153,F166)</f>
        <v>385041.35</v>
      </c>
    </row>
    <row r="153" spans="1:6" s="31" customFormat="1" ht="17.25" customHeight="1">
      <c r="A153" s="37"/>
      <c r="B153" s="37">
        <v>85321</v>
      </c>
      <c r="C153" s="38"/>
      <c r="D153" s="39" t="s">
        <v>15</v>
      </c>
      <c r="E153" s="97">
        <f>SUM(E154)</f>
        <v>195096.35</v>
      </c>
      <c r="F153" s="97">
        <f>SUM(F154:F165)</f>
        <v>195096.35</v>
      </c>
    </row>
    <row r="154" spans="1:6" s="31" customFormat="1" ht="42.75" customHeight="1">
      <c r="A154" s="32"/>
      <c r="B154" s="32"/>
      <c r="C154" s="33">
        <v>2110</v>
      </c>
      <c r="D154" s="34" t="s">
        <v>5</v>
      </c>
      <c r="E154" s="96">
        <v>195096.35</v>
      </c>
      <c r="F154" s="35"/>
    </row>
    <row r="155" spans="1:6" s="31" customFormat="1" ht="15.75" customHeight="1">
      <c r="A155" s="32"/>
      <c r="B155" s="32"/>
      <c r="C155" s="33">
        <v>3020</v>
      </c>
      <c r="D155" s="34" t="s">
        <v>19</v>
      </c>
      <c r="E155" s="35"/>
      <c r="F155" s="35">
        <f>50-50</f>
        <v>0</v>
      </c>
    </row>
    <row r="156" spans="1:6" s="57" customFormat="1" ht="15.75" customHeight="1">
      <c r="A156" s="54"/>
      <c r="B156" s="54"/>
      <c r="C156" s="55">
        <v>4010</v>
      </c>
      <c r="D156" s="60" t="s">
        <v>20</v>
      </c>
      <c r="E156" s="56"/>
      <c r="F156" s="77">
        <f>54621+2000+4000</f>
        <v>60621</v>
      </c>
    </row>
    <row r="157" spans="1:6" s="57" customFormat="1" ht="15.75" customHeight="1">
      <c r="A157" s="54"/>
      <c r="B157" s="54"/>
      <c r="C157" s="55">
        <v>4040</v>
      </c>
      <c r="D157" s="60" t="s">
        <v>21</v>
      </c>
      <c r="E157" s="56"/>
      <c r="F157" s="77">
        <f>4177-235</f>
        <v>3942</v>
      </c>
    </row>
    <row r="158" spans="1:6" s="57" customFormat="1" ht="15.75" customHeight="1">
      <c r="A158" s="54"/>
      <c r="B158" s="54"/>
      <c r="C158" s="55">
        <v>4110</v>
      </c>
      <c r="D158" s="60" t="s">
        <v>22</v>
      </c>
      <c r="E158" s="56"/>
      <c r="F158" s="77">
        <f>13965+1000-2462</f>
        <v>12503</v>
      </c>
    </row>
    <row r="159" spans="1:6" s="57" customFormat="1" ht="27.75" customHeight="1">
      <c r="A159" s="54"/>
      <c r="B159" s="54"/>
      <c r="C159" s="55">
        <v>4120</v>
      </c>
      <c r="D159" s="60" t="s">
        <v>124</v>
      </c>
      <c r="E159" s="56"/>
      <c r="F159" s="77">
        <f>1987-450</f>
        <v>1537</v>
      </c>
    </row>
    <row r="160" spans="1:6" s="57" customFormat="1" ht="15.75" customHeight="1">
      <c r="A160" s="54"/>
      <c r="B160" s="54"/>
      <c r="C160" s="55">
        <v>4170</v>
      </c>
      <c r="D160" s="60" t="s">
        <v>23</v>
      </c>
      <c r="E160" s="56"/>
      <c r="F160" s="77">
        <f>40370-2868</f>
        <v>37502</v>
      </c>
    </row>
    <row r="161" spans="1:6" s="57" customFormat="1" ht="15.75" customHeight="1">
      <c r="A161" s="54"/>
      <c r="B161" s="54"/>
      <c r="C161" s="55">
        <v>4210</v>
      </c>
      <c r="D161" s="60" t="s">
        <v>18</v>
      </c>
      <c r="E161" s="56"/>
      <c r="F161" s="100">
        <f>6343.35+5162</f>
        <v>11505.35</v>
      </c>
    </row>
    <row r="162" spans="1:6" s="57" customFormat="1" ht="15.75" customHeight="1">
      <c r="A162" s="54"/>
      <c r="B162" s="54"/>
      <c r="C162" s="55">
        <v>4280</v>
      </c>
      <c r="D162" s="60" t="s">
        <v>38</v>
      </c>
      <c r="E162" s="56"/>
      <c r="F162" s="77">
        <f>100-100</f>
        <v>0</v>
      </c>
    </row>
    <row r="163" spans="1:6" s="57" customFormat="1" ht="15.75" customHeight="1">
      <c r="A163" s="54"/>
      <c r="B163" s="54"/>
      <c r="C163" s="55">
        <v>4300</v>
      </c>
      <c r="D163" s="60" t="s">
        <v>17</v>
      </c>
      <c r="E163" s="56"/>
      <c r="F163" s="77">
        <f>65071+800</f>
        <v>65871</v>
      </c>
    </row>
    <row r="164" spans="1:6" s="57" customFormat="1" ht="15.75" customHeight="1">
      <c r="A164" s="54"/>
      <c r="B164" s="54"/>
      <c r="C164" s="55">
        <v>4440</v>
      </c>
      <c r="D164" s="60" t="s">
        <v>28</v>
      </c>
      <c r="E164" s="56"/>
      <c r="F164" s="77">
        <f>1229+18</f>
        <v>1247</v>
      </c>
    </row>
    <row r="165" spans="1:6" s="57" customFormat="1" ht="27.75" customHeight="1">
      <c r="A165" s="54"/>
      <c r="B165" s="54"/>
      <c r="C165" s="55">
        <v>4700</v>
      </c>
      <c r="D165" s="60" t="s">
        <v>77</v>
      </c>
      <c r="E165" s="56"/>
      <c r="F165" s="77">
        <f>400-32</f>
        <v>368</v>
      </c>
    </row>
    <row r="166" spans="1:6" s="57" customFormat="1" ht="15.75" customHeight="1">
      <c r="A166" s="69"/>
      <c r="B166" s="69" t="s">
        <v>109</v>
      </c>
      <c r="C166" s="70"/>
      <c r="D166" s="71" t="s">
        <v>6</v>
      </c>
      <c r="E166" s="72">
        <f>E167</f>
        <v>189945</v>
      </c>
      <c r="F166" s="72">
        <f>F168</f>
        <v>189945</v>
      </c>
    </row>
    <row r="167" spans="1:6" s="73" customFormat="1" ht="39" customHeight="1">
      <c r="A167" s="78"/>
      <c r="B167" s="78"/>
      <c r="C167" s="79">
        <v>2110</v>
      </c>
      <c r="D167" s="66" t="s">
        <v>5</v>
      </c>
      <c r="E167" s="77">
        <f>45045+20160+13860+49005+61875</f>
        <v>189945</v>
      </c>
      <c r="F167" s="77"/>
    </row>
    <row r="168" spans="1:6" s="73" customFormat="1" ht="15.75" customHeight="1">
      <c r="A168" s="78"/>
      <c r="B168" s="78"/>
      <c r="C168" s="79">
        <v>3110</v>
      </c>
      <c r="D168" s="84" t="s">
        <v>52</v>
      </c>
      <c r="E168" s="77"/>
      <c r="F168" s="77">
        <f>45045+20160+13860+49005+61875</f>
        <v>189945</v>
      </c>
    </row>
    <row r="169" spans="1:6" s="57" customFormat="1" ht="15.75" customHeight="1">
      <c r="A169" s="49" t="s">
        <v>97</v>
      </c>
      <c r="B169" s="49"/>
      <c r="C169" s="50"/>
      <c r="D169" s="51" t="s">
        <v>95</v>
      </c>
      <c r="E169" s="52">
        <f>SUM(E170,E176,E180,E187)</f>
        <v>789315</v>
      </c>
      <c r="F169" s="52">
        <f>SUM(F170,F176,F180,F187)</f>
        <v>789315</v>
      </c>
    </row>
    <row r="170" spans="1:6" s="73" customFormat="1" ht="15.75" customHeight="1">
      <c r="A170" s="69"/>
      <c r="B170" s="69" t="s">
        <v>106</v>
      </c>
      <c r="C170" s="70"/>
      <c r="D170" s="71" t="s">
        <v>105</v>
      </c>
      <c r="E170" s="72">
        <f>E171</f>
        <v>34720</v>
      </c>
      <c r="F170" s="72">
        <f>SUM(F172:F175)</f>
        <v>34720</v>
      </c>
    </row>
    <row r="171" spans="1:6" s="57" customFormat="1" ht="42" customHeight="1">
      <c r="A171" s="54"/>
      <c r="B171" s="54"/>
      <c r="C171" s="55">
        <v>2110</v>
      </c>
      <c r="D171" s="66" t="s">
        <v>5</v>
      </c>
      <c r="E171" s="77">
        <f>23000+11720</f>
        <v>34720</v>
      </c>
      <c r="F171" s="77"/>
    </row>
    <row r="172" spans="1:6" s="57" customFormat="1" ht="15.75" customHeight="1">
      <c r="A172" s="54"/>
      <c r="B172" s="54"/>
      <c r="C172" s="55">
        <v>3110</v>
      </c>
      <c r="D172" s="34" t="s">
        <v>19</v>
      </c>
      <c r="E172" s="77"/>
      <c r="F172" s="77">
        <f>22200+11400</f>
        <v>33600</v>
      </c>
    </row>
    <row r="173" spans="1:6" s="57" customFormat="1" ht="15.75" customHeight="1">
      <c r="A173" s="54"/>
      <c r="B173" s="54"/>
      <c r="C173" s="55">
        <v>4010</v>
      </c>
      <c r="D173" s="60" t="s">
        <v>20</v>
      </c>
      <c r="E173" s="77"/>
      <c r="F173" s="77">
        <f>669+267</f>
        <v>936</v>
      </c>
    </row>
    <row r="174" spans="1:6" s="57" customFormat="1" ht="15.75" customHeight="1">
      <c r="A174" s="54"/>
      <c r="B174" s="54"/>
      <c r="C174" s="55">
        <v>4110</v>
      </c>
      <c r="D174" s="60" t="s">
        <v>22</v>
      </c>
      <c r="E174" s="77"/>
      <c r="F174" s="77">
        <f>115+46</f>
        <v>161</v>
      </c>
    </row>
    <row r="175" spans="1:6" s="57" customFormat="1" ht="27.75" customHeight="1">
      <c r="A175" s="54"/>
      <c r="B175" s="54"/>
      <c r="C175" s="55">
        <v>4120</v>
      </c>
      <c r="D175" s="60" t="s">
        <v>124</v>
      </c>
      <c r="E175" s="77"/>
      <c r="F175" s="77">
        <f>16+7</f>
        <v>23</v>
      </c>
    </row>
    <row r="176" spans="1:6" s="31" customFormat="1" ht="17.25" customHeight="1">
      <c r="A176" s="37"/>
      <c r="B176" s="37" t="s">
        <v>98</v>
      </c>
      <c r="C176" s="38"/>
      <c r="D176" s="39" t="s">
        <v>13</v>
      </c>
      <c r="E176" s="40">
        <f>SUM(E177)</f>
        <v>454557</v>
      </c>
      <c r="F176" s="40">
        <f>SUM(F177:F179)</f>
        <v>454557</v>
      </c>
    </row>
    <row r="177" spans="1:6" s="57" customFormat="1" ht="71.25" customHeight="1">
      <c r="A177" s="54"/>
      <c r="B177" s="54"/>
      <c r="C177" s="55">
        <v>2160</v>
      </c>
      <c r="D177" s="53" t="s">
        <v>127</v>
      </c>
      <c r="E177" s="56">
        <f>409000+45557</f>
        <v>454557</v>
      </c>
      <c r="F177" s="56"/>
    </row>
    <row r="178" spans="1:6" s="57" customFormat="1" ht="15.75" customHeight="1">
      <c r="A178" s="54"/>
      <c r="B178" s="54"/>
      <c r="C178" s="55">
        <v>3110</v>
      </c>
      <c r="D178" s="60" t="s">
        <v>52</v>
      </c>
      <c r="E178" s="56"/>
      <c r="F178" s="56">
        <f>404950+45106</f>
        <v>450056</v>
      </c>
    </row>
    <row r="179" spans="1:6" s="57" customFormat="1" ht="15.75" customHeight="1">
      <c r="A179" s="54"/>
      <c r="B179" s="54"/>
      <c r="C179" s="55">
        <v>4010</v>
      </c>
      <c r="D179" s="60" t="s">
        <v>20</v>
      </c>
      <c r="E179" s="56"/>
      <c r="F179" s="56">
        <f>4050+451</f>
        <v>4501</v>
      </c>
    </row>
    <row r="180" spans="1:6" s="31" customFormat="1" ht="17.25" customHeight="1">
      <c r="A180" s="37"/>
      <c r="B180" s="37" t="s">
        <v>99</v>
      </c>
      <c r="C180" s="38"/>
      <c r="D180" s="39" t="s">
        <v>96</v>
      </c>
      <c r="E180" s="40">
        <f>SUM(E181:E182)</f>
        <v>300038</v>
      </c>
      <c r="F180" s="40">
        <f>SUM(F183:F186)</f>
        <v>300038</v>
      </c>
    </row>
    <row r="181" spans="1:6" s="68" customFormat="1" ht="52.9" customHeight="1">
      <c r="A181" s="64"/>
      <c r="B181" s="64"/>
      <c r="C181" s="65">
        <v>2110</v>
      </c>
      <c r="D181" s="66" t="s">
        <v>5</v>
      </c>
      <c r="E181" s="67">
        <f>5000+55919-2800+10559</f>
        <v>68678</v>
      </c>
      <c r="F181" s="67"/>
    </row>
    <row r="182" spans="1:6" s="73" customFormat="1" ht="72" customHeight="1">
      <c r="A182" s="78"/>
      <c r="B182" s="78"/>
      <c r="C182" s="79">
        <v>2160</v>
      </c>
      <c r="D182" s="101" t="s">
        <v>127</v>
      </c>
      <c r="E182" s="77">
        <f>40000+62627+62613+66120</f>
        <v>231360</v>
      </c>
      <c r="F182" s="77"/>
    </row>
    <row r="183" spans="1:6" s="57" customFormat="1" ht="15.75" customHeight="1">
      <c r="A183" s="78"/>
      <c r="B183" s="78"/>
      <c r="C183" s="79">
        <v>3110</v>
      </c>
      <c r="D183" s="84" t="s">
        <v>52</v>
      </c>
      <c r="E183" s="77"/>
      <c r="F183" s="77">
        <f>40298+7634+124000-238+66853</f>
        <v>238547</v>
      </c>
    </row>
    <row r="184" spans="1:6" s="57" customFormat="1" ht="15.75" customHeight="1">
      <c r="A184" s="78"/>
      <c r="B184" s="78"/>
      <c r="C184" s="79">
        <v>4010</v>
      </c>
      <c r="D184" s="84" t="s">
        <v>20</v>
      </c>
      <c r="E184" s="77"/>
      <c r="F184" s="77">
        <f>3987+40348+1240-2141+8318</f>
        <v>51752</v>
      </c>
    </row>
    <row r="185" spans="1:6" s="57" customFormat="1" ht="15.75" customHeight="1">
      <c r="A185" s="78"/>
      <c r="B185" s="78"/>
      <c r="C185" s="79">
        <v>4110</v>
      </c>
      <c r="D185" s="84" t="s">
        <v>22</v>
      </c>
      <c r="E185" s="77"/>
      <c r="F185" s="77">
        <f>627+6948-369+1320</f>
        <v>8526</v>
      </c>
    </row>
    <row r="186" spans="1:6" s="57" customFormat="1" ht="30" customHeight="1">
      <c r="A186" s="54"/>
      <c r="B186" s="54"/>
      <c r="C186" s="55">
        <v>4120</v>
      </c>
      <c r="D186" s="60" t="s">
        <v>124</v>
      </c>
      <c r="E186" s="77"/>
      <c r="F186" s="77">
        <f>88+989-52+188</f>
        <v>1213</v>
      </c>
    </row>
    <row r="187" spans="1:6" s="57" customFormat="1" ht="19.5" customHeight="1">
      <c r="A187" s="69"/>
      <c r="B187" s="69" t="s">
        <v>125</v>
      </c>
      <c r="C187" s="70"/>
      <c r="D187" s="71" t="s">
        <v>6</v>
      </c>
      <c r="E187" s="72">
        <f>E188</f>
        <v>0</v>
      </c>
      <c r="F187" s="72">
        <f>F189+F190</f>
        <v>0</v>
      </c>
    </row>
    <row r="188" spans="1:6" s="73" customFormat="1" ht="47.25" customHeight="1">
      <c r="A188" s="78"/>
      <c r="B188" s="78"/>
      <c r="C188" s="79">
        <v>2110</v>
      </c>
      <c r="D188" s="66" t="s">
        <v>5</v>
      </c>
      <c r="E188" s="77">
        <f>62627-62627</f>
        <v>0</v>
      </c>
      <c r="F188" s="77"/>
    </row>
    <row r="189" spans="1:6" s="73" customFormat="1" ht="21" customHeight="1">
      <c r="A189" s="78"/>
      <c r="B189" s="78"/>
      <c r="C189" s="79">
        <v>3110</v>
      </c>
      <c r="D189" s="84" t="s">
        <v>52</v>
      </c>
      <c r="E189" s="77"/>
      <c r="F189" s="77">
        <f>62007-62007</f>
        <v>0</v>
      </c>
    </row>
    <row r="190" spans="1:6" s="73" customFormat="1" ht="18" customHeight="1">
      <c r="A190" s="78"/>
      <c r="B190" s="78"/>
      <c r="C190" s="79">
        <v>4010</v>
      </c>
      <c r="D190" s="84" t="s">
        <v>20</v>
      </c>
      <c r="E190" s="77"/>
      <c r="F190" s="77">
        <f>620-620</f>
        <v>0</v>
      </c>
    </row>
    <row r="191" spans="1:6" s="31" customFormat="1" ht="20.25" customHeight="1">
      <c r="A191" s="407" t="s">
        <v>78</v>
      </c>
      <c r="B191" s="407"/>
      <c r="C191" s="407"/>
      <c r="D191" s="407"/>
      <c r="E191" s="99">
        <f>SUM(E5,E9,E27,E56,E69,E75,E110,E121,E126,E130,E152,E169,)</f>
        <v>12843150.35</v>
      </c>
      <c r="F191" s="99">
        <f>SUM(F5,F9,F27,F56,F69,F75,F110,F121,F126,F130,F152,F169,)</f>
        <v>12843150.35</v>
      </c>
    </row>
    <row r="192" spans="1:6" ht="15.75" customHeight="1"/>
    <row r="193" spans="5:6" ht="15.75" customHeight="1"/>
    <row r="194" spans="5:6" s="36" customFormat="1" ht="15.75" customHeight="1">
      <c r="E194" s="74"/>
      <c r="F194" s="75"/>
    </row>
    <row r="195" spans="5:6" s="36" customFormat="1" ht="15.75" customHeight="1">
      <c r="E195" s="75"/>
      <c r="F195" s="75"/>
    </row>
    <row r="196" spans="5:6" s="36" customFormat="1" ht="15.75" customHeight="1">
      <c r="E196" s="76"/>
      <c r="F196" s="76"/>
    </row>
    <row r="197" spans="5:6" ht="15.75" customHeight="1"/>
    <row r="198" spans="5:6" ht="15.75" customHeight="1"/>
    <row r="199" spans="5:6" ht="15.75" customHeight="1"/>
    <row r="200" spans="5:6" ht="15.75" customHeight="1"/>
    <row r="201" spans="5:6" ht="15.75" customHeight="1"/>
    <row r="202" spans="5:6" ht="12.75" customHeight="1"/>
  </sheetData>
  <sheetProtection algorithmName="SHA-512" hashValue="3VBHC4aLdJ0WWupxPTHnjd06nda1KWgYznGzlInDEn8XPkHMAdxm7UMpQzJNnZsDD64qHosJoq5ABZrUA9mdKw==" saltValue="Z8WpYhOGAZBWkq6R5YYHAw==" spinCount="100000" sheet="1" objects="1" scenarios="1" formatColumns="0" formatRows="0"/>
  <autoFilter ref="C1:C202"/>
  <mergeCells count="2">
    <mergeCell ref="A2:F2"/>
    <mergeCell ref="A191:D191"/>
  </mergeCells>
  <pageMargins left="0.86614173228346458" right="0.27559055118110237" top="1.1417322834645669" bottom="0.78740157480314965" header="0.51181102362204722" footer="0.39370078740157483"/>
  <pageSetup paperSize="9" scale="85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G19"/>
  <sheetViews>
    <sheetView workbookViewId="0">
      <selection activeCell="A8" sqref="A8:XFD11"/>
    </sheetView>
  </sheetViews>
  <sheetFormatPr defaultColWidth="9.33203125" defaultRowHeight="12"/>
  <cols>
    <col min="1" max="1" width="3.6640625" style="290" customWidth="1"/>
    <col min="2" max="2" width="7.83203125" style="304" customWidth="1"/>
    <col min="3" max="3" width="9.83203125" style="304" customWidth="1"/>
    <col min="4" max="4" width="10.83203125" style="304" customWidth="1"/>
    <col min="5" max="5" width="47" style="290" customWidth="1"/>
    <col min="6" max="7" width="17" style="290" customWidth="1"/>
    <col min="8" max="16384" width="9.33203125" style="290"/>
  </cols>
  <sheetData>
    <row r="3" spans="2:7" ht="31.5" customHeight="1">
      <c r="B3" s="408" t="s">
        <v>369</v>
      </c>
      <c r="C3" s="408"/>
      <c r="D3" s="408"/>
      <c r="E3" s="408"/>
      <c r="F3" s="408"/>
      <c r="G3" s="408"/>
    </row>
    <row r="5" spans="2:7" s="292" customFormat="1" ht="24" customHeight="1">
      <c r="B5" s="291" t="s">
        <v>0</v>
      </c>
      <c r="C5" s="291" t="s">
        <v>1</v>
      </c>
      <c r="D5" s="291" t="s">
        <v>72</v>
      </c>
      <c r="E5" s="291" t="s">
        <v>73</v>
      </c>
      <c r="F5" s="291" t="s">
        <v>74</v>
      </c>
      <c r="G5" s="291" t="s">
        <v>75</v>
      </c>
    </row>
    <row r="6" spans="2:7" s="296" customFormat="1" ht="19.5" customHeight="1">
      <c r="B6" s="293">
        <v>750</v>
      </c>
      <c r="C6" s="293"/>
      <c r="D6" s="293"/>
      <c r="E6" s="294" t="s">
        <v>42</v>
      </c>
      <c r="F6" s="295">
        <f>SUM(F7)</f>
        <v>19677</v>
      </c>
      <c r="G6" s="295">
        <f>SUM(G7)</f>
        <v>19677</v>
      </c>
    </row>
    <row r="7" spans="2:7" s="292" customFormat="1" ht="19.5" customHeight="1">
      <c r="B7" s="297"/>
      <c r="C7" s="297">
        <v>75011</v>
      </c>
      <c r="D7" s="297"/>
      <c r="E7" s="298" t="s">
        <v>43</v>
      </c>
      <c r="F7" s="299">
        <f>SUM(F8)</f>
        <v>19677</v>
      </c>
      <c r="G7" s="299">
        <f>SUM(G9:G11)</f>
        <v>19677</v>
      </c>
    </row>
    <row r="8" spans="2:7" s="292" customFormat="1" ht="55.5" customHeight="1">
      <c r="B8" s="300"/>
      <c r="C8" s="300"/>
      <c r="D8" s="300">
        <v>2120</v>
      </c>
      <c r="E8" s="301" t="s">
        <v>366</v>
      </c>
      <c r="F8" s="302">
        <f>18000+1677</f>
        <v>19677</v>
      </c>
      <c r="G8" s="302"/>
    </row>
    <row r="9" spans="2:7" s="292" customFormat="1" ht="19.5" customHeight="1">
      <c r="B9" s="300"/>
      <c r="C9" s="300"/>
      <c r="D9" s="300">
        <v>4010</v>
      </c>
      <c r="E9" s="301" t="s">
        <v>20</v>
      </c>
      <c r="F9" s="302"/>
      <c r="G9" s="302">
        <f>15040+1402</f>
        <v>16442</v>
      </c>
    </row>
    <row r="10" spans="2:7" s="292" customFormat="1" ht="19.5" customHeight="1">
      <c r="B10" s="300"/>
      <c r="C10" s="300"/>
      <c r="D10" s="300">
        <v>4110</v>
      </c>
      <c r="E10" s="301" t="s">
        <v>22</v>
      </c>
      <c r="F10" s="302"/>
      <c r="G10" s="302">
        <f>2585+241</f>
        <v>2826</v>
      </c>
    </row>
    <row r="11" spans="2:7" s="292" customFormat="1" ht="19.5" customHeight="1">
      <c r="B11" s="300"/>
      <c r="C11" s="300"/>
      <c r="D11" s="300">
        <v>4120</v>
      </c>
      <c r="E11" s="301" t="s">
        <v>367</v>
      </c>
      <c r="F11" s="302"/>
      <c r="G11" s="302">
        <f>375+34</f>
        <v>409</v>
      </c>
    </row>
    <row r="12" spans="2:7" s="296" customFormat="1" ht="19.5" customHeight="1">
      <c r="B12" s="293">
        <v>801</v>
      </c>
      <c r="C12" s="293"/>
      <c r="D12" s="293"/>
      <c r="E12" s="294" t="s">
        <v>119</v>
      </c>
      <c r="F12" s="295">
        <f>SUM(F13)</f>
        <v>296400</v>
      </c>
      <c r="G12" s="295">
        <f>SUM(G13)</f>
        <v>296400</v>
      </c>
    </row>
    <row r="13" spans="2:7" s="292" customFormat="1" ht="19.5" customHeight="1">
      <c r="B13" s="297"/>
      <c r="C13" s="297">
        <v>80195</v>
      </c>
      <c r="D13" s="297"/>
      <c r="E13" s="298" t="s">
        <v>6</v>
      </c>
      <c r="F13" s="299">
        <f>SUM(F14)</f>
        <v>296400</v>
      </c>
      <c r="G13" s="299">
        <f>SUM(G15:G18)</f>
        <v>296400</v>
      </c>
    </row>
    <row r="14" spans="2:7" s="292" customFormat="1" ht="55.5" customHeight="1">
      <c r="B14" s="300"/>
      <c r="C14" s="300"/>
      <c r="D14" s="300">
        <v>2120</v>
      </c>
      <c r="E14" s="301" t="s">
        <v>366</v>
      </c>
      <c r="F14" s="302">
        <v>296400</v>
      </c>
      <c r="G14" s="302"/>
    </row>
    <row r="15" spans="2:7" s="292" customFormat="1" ht="19.5" customHeight="1">
      <c r="B15" s="300"/>
      <c r="C15" s="300"/>
      <c r="D15" s="300">
        <v>4110</v>
      </c>
      <c r="E15" s="301" t="s">
        <v>22</v>
      </c>
      <c r="F15" s="302"/>
      <c r="G15" s="302">
        <f>26190+2622</f>
        <v>28812</v>
      </c>
    </row>
    <row r="16" spans="2:7" s="292" customFormat="1" ht="19.5" customHeight="1">
      <c r="B16" s="300"/>
      <c r="C16" s="300"/>
      <c r="D16" s="300">
        <v>4120</v>
      </c>
      <c r="E16" s="301" t="s">
        <v>367</v>
      </c>
      <c r="F16" s="302"/>
      <c r="G16" s="302">
        <f>3675+116</f>
        <v>3791</v>
      </c>
    </row>
    <row r="17" spans="2:7" s="292" customFormat="1" ht="19.5" customHeight="1">
      <c r="B17" s="300"/>
      <c r="C17" s="300"/>
      <c r="D17" s="300">
        <v>4170</v>
      </c>
      <c r="E17" s="34" t="s">
        <v>23</v>
      </c>
      <c r="F17" s="302"/>
      <c r="G17" s="302">
        <f>264285-2908</f>
        <v>261377</v>
      </c>
    </row>
    <row r="18" spans="2:7" s="292" customFormat="1" ht="19.5" customHeight="1">
      <c r="B18" s="300"/>
      <c r="C18" s="300"/>
      <c r="D18" s="300">
        <v>4780</v>
      </c>
      <c r="E18" s="301" t="s">
        <v>368</v>
      </c>
      <c r="F18" s="302"/>
      <c r="G18" s="302">
        <f>2250+170</f>
        <v>2420</v>
      </c>
    </row>
    <row r="19" spans="2:7" s="292" customFormat="1" ht="21.75" customHeight="1">
      <c r="B19" s="409" t="s">
        <v>78</v>
      </c>
      <c r="C19" s="410"/>
      <c r="D19" s="410"/>
      <c r="E19" s="411"/>
      <c r="F19" s="303">
        <f>SUM(F6,F12)</f>
        <v>316077</v>
      </c>
      <c r="G19" s="303">
        <f>SUM(G6,G12)</f>
        <v>316077</v>
      </c>
    </row>
  </sheetData>
  <sheetProtection algorithmName="SHA-512" hashValue="ZzJ2vhNL1fNFtUrSYvz0dYKlLRYIRalhlsv/j68nCpLv4beN5Cc1S5Wyb8lt72Sip2dYnJ5elb8MjvU/uQuDAg==" saltValue="cA4rgodI53+3uNbGm4cRJA==" spinCount="100000" sheet="1" objects="1" scenarios="1" formatColumns="0" formatRows="0"/>
  <mergeCells count="2">
    <mergeCell ref="B3:G3"/>
    <mergeCell ref="B19:E19"/>
  </mergeCells>
  <pageMargins left="0.55118110236220474" right="0.37" top="1.47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
Rady Powiatu w Otwocku
z dnia 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41"/>
  <sheetViews>
    <sheetView zoomScaleNormal="100" workbookViewId="0">
      <pane ySplit="4" topLeftCell="A5" activePane="bottomLeft" state="frozen"/>
      <selection activeCell="C11" sqref="C11:I13"/>
      <selection pane="bottomLeft" activeCell="I11" sqref="I11"/>
    </sheetView>
  </sheetViews>
  <sheetFormatPr defaultColWidth="9.33203125" defaultRowHeight="12"/>
  <cols>
    <col min="1" max="1" width="3.6640625" style="253" customWidth="1"/>
    <col min="2" max="2" width="6.33203125" style="250" customWidth="1"/>
    <col min="3" max="4" width="10" style="250" customWidth="1"/>
    <col min="5" max="5" width="65.6640625" style="251" customWidth="1"/>
    <col min="6" max="7" width="18.83203125" style="252" customWidth="1"/>
    <col min="8" max="16384" width="9.33203125" style="253"/>
  </cols>
  <sheetData>
    <row r="1" spans="2:11" ht="16.5" customHeight="1"/>
    <row r="2" spans="2:11" ht="29.25" customHeight="1">
      <c r="B2" s="412" t="s">
        <v>345</v>
      </c>
      <c r="C2" s="412"/>
      <c r="D2" s="412"/>
      <c r="E2" s="412"/>
      <c r="F2" s="412"/>
      <c r="G2" s="412"/>
    </row>
    <row r="3" spans="2:11" ht="15.75" customHeight="1">
      <c r="B3" s="254"/>
      <c r="C3" s="254"/>
      <c r="D3" s="254"/>
      <c r="E3" s="254"/>
      <c r="F3" s="254"/>
      <c r="G3" s="254"/>
    </row>
    <row r="4" spans="2:11" s="258" customFormat="1" ht="42" customHeight="1">
      <c r="B4" s="255" t="s">
        <v>0</v>
      </c>
      <c r="C4" s="255" t="s">
        <v>1</v>
      </c>
      <c r="D4" s="255" t="s">
        <v>72</v>
      </c>
      <c r="E4" s="256" t="s">
        <v>73</v>
      </c>
      <c r="F4" s="257" t="s">
        <v>74</v>
      </c>
      <c r="G4" s="257" t="s">
        <v>75</v>
      </c>
    </row>
    <row r="5" spans="2:11" s="258" customFormat="1" ht="17.25" customHeight="1">
      <c r="B5" s="259">
        <v>600</v>
      </c>
      <c r="C5" s="259"/>
      <c r="D5" s="259"/>
      <c r="E5" s="260" t="s">
        <v>346</v>
      </c>
      <c r="F5" s="261">
        <f>SUM(F6,F8)</f>
        <v>1851443</v>
      </c>
      <c r="G5" s="261">
        <f>G6+G8</f>
        <v>250000</v>
      </c>
    </row>
    <row r="6" spans="2:11" s="265" customFormat="1" ht="17.25" customHeight="1">
      <c r="B6" s="262"/>
      <c r="C6" s="262">
        <v>60004</v>
      </c>
      <c r="D6" s="262"/>
      <c r="E6" s="263" t="s">
        <v>347</v>
      </c>
      <c r="F6" s="264"/>
      <c r="G6" s="264">
        <f>SUM(G7)</f>
        <v>250000</v>
      </c>
    </row>
    <row r="7" spans="2:11" s="269" customFormat="1" ht="46.5" customHeight="1">
      <c r="B7" s="266"/>
      <c r="C7" s="266"/>
      <c r="D7" s="266">
        <v>2310</v>
      </c>
      <c r="E7" s="267" t="s">
        <v>348</v>
      </c>
      <c r="F7" s="268"/>
      <c r="G7" s="268">
        <v>250000</v>
      </c>
    </row>
    <row r="8" spans="2:11" s="265" customFormat="1" ht="17.25" customHeight="1">
      <c r="B8" s="262"/>
      <c r="C8" s="262">
        <v>60014</v>
      </c>
      <c r="D8" s="262"/>
      <c r="E8" s="263" t="s">
        <v>349</v>
      </c>
      <c r="F8" s="264">
        <f>SUM(F9:F11)</f>
        <v>1851443</v>
      </c>
      <c r="G8" s="264"/>
    </row>
    <row r="9" spans="2:11" s="271" customFormat="1" ht="42.6" customHeight="1">
      <c r="B9" s="287"/>
      <c r="C9" s="287"/>
      <c r="D9" s="287">
        <v>2710</v>
      </c>
      <c r="E9" s="267" t="s">
        <v>350</v>
      </c>
      <c r="F9" s="288">
        <f>100000-100000</f>
        <v>0</v>
      </c>
      <c r="G9" s="288"/>
    </row>
    <row r="10" spans="2:11" s="269" customFormat="1" ht="50.25" customHeight="1">
      <c r="B10" s="266"/>
      <c r="C10" s="266"/>
      <c r="D10" s="266">
        <v>6300</v>
      </c>
      <c r="E10" s="267" t="s">
        <v>351</v>
      </c>
      <c r="F10" s="268">
        <f>1786000-432500-20000-50000+23500</f>
        <v>1307000</v>
      </c>
      <c r="G10" s="268"/>
    </row>
    <row r="11" spans="2:11" s="265" customFormat="1" ht="49.5" customHeight="1">
      <c r="B11" s="272"/>
      <c r="C11" s="272"/>
      <c r="D11" s="272">
        <v>6630</v>
      </c>
      <c r="E11" s="267" t="s">
        <v>352</v>
      </c>
      <c r="F11" s="268">
        <f>557375-12932</f>
        <v>544443</v>
      </c>
      <c r="G11" s="273"/>
    </row>
    <row r="12" spans="2:11" s="258" customFormat="1" ht="17.25" customHeight="1">
      <c r="B12" s="259">
        <v>710</v>
      </c>
      <c r="C12" s="259"/>
      <c r="D12" s="259"/>
      <c r="E12" s="260" t="s">
        <v>37</v>
      </c>
      <c r="F12" s="261"/>
      <c r="G12" s="261">
        <f>SUM(G13)</f>
        <v>70572</v>
      </c>
    </row>
    <row r="13" spans="2:11" s="265" customFormat="1" ht="17.25" customHeight="1">
      <c r="B13" s="262"/>
      <c r="C13" s="262">
        <v>71095</v>
      </c>
      <c r="D13" s="262"/>
      <c r="E13" s="263" t="s">
        <v>6</v>
      </c>
      <c r="F13" s="264"/>
      <c r="G13" s="264">
        <f>SUM(G14)</f>
        <v>70572</v>
      </c>
    </row>
    <row r="14" spans="2:11" s="265" customFormat="1" ht="51" customHeight="1">
      <c r="B14" s="272"/>
      <c r="C14" s="272"/>
      <c r="D14" s="272">
        <v>6639</v>
      </c>
      <c r="E14" s="274" t="s">
        <v>353</v>
      </c>
      <c r="F14" s="268"/>
      <c r="G14" s="268">
        <v>70572</v>
      </c>
    </row>
    <row r="15" spans="2:11" s="265" customFormat="1" ht="17.25" customHeight="1">
      <c r="B15" s="260">
        <v>750</v>
      </c>
      <c r="C15" s="260"/>
      <c r="D15" s="260"/>
      <c r="E15" s="260" t="s">
        <v>42</v>
      </c>
      <c r="F15" s="275">
        <f>SUM(F16)</f>
        <v>102800</v>
      </c>
      <c r="G15" s="260"/>
    </row>
    <row r="16" spans="2:11" s="265" customFormat="1" ht="17.25" customHeight="1">
      <c r="B16" s="262"/>
      <c r="C16" s="262">
        <v>75020</v>
      </c>
      <c r="D16" s="262"/>
      <c r="E16" s="276" t="s">
        <v>354</v>
      </c>
      <c r="F16" s="277">
        <f>SUM(F17)</f>
        <v>102800</v>
      </c>
      <c r="G16" s="278"/>
      <c r="K16" s="265" t="s">
        <v>341</v>
      </c>
    </row>
    <row r="17" spans="2:7" s="265" customFormat="1" ht="45.75" customHeight="1">
      <c r="B17" s="272"/>
      <c r="C17" s="272"/>
      <c r="D17" s="272">
        <v>2710</v>
      </c>
      <c r="E17" s="267" t="s">
        <v>350</v>
      </c>
      <c r="F17" s="268">
        <f>30000+29000+43800</f>
        <v>102800</v>
      </c>
      <c r="G17" s="268"/>
    </row>
    <row r="18" spans="2:7" s="258" customFormat="1" ht="17.25" customHeight="1">
      <c r="B18" s="259">
        <v>853</v>
      </c>
      <c r="C18" s="259"/>
      <c r="D18" s="259"/>
      <c r="E18" s="260" t="s">
        <v>14</v>
      </c>
      <c r="F18" s="261">
        <f>SUM(F19)</f>
        <v>10053</v>
      </c>
      <c r="G18" s="261">
        <f>SUM(G19)</f>
        <v>2011</v>
      </c>
    </row>
    <row r="19" spans="2:7" s="265" customFormat="1" ht="19.5" customHeight="1">
      <c r="B19" s="262"/>
      <c r="C19" s="262">
        <v>85311</v>
      </c>
      <c r="D19" s="262"/>
      <c r="E19" s="263" t="s">
        <v>355</v>
      </c>
      <c r="F19" s="264">
        <f>SUM(F20)</f>
        <v>10053</v>
      </c>
      <c r="G19" s="264">
        <f>SUM(G20:G21)</f>
        <v>2011</v>
      </c>
    </row>
    <row r="20" spans="2:7" s="289" customFormat="1" ht="47.25" customHeight="1">
      <c r="B20" s="279"/>
      <c r="C20" s="279"/>
      <c r="D20" s="279">
        <v>2320</v>
      </c>
      <c r="E20" s="270" t="s">
        <v>356</v>
      </c>
      <c r="F20" s="280">
        <f>9887+166</f>
        <v>10053</v>
      </c>
      <c r="G20" s="280"/>
    </row>
    <row r="21" spans="2:7" s="289" customFormat="1" ht="48" customHeight="1">
      <c r="B21" s="279"/>
      <c r="C21" s="279"/>
      <c r="D21" s="279">
        <v>2320</v>
      </c>
      <c r="E21" s="270" t="s">
        <v>357</v>
      </c>
      <c r="F21" s="280"/>
      <c r="G21" s="280">
        <f>2000+11</f>
        <v>2011</v>
      </c>
    </row>
    <row r="22" spans="2:7" s="258" customFormat="1" ht="17.25" customHeight="1">
      <c r="B22" s="259">
        <v>855</v>
      </c>
      <c r="C22" s="259"/>
      <c r="D22" s="259"/>
      <c r="E22" s="260" t="s">
        <v>95</v>
      </c>
      <c r="F22" s="261">
        <f>SUM(F23,F26,F28)</f>
        <v>466494</v>
      </c>
      <c r="G22" s="261">
        <f>SUM(G23,G26,G28)</f>
        <v>606173</v>
      </c>
    </row>
    <row r="23" spans="2:7" s="265" customFormat="1" ht="17.25" customHeight="1">
      <c r="B23" s="262"/>
      <c r="C23" s="262">
        <v>85508</v>
      </c>
      <c r="D23" s="262"/>
      <c r="E23" s="263" t="s">
        <v>13</v>
      </c>
      <c r="F23" s="264">
        <f>SUM(F24)</f>
        <v>223763</v>
      </c>
      <c r="G23" s="264">
        <f>SUM(G24:G25)</f>
        <v>453492</v>
      </c>
    </row>
    <row r="24" spans="2:7" s="269" customFormat="1" ht="50.25" customHeight="1">
      <c r="B24" s="266"/>
      <c r="C24" s="266"/>
      <c r="D24" s="266">
        <v>2320</v>
      </c>
      <c r="E24" s="267" t="s">
        <v>356</v>
      </c>
      <c r="F24" s="268">
        <f>204106+19657</f>
        <v>223763</v>
      </c>
      <c r="G24" s="268"/>
    </row>
    <row r="25" spans="2:7" s="269" customFormat="1" ht="47.25" customHeight="1">
      <c r="B25" s="266"/>
      <c r="C25" s="266"/>
      <c r="D25" s="266">
        <v>2320</v>
      </c>
      <c r="E25" s="267" t="s">
        <v>357</v>
      </c>
      <c r="F25" s="268"/>
      <c r="G25" s="268">
        <f>538236-84744</f>
        <v>453492</v>
      </c>
    </row>
    <row r="26" spans="2:7" s="265" customFormat="1" ht="17.25" customHeight="1">
      <c r="B26" s="262"/>
      <c r="C26" s="262">
        <v>85509</v>
      </c>
      <c r="D26" s="262"/>
      <c r="E26" s="263" t="s">
        <v>358</v>
      </c>
      <c r="F26" s="264"/>
      <c r="G26" s="264">
        <f>SUM(G27)</f>
        <v>72000</v>
      </c>
    </row>
    <row r="27" spans="2:7" s="269" customFormat="1" ht="52.5" customHeight="1">
      <c r="B27" s="266"/>
      <c r="C27" s="266"/>
      <c r="D27" s="266">
        <v>2330</v>
      </c>
      <c r="E27" s="267" t="s">
        <v>359</v>
      </c>
      <c r="F27" s="268"/>
      <c r="G27" s="268">
        <f>202000-130000</f>
        <v>72000</v>
      </c>
    </row>
    <row r="28" spans="2:7" s="265" customFormat="1" ht="17.25" customHeight="1">
      <c r="B28" s="262"/>
      <c r="C28" s="262">
        <v>85510</v>
      </c>
      <c r="D28" s="262"/>
      <c r="E28" s="263" t="s">
        <v>96</v>
      </c>
      <c r="F28" s="264">
        <f>SUM(F29)</f>
        <v>242731</v>
      </c>
      <c r="G28" s="264">
        <f>SUM(G30:G30)</f>
        <v>80681</v>
      </c>
    </row>
    <row r="29" spans="2:7" s="269" customFormat="1" ht="48" customHeight="1">
      <c r="B29" s="266"/>
      <c r="C29" s="266"/>
      <c r="D29" s="266">
        <v>2320</v>
      </c>
      <c r="E29" s="267" t="s">
        <v>356</v>
      </c>
      <c r="F29" s="268">
        <f>670106-427375</f>
        <v>242731</v>
      </c>
      <c r="G29" s="268"/>
    </row>
    <row r="30" spans="2:7" s="269" customFormat="1" ht="48.75" customHeight="1">
      <c r="B30" s="266"/>
      <c r="C30" s="266"/>
      <c r="D30" s="266">
        <v>2320</v>
      </c>
      <c r="E30" s="267" t="s">
        <v>357</v>
      </c>
      <c r="F30" s="268"/>
      <c r="G30" s="268">
        <f>133932-53251</f>
        <v>80681</v>
      </c>
    </row>
    <row r="31" spans="2:7" s="258" customFormat="1" ht="17.25" customHeight="1">
      <c r="B31" s="259">
        <v>900</v>
      </c>
      <c r="C31" s="259"/>
      <c r="D31" s="259"/>
      <c r="E31" s="260" t="s">
        <v>360</v>
      </c>
      <c r="F31" s="261"/>
      <c r="G31" s="261">
        <f>SUM(G32)</f>
        <v>10000</v>
      </c>
    </row>
    <row r="32" spans="2:7" s="265" customFormat="1" ht="17.25" customHeight="1">
      <c r="B32" s="262"/>
      <c r="C32" s="262">
        <v>90095</v>
      </c>
      <c r="D32" s="262"/>
      <c r="E32" s="263" t="s">
        <v>6</v>
      </c>
      <c r="F32" s="264"/>
      <c r="G32" s="264">
        <f>SUM(G33)</f>
        <v>10000</v>
      </c>
    </row>
    <row r="33" spans="2:7" s="265" customFormat="1" ht="49.5" customHeight="1">
      <c r="B33" s="272"/>
      <c r="C33" s="272"/>
      <c r="D33" s="272">
        <v>2710</v>
      </c>
      <c r="E33" s="274" t="s">
        <v>361</v>
      </c>
      <c r="F33" s="273"/>
      <c r="G33" s="268">
        <v>10000</v>
      </c>
    </row>
    <row r="34" spans="2:7" s="258" customFormat="1" ht="17.25" customHeight="1">
      <c r="B34" s="259">
        <v>921</v>
      </c>
      <c r="C34" s="259"/>
      <c r="D34" s="259"/>
      <c r="E34" s="260" t="s">
        <v>362</v>
      </c>
      <c r="F34" s="261">
        <f>SUM(F35,F39)</f>
        <v>110000</v>
      </c>
      <c r="G34" s="261">
        <f>SUM(G35,G39)</f>
        <v>0</v>
      </c>
    </row>
    <row r="35" spans="2:7" s="265" customFormat="1" ht="17.25" customHeight="1">
      <c r="B35" s="262"/>
      <c r="C35" s="262">
        <v>92105</v>
      </c>
      <c r="D35" s="262"/>
      <c r="E35" s="263" t="s">
        <v>363</v>
      </c>
      <c r="F35" s="264"/>
      <c r="G35" s="264">
        <f>SUM(G36)</f>
        <v>0</v>
      </c>
    </row>
    <row r="36" spans="2:7" s="269" customFormat="1" ht="48" customHeight="1">
      <c r="B36" s="281"/>
      <c r="C36" s="281"/>
      <c r="D36" s="266">
        <v>2710</v>
      </c>
      <c r="E36" s="267" t="s">
        <v>361</v>
      </c>
      <c r="F36" s="268"/>
      <c r="G36" s="268">
        <f>10000-10000</f>
        <v>0</v>
      </c>
    </row>
    <row r="37" spans="2:7" s="269" customFormat="1" ht="17.25" customHeight="1">
      <c r="B37" s="282"/>
      <c r="C37" s="282">
        <v>92605</v>
      </c>
      <c r="D37" s="283"/>
      <c r="E37" s="284" t="s">
        <v>364</v>
      </c>
      <c r="F37" s="285"/>
      <c r="G37" s="285">
        <f>G38</f>
        <v>0</v>
      </c>
    </row>
    <row r="38" spans="2:7" s="269" customFormat="1" ht="48" customHeight="1">
      <c r="B38" s="281"/>
      <c r="C38" s="281"/>
      <c r="D38" s="266">
        <v>2710</v>
      </c>
      <c r="E38" s="267" t="s">
        <v>361</v>
      </c>
      <c r="F38" s="268"/>
      <c r="G38" s="268">
        <f>8000-8000</f>
        <v>0</v>
      </c>
    </row>
    <row r="39" spans="2:7" s="265" customFormat="1" ht="17.25" customHeight="1">
      <c r="B39" s="262"/>
      <c r="C39" s="262">
        <v>92116</v>
      </c>
      <c r="D39" s="262"/>
      <c r="E39" s="263" t="s">
        <v>365</v>
      </c>
      <c r="F39" s="264">
        <f>SUM(F40)</f>
        <v>110000</v>
      </c>
      <c r="G39" s="264"/>
    </row>
    <row r="40" spans="2:7" s="269" customFormat="1" ht="48.75" customHeight="1">
      <c r="B40" s="266"/>
      <c r="C40" s="266"/>
      <c r="D40" s="266">
        <v>2710</v>
      </c>
      <c r="E40" s="267" t="s">
        <v>350</v>
      </c>
      <c r="F40" s="268">
        <v>110000</v>
      </c>
      <c r="G40" s="268"/>
    </row>
    <row r="41" spans="2:7" s="265" customFormat="1" ht="24.75" customHeight="1">
      <c r="B41" s="413" t="s">
        <v>78</v>
      </c>
      <c r="C41" s="414"/>
      <c r="D41" s="414"/>
      <c r="E41" s="415"/>
      <c r="F41" s="286">
        <f>SUM(F5,F12,F15,F18,F22,F31,F34)</f>
        <v>2540790</v>
      </c>
      <c r="G41" s="286">
        <f>SUM(G5,G12,G18,G22,G31,G34,G37)</f>
        <v>938756</v>
      </c>
    </row>
  </sheetData>
  <sheetProtection algorithmName="SHA-512" hashValue="yYxqDLXkaqxY6NM2eZ8TUir9heH3VqRrCQyFt490PfjQzIx5cZC7mHjcvt8YhcQG88h84DA0Nn1iV0fHM1Pz6g==" saltValue="XFtZljhSgc7NAFLF6SeZ+Q==" spinCount="100000" sheet="1" objects="1" scenarios="1" formatColumns="0" formatRows="0"/>
  <mergeCells count="2">
    <mergeCell ref="B2:G2"/>
    <mergeCell ref="B41:E41"/>
  </mergeCells>
  <pageMargins left="0.55118110236220474" right="0.47244094488188981" top="1.52" bottom="1.49" header="0.69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8"/>
  <sheetViews>
    <sheetView zoomScaleNormal="100" workbookViewId="0">
      <pane ySplit="5" topLeftCell="A24" activePane="bottomLeft" state="frozen"/>
      <selection activeCell="M10" sqref="M10"/>
      <selection pane="bottomLeft" activeCell="H16" sqref="H16"/>
    </sheetView>
  </sheetViews>
  <sheetFormatPr defaultColWidth="9.33203125" defaultRowHeight="12"/>
  <cols>
    <col min="1" max="1" width="6.5" style="320" customWidth="1"/>
    <col min="2" max="2" width="10.83203125" style="320" customWidth="1"/>
    <col min="3" max="3" width="7.33203125" style="320" customWidth="1"/>
    <col min="4" max="4" width="61.33203125" style="36" customWidth="1"/>
    <col min="5" max="7" width="15.6640625" style="36" customWidth="1"/>
    <col min="8" max="8" width="20.5" style="36" customWidth="1"/>
    <col min="9" max="10" width="9.33203125" style="36"/>
    <col min="11" max="11" width="10.33203125" style="36" bestFit="1" customWidth="1"/>
    <col min="12" max="16384" width="9.33203125" style="36"/>
  </cols>
  <sheetData>
    <row r="1" spans="1:12" ht="9" customHeight="1">
      <c r="F1" s="321"/>
      <c r="G1" s="321"/>
    </row>
    <row r="2" spans="1:12" s="323" customFormat="1" ht="33" customHeight="1">
      <c r="A2" s="420" t="s">
        <v>370</v>
      </c>
      <c r="B2" s="420"/>
      <c r="C2" s="420"/>
      <c r="D2" s="420"/>
      <c r="E2" s="420"/>
      <c r="F2" s="420"/>
      <c r="G2" s="420"/>
      <c r="H2" s="322"/>
    </row>
    <row r="3" spans="1:12" ht="10.5" customHeight="1"/>
    <row r="4" spans="1:12" ht="24" customHeight="1">
      <c r="A4" s="417" t="s">
        <v>0</v>
      </c>
      <c r="B4" s="417" t="s">
        <v>1</v>
      </c>
      <c r="C4" s="417" t="s">
        <v>143</v>
      </c>
      <c r="D4" s="417" t="s">
        <v>58</v>
      </c>
      <c r="E4" s="417" t="s">
        <v>371</v>
      </c>
      <c r="F4" s="417"/>
      <c r="G4" s="417"/>
    </row>
    <row r="5" spans="1:12" ht="24" customHeight="1">
      <c r="A5" s="417"/>
      <c r="B5" s="417"/>
      <c r="C5" s="417"/>
      <c r="D5" s="417"/>
      <c r="E5" s="324" t="s">
        <v>372</v>
      </c>
      <c r="F5" s="324" t="s">
        <v>373</v>
      </c>
      <c r="G5" s="324" t="s">
        <v>374</v>
      </c>
    </row>
    <row r="6" spans="1:12" s="326" customFormat="1" ht="12.75" customHeight="1">
      <c r="A6" s="325">
        <v>1</v>
      </c>
      <c r="B6" s="325">
        <v>2</v>
      </c>
      <c r="C6" s="325">
        <v>3</v>
      </c>
      <c r="D6" s="325">
        <v>4</v>
      </c>
      <c r="E6" s="325">
        <v>5</v>
      </c>
      <c r="F6" s="325">
        <v>6</v>
      </c>
      <c r="G6" s="325">
        <v>7</v>
      </c>
    </row>
    <row r="7" spans="1:12" ht="39" customHeight="1">
      <c r="A7" s="416" t="s">
        <v>375</v>
      </c>
      <c r="B7" s="416"/>
      <c r="C7" s="416"/>
      <c r="D7" s="327" t="s">
        <v>144</v>
      </c>
      <c r="E7" s="328" t="s">
        <v>376</v>
      </c>
      <c r="F7" s="328" t="s">
        <v>376</v>
      </c>
      <c r="G7" s="328" t="s">
        <v>376</v>
      </c>
    </row>
    <row r="8" spans="1:12" s="333" customFormat="1" ht="52.5" customHeight="1">
      <c r="A8" s="329">
        <v>600</v>
      </c>
      <c r="B8" s="330">
        <v>60004</v>
      </c>
      <c r="C8" s="329">
        <v>2310</v>
      </c>
      <c r="D8" s="267" t="s">
        <v>348</v>
      </c>
      <c r="E8" s="331"/>
      <c r="F8" s="331"/>
      <c r="G8" s="332">
        <v>250000</v>
      </c>
    </row>
    <row r="9" spans="1:12" s="333" customFormat="1" ht="57" customHeight="1">
      <c r="A9" s="334">
        <v>710</v>
      </c>
      <c r="B9" s="335">
        <v>71095</v>
      </c>
      <c r="C9" s="334">
        <v>6639</v>
      </c>
      <c r="D9" s="336" t="s">
        <v>353</v>
      </c>
      <c r="E9" s="337"/>
      <c r="F9" s="337"/>
      <c r="G9" s="338">
        <v>70572</v>
      </c>
    </row>
    <row r="10" spans="1:12" s="333" customFormat="1" ht="45" customHeight="1">
      <c r="A10" s="334">
        <v>754</v>
      </c>
      <c r="B10" s="335">
        <v>75404</v>
      </c>
      <c r="C10" s="334">
        <v>2300</v>
      </c>
      <c r="D10" s="336" t="s">
        <v>377</v>
      </c>
      <c r="E10" s="337"/>
      <c r="F10" s="337"/>
      <c r="G10" s="338">
        <f>30000</f>
        <v>30000</v>
      </c>
    </row>
    <row r="11" spans="1:12" s="333" customFormat="1" ht="38.25" customHeight="1">
      <c r="A11" s="334">
        <v>754</v>
      </c>
      <c r="B11" s="335">
        <v>75404</v>
      </c>
      <c r="C11" s="334">
        <v>6170</v>
      </c>
      <c r="D11" s="44" t="s">
        <v>378</v>
      </c>
      <c r="E11" s="337"/>
      <c r="F11" s="337"/>
      <c r="G11" s="338">
        <f>50000+16000</f>
        <v>66000</v>
      </c>
    </row>
    <row r="12" spans="1:12" s="333" customFormat="1" ht="38.25" customHeight="1">
      <c r="A12" s="334">
        <v>754</v>
      </c>
      <c r="B12" s="335">
        <v>75410</v>
      </c>
      <c r="C12" s="334">
        <v>6170</v>
      </c>
      <c r="D12" s="44" t="s">
        <v>378</v>
      </c>
      <c r="E12" s="337"/>
      <c r="F12" s="337"/>
      <c r="G12" s="338">
        <v>200000</v>
      </c>
    </row>
    <row r="13" spans="1:12" s="375" customFormat="1" ht="51.75" customHeight="1">
      <c r="A13" s="342">
        <v>853</v>
      </c>
      <c r="B13" s="343">
        <v>85311</v>
      </c>
      <c r="C13" s="342">
        <v>2320</v>
      </c>
      <c r="D13" s="344" t="s">
        <v>357</v>
      </c>
      <c r="E13" s="345"/>
      <c r="F13" s="345"/>
      <c r="G13" s="346">
        <f>2000+11</f>
        <v>2011</v>
      </c>
      <c r="H13" s="378"/>
      <c r="I13" s="378"/>
      <c r="J13" s="378"/>
      <c r="K13" s="378"/>
      <c r="L13" s="378"/>
    </row>
    <row r="14" spans="1:12" s="333" customFormat="1" ht="51.75" customHeight="1">
      <c r="A14" s="334">
        <v>855</v>
      </c>
      <c r="B14" s="335">
        <v>85508</v>
      </c>
      <c r="C14" s="334">
        <v>2320</v>
      </c>
      <c r="D14" s="44" t="s">
        <v>357</v>
      </c>
      <c r="E14" s="339"/>
      <c r="F14" s="339"/>
      <c r="G14" s="340">
        <f>538236-84744</f>
        <v>453492</v>
      </c>
      <c r="H14" s="341"/>
      <c r="I14" s="341"/>
      <c r="J14" s="341"/>
      <c r="K14" s="341"/>
      <c r="L14" s="341"/>
    </row>
    <row r="15" spans="1:12" s="333" customFormat="1" ht="47.25" customHeight="1">
      <c r="A15" s="334">
        <v>855</v>
      </c>
      <c r="B15" s="335">
        <v>85509</v>
      </c>
      <c r="C15" s="334">
        <v>2330</v>
      </c>
      <c r="D15" s="44" t="s">
        <v>359</v>
      </c>
      <c r="E15" s="339"/>
      <c r="F15" s="339"/>
      <c r="G15" s="340">
        <f>202000-130000</f>
        <v>72000</v>
      </c>
      <c r="H15" s="341"/>
      <c r="I15" s="341"/>
      <c r="J15" s="341"/>
      <c r="K15" s="341"/>
      <c r="L15" s="341"/>
    </row>
    <row r="16" spans="1:12" s="333" customFormat="1" ht="51.75" customHeight="1">
      <c r="A16" s="334">
        <v>855</v>
      </c>
      <c r="B16" s="335">
        <v>85510</v>
      </c>
      <c r="C16" s="334">
        <v>2320</v>
      </c>
      <c r="D16" s="44" t="s">
        <v>357</v>
      </c>
      <c r="E16" s="339"/>
      <c r="F16" s="339"/>
      <c r="G16" s="340">
        <f>133932-53251</f>
        <v>80681</v>
      </c>
      <c r="H16" s="341"/>
      <c r="I16" s="341"/>
      <c r="J16" s="341"/>
      <c r="K16" s="341"/>
      <c r="L16" s="341"/>
    </row>
    <row r="17" spans="1:12" s="333" customFormat="1" ht="48" customHeight="1">
      <c r="A17" s="334">
        <v>900</v>
      </c>
      <c r="B17" s="335">
        <v>90095</v>
      </c>
      <c r="C17" s="334">
        <v>2710</v>
      </c>
      <c r="D17" s="44" t="s">
        <v>361</v>
      </c>
      <c r="E17" s="339"/>
      <c r="F17" s="339"/>
      <c r="G17" s="340">
        <v>10000</v>
      </c>
      <c r="H17" s="341"/>
      <c r="I17" s="341"/>
      <c r="J17" s="341"/>
      <c r="K17" s="341"/>
      <c r="L17" s="341"/>
    </row>
    <row r="18" spans="1:12" s="333" customFormat="1" ht="48" customHeight="1">
      <c r="A18" s="334">
        <v>921</v>
      </c>
      <c r="B18" s="335">
        <v>92105</v>
      </c>
      <c r="C18" s="334">
        <v>2710</v>
      </c>
      <c r="D18" s="44" t="s">
        <v>361</v>
      </c>
      <c r="E18" s="339"/>
      <c r="F18" s="339"/>
      <c r="G18" s="340">
        <f>10000-10000</f>
        <v>0</v>
      </c>
      <c r="H18" s="341"/>
      <c r="I18" s="341"/>
      <c r="J18" s="341"/>
      <c r="K18" s="341"/>
      <c r="L18" s="341"/>
    </row>
    <row r="19" spans="1:12" s="333" customFormat="1" ht="48" customHeight="1">
      <c r="A19" s="334">
        <v>926</v>
      </c>
      <c r="B19" s="335">
        <v>92605</v>
      </c>
      <c r="C19" s="334">
        <v>2710</v>
      </c>
      <c r="D19" s="44" t="s">
        <v>361</v>
      </c>
      <c r="E19" s="339"/>
      <c r="F19" s="339"/>
      <c r="G19" s="340">
        <v>0</v>
      </c>
      <c r="H19" s="341"/>
      <c r="I19" s="341"/>
      <c r="J19" s="341"/>
      <c r="K19" s="341"/>
      <c r="L19" s="341"/>
    </row>
    <row r="20" spans="1:12" s="333" customFormat="1" ht="25.5" customHeight="1">
      <c r="A20" s="334">
        <v>921</v>
      </c>
      <c r="B20" s="335">
        <v>92116</v>
      </c>
      <c r="C20" s="334">
        <v>2480</v>
      </c>
      <c r="D20" s="44" t="s">
        <v>379</v>
      </c>
      <c r="E20" s="347">
        <v>640900</v>
      </c>
      <c r="F20" s="339"/>
      <c r="G20" s="348"/>
      <c r="H20" s="341"/>
      <c r="I20" s="341"/>
      <c r="J20" s="341"/>
      <c r="K20" s="341"/>
      <c r="L20" s="341"/>
    </row>
    <row r="21" spans="1:12" s="350" customFormat="1" ht="27" customHeight="1">
      <c r="A21" s="417" t="s">
        <v>380</v>
      </c>
      <c r="B21" s="417"/>
      <c r="C21" s="417"/>
      <c r="D21" s="417"/>
      <c r="E21" s="349">
        <f>SUM(E8:E20)</f>
        <v>640900</v>
      </c>
      <c r="F21" s="349">
        <f>SUM(F8:F20)</f>
        <v>0</v>
      </c>
      <c r="G21" s="349">
        <f>SUM(G8:G20)</f>
        <v>1234756</v>
      </c>
      <c r="I21" s="351"/>
    </row>
    <row r="22" spans="1:12" s="350" customFormat="1" ht="47.25" customHeight="1">
      <c r="A22" s="416" t="s">
        <v>381</v>
      </c>
      <c r="B22" s="416"/>
      <c r="C22" s="416"/>
      <c r="D22" s="327" t="s">
        <v>144</v>
      </c>
      <c r="E22" s="327" t="s">
        <v>376</v>
      </c>
      <c r="F22" s="327" t="s">
        <v>376</v>
      </c>
      <c r="G22" s="327" t="s">
        <v>376</v>
      </c>
      <c r="I22" s="351"/>
      <c r="K22" s="352"/>
    </row>
    <row r="23" spans="1:12" s="333" customFormat="1" ht="54" customHeight="1">
      <c r="A23" s="353" t="s">
        <v>2</v>
      </c>
      <c r="B23" s="354" t="s">
        <v>382</v>
      </c>
      <c r="C23" s="353" t="s">
        <v>383</v>
      </c>
      <c r="D23" s="44" t="s">
        <v>384</v>
      </c>
      <c r="E23" s="337"/>
      <c r="F23" s="337"/>
      <c r="G23" s="338">
        <v>99370</v>
      </c>
      <c r="H23" s="355"/>
      <c r="I23" s="356"/>
      <c r="K23" s="320"/>
    </row>
    <row r="24" spans="1:12" s="333" customFormat="1" ht="59.25" customHeight="1">
      <c r="A24" s="334">
        <v>630</v>
      </c>
      <c r="B24" s="335">
        <v>63003</v>
      </c>
      <c r="C24" s="334">
        <v>2360</v>
      </c>
      <c r="D24" s="44" t="s">
        <v>94</v>
      </c>
      <c r="E24" s="337"/>
      <c r="F24" s="337"/>
      <c r="G24" s="338">
        <f>20000-13000</f>
        <v>7000</v>
      </c>
      <c r="H24" s="355"/>
      <c r="I24" s="356"/>
      <c r="K24" s="320"/>
    </row>
    <row r="25" spans="1:12" s="333" customFormat="1" ht="63.75" customHeight="1">
      <c r="A25" s="334">
        <v>754</v>
      </c>
      <c r="B25" s="335">
        <v>75495</v>
      </c>
      <c r="C25" s="334">
        <v>2360</v>
      </c>
      <c r="D25" s="44" t="s">
        <v>94</v>
      </c>
      <c r="E25" s="337"/>
      <c r="F25" s="337"/>
      <c r="G25" s="338">
        <v>20000</v>
      </c>
      <c r="H25" s="355"/>
      <c r="I25" s="356"/>
      <c r="K25" s="320"/>
    </row>
    <row r="26" spans="1:12" s="333" customFormat="1" ht="63" customHeight="1">
      <c r="A26" s="334">
        <v>755</v>
      </c>
      <c r="B26" s="335">
        <v>75515</v>
      </c>
      <c r="C26" s="334">
        <v>2360</v>
      </c>
      <c r="D26" s="44" t="s">
        <v>94</v>
      </c>
      <c r="E26" s="337"/>
      <c r="F26" s="337"/>
      <c r="G26" s="338">
        <v>190080</v>
      </c>
      <c r="H26" s="355"/>
      <c r="I26" s="356"/>
      <c r="K26" s="320"/>
    </row>
    <row r="27" spans="1:12" s="333" customFormat="1" ht="24.95" customHeight="1">
      <c r="A27" s="334">
        <v>801</v>
      </c>
      <c r="B27" s="335">
        <v>80102</v>
      </c>
      <c r="C27" s="334">
        <v>2540</v>
      </c>
      <c r="D27" s="44" t="s">
        <v>385</v>
      </c>
      <c r="E27" s="347">
        <f>1128486+250000</f>
        <v>1378486</v>
      </c>
      <c r="F27" s="337"/>
      <c r="G27" s="360"/>
      <c r="I27" s="356"/>
      <c r="K27" s="320"/>
    </row>
    <row r="28" spans="1:12" s="375" customFormat="1" ht="24.95" customHeight="1">
      <c r="A28" s="342">
        <v>801</v>
      </c>
      <c r="B28" s="343">
        <v>80105</v>
      </c>
      <c r="C28" s="342">
        <v>2540</v>
      </c>
      <c r="D28" s="344" t="s">
        <v>385</v>
      </c>
      <c r="E28" s="358">
        <f>598175+80000+8000</f>
        <v>686175</v>
      </c>
      <c r="F28" s="357"/>
      <c r="G28" s="359"/>
      <c r="I28" s="376"/>
      <c r="K28" s="377"/>
    </row>
    <row r="29" spans="1:12" s="375" customFormat="1" ht="24.95" customHeight="1">
      <c r="A29" s="342">
        <v>801</v>
      </c>
      <c r="B29" s="343">
        <v>80116</v>
      </c>
      <c r="C29" s="342">
        <v>2540</v>
      </c>
      <c r="D29" s="344" t="s">
        <v>385</v>
      </c>
      <c r="E29" s="358">
        <f>603452-20000+150000</f>
        <v>733452</v>
      </c>
      <c r="F29" s="357"/>
      <c r="G29" s="359"/>
      <c r="I29" s="376"/>
      <c r="K29" s="377"/>
    </row>
    <row r="30" spans="1:12" s="375" customFormat="1" ht="24.95" customHeight="1">
      <c r="A30" s="342">
        <v>801</v>
      </c>
      <c r="B30" s="343">
        <v>80120</v>
      </c>
      <c r="C30" s="342">
        <v>2540</v>
      </c>
      <c r="D30" s="344" t="s">
        <v>385</v>
      </c>
      <c r="E30" s="358">
        <f>1056443+100000+50000</f>
        <v>1206443</v>
      </c>
      <c r="F30" s="345"/>
      <c r="G30" s="370"/>
    </row>
    <row r="31" spans="1:12" s="333" customFormat="1" ht="24.95" customHeight="1">
      <c r="A31" s="334">
        <v>801</v>
      </c>
      <c r="B31" s="335">
        <v>80151</v>
      </c>
      <c r="C31" s="334">
        <v>2540</v>
      </c>
      <c r="D31" s="44" t="s">
        <v>385</v>
      </c>
      <c r="E31" s="347">
        <f>30000-29000</f>
        <v>1000</v>
      </c>
      <c r="F31" s="339"/>
      <c r="G31" s="361"/>
    </row>
    <row r="32" spans="1:12" s="375" customFormat="1" ht="24.95" customHeight="1">
      <c r="A32" s="342">
        <v>801</v>
      </c>
      <c r="B32" s="343">
        <v>80152</v>
      </c>
      <c r="C32" s="342">
        <v>2540</v>
      </c>
      <c r="D32" s="344" t="s">
        <v>385</v>
      </c>
      <c r="E32" s="358">
        <f>128736+29000+20000+35000+5000</f>
        <v>217736</v>
      </c>
      <c r="F32" s="366"/>
      <c r="G32" s="367"/>
    </row>
    <row r="33" spans="1:11" s="333" customFormat="1" ht="48" customHeight="1">
      <c r="A33" s="334">
        <v>801</v>
      </c>
      <c r="B33" s="335">
        <v>80153</v>
      </c>
      <c r="C33" s="334">
        <v>2830</v>
      </c>
      <c r="D33" s="44" t="s">
        <v>384</v>
      </c>
      <c r="E33" s="365"/>
      <c r="F33" s="373"/>
      <c r="G33" s="347">
        <f>4257+3392+996</f>
        <v>8645</v>
      </c>
    </row>
    <row r="34" spans="1:11" s="333" customFormat="1" ht="52.15" customHeight="1">
      <c r="A34" s="334">
        <v>851</v>
      </c>
      <c r="B34" s="335">
        <v>85111</v>
      </c>
      <c r="C34" s="334">
        <v>6230</v>
      </c>
      <c r="D34" s="364" t="s">
        <v>386</v>
      </c>
      <c r="E34" s="365"/>
      <c r="F34" s="362"/>
      <c r="G34" s="347">
        <v>140000</v>
      </c>
    </row>
    <row r="35" spans="1:11" s="333" customFormat="1" ht="36.75" customHeight="1">
      <c r="A35" s="334">
        <v>852</v>
      </c>
      <c r="B35" s="335">
        <v>85202</v>
      </c>
      <c r="C35" s="334">
        <v>2820</v>
      </c>
      <c r="D35" s="44" t="s">
        <v>387</v>
      </c>
      <c r="E35" s="362"/>
      <c r="F35" s="362"/>
      <c r="G35" s="347">
        <v>243000</v>
      </c>
    </row>
    <row r="36" spans="1:11" s="333" customFormat="1" ht="36.75" customHeight="1">
      <c r="A36" s="334">
        <v>852</v>
      </c>
      <c r="B36" s="335">
        <v>85220</v>
      </c>
      <c r="C36" s="334">
        <v>2820</v>
      </c>
      <c r="D36" s="44" t="s">
        <v>387</v>
      </c>
      <c r="E36" s="362"/>
      <c r="F36" s="362"/>
      <c r="G36" s="347">
        <v>80000</v>
      </c>
    </row>
    <row r="37" spans="1:11" s="333" customFormat="1" ht="34.5" customHeight="1">
      <c r="A37" s="334">
        <v>853</v>
      </c>
      <c r="B37" s="335">
        <v>85311</v>
      </c>
      <c r="C37" s="334">
        <v>2580</v>
      </c>
      <c r="D37" s="44" t="s">
        <v>388</v>
      </c>
      <c r="E37" s="347">
        <f>219485-70000+3700</f>
        <v>153185</v>
      </c>
      <c r="F37" s="362"/>
      <c r="G37" s="363"/>
    </row>
    <row r="38" spans="1:11" s="333" customFormat="1" ht="59.45" customHeight="1">
      <c r="A38" s="334">
        <v>853</v>
      </c>
      <c r="B38" s="335">
        <v>85311</v>
      </c>
      <c r="C38" s="334">
        <v>6230</v>
      </c>
      <c r="D38" s="368" t="s">
        <v>389</v>
      </c>
      <c r="E38" s="347"/>
      <c r="F38" s="362"/>
      <c r="G38" s="347">
        <v>70000</v>
      </c>
    </row>
    <row r="39" spans="1:11" s="333" customFormat="1" ht="25.5" customHeight="1">
      <c r="A39" s="334">
        <v>854</v>
      </c>
      <c r="B39" s="335">
        <v>85404</v>
      </c>
      <c r="C39" s="334">
        <v>2540</v>
      </c>
      <c r="D39" s="44" t="s">
        <v>385</v>
      </c>
      <c r="E39" s="347">
        <f>247039+6000+52000</f>
        <v>305039</v>
      </c>
      <c r="F39" s="362"/>
      <c r="G39" s="369"/>
    </row>
    <row r="40" spans="1:11" s="333" customFormat="1" ht="25.5" customHeight="1">
      <c r="A40" s="334">
        <v>854</v>
      </c>
      <c r="B40" s="335">
        <v>85410</v>
      </c>
      <c r="C40" s="334">
        <v>2540</v>
      </c>
      <c r="D40" s="44" t="s">
        <v>385</v>
      </c>
      <c r="E40" s="347">
        <f>99881-6000+1500</f>
        <v>95381</v>
      </c>
      <c r="F40" s="362"/>
      <c r="G40" s="369"/>
    </row>
    <row r="41" spans="1:11" s="333" customFormat="1" ht="60.75" customHeight="1">
      <c r="A41" s="334">
        <v>921</v>
      </c>
      <c r="B41" s="335">
        <v>92105</v>
      </c>
      <c r="C41" s="334">
        <v>2360</v>
      </c>
      <c r="D41" s="44" t="s">
        <v>94</v>
      </c>
      <c r="E41" s="361"/>
      <c r="F41" s="339"/>
      <c r="G41" s="347">
        <f>90000-15000-8000</f>
        <v>67000</v>
      </c>
    </row>
    <row r="42" spans="1:11" s="333" customFormat="1" ht="60.75" customHeight="1">
      <c r="A42" s="334">
        <v>926</v>
      </c>
      <c r="B42" s="335">
        <v>92605</v>
      </c>
      <c r="C42" s="334">
        <v>2360</v>
      </c>
      <c r="D42" s="44" t="s">
        <v>94</v>
      </c>
      <c r="E42" s="374"/>
      <c r="F42" s="339"/>
      <c r="G42" s="347">
        <f>33000-12000</f>
        <v>21000</v>
      </c>
      <c r="I42" s="356"/>
      <c r="K42" s="356"/>
    </row>
    <row r="43" spans="1:11" s="333" customFormat="1" ht="22.5" customHeight="1">
      <c r="A43" s="418" t="s">
        <v>390</v>
      </c>
      <c r="B43" s="418"/>
      <c r="C43" s="418"/>
      <c r="D43" s="418"/>
      <c r="E43" s="349">
        <f>SUM(E23:E42)</f>
        <v>4776897</v>
      </c>
      <c r="F43" s="349">
        <f t="shared" ref="F43" si="0">SUM(F23:F42)</f>
        <v>0</v>
      </c>
      <c r="G43" s="349">
        <f>SUM(G23:G42)</f>
        <v>946095</v>
      </c>
    </row>
    <row r="44" spans="1:11" s="372" customFormat="1" ht="26.25" customHeight="1">
      <c r="A44" s="419" t="s">
        <v>391</v>
      </c>
      <c r="B44" s="419"/>
      <c r="C44" s="419"/>
      <c r="D44" s="419"/>
      <c r="E44" s="419"/>
      <c r="F44" s="419"/>
      <c r="G44" s="371">
        <f>SUM(E21,G21,E43,G43)</f>
        <v>7598648</v>
      </c>
    </row>
    <row r="45" spans="1:11" ht="15.75" customHeight="1"/>
    <row r="46" spans="1:11" ht="15.75" customHeight="1"/>
    <row r="47" spans="1:11" ht="15.75" customHeight="1"/>
    <row r="48" spans="1:11" ht="15.75" customHeight="1">
      <c r="A48" s="36"/>
      <c r="B48" s="36"/>
      <c r="C48" s="36"/>
    </row>
    <row r="49" spans="1:3" ht="15.75" customHeight="1">
      <c r="A49" s="36"/>
      <c r="B49" s="36"/>
      <c r="C49" s="36"/>
    </row>
    <row r="50" spans="1:3" ht="15.75" customHeight="1">
      <c r="A50" s="36"/>
      <c r="B50" s="36"/>
      <c r="C50" s="36"/>
    </row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  <row r="58" spans="1:3" ht="15.75" customHeight="1"/>
  </sheetData>
  <sheetProtection algorithmName="SHA-512" hashValue="BfpDiR6hgv3l7D2DyULCGugLEsWKi40PEaVP7ROG9dIrK7TkrC+ngTsbx4sWj/E0aJ+uEYy8yr3NoDSJLFONAw==" saltValue="P2xgZ7BJqoqAgg1Egu/Cqg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1:D21"/>
    <mergeCell ref="A22:C22"/>
    <mergeCell ref="A43:D43"/>
    <mergeCell ref="A44:F44"/>
  </mergeCells>
  <pageMargins left="0.68" right="0.23622047244094491" top="1.21" bottom="1.02" header="0.6" footer="0.49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14"/>
  <sheetViews>
    <sheetView workbookViewId="0">
      <selection activeCell="G10" sqref="G10"/>
    </sheetView>
  </sheetViews>
  <sheetFormatPr defaultColWidth="9.33203125" defaultRowHeight="12.75"/>
  <cols>
    <col min="1" max="1" width="2.83203125" style="102" customWidth="1"/>
    <col min="2" max="2" width="50.83203125" style="102" customWidth="1"/>
    <col min="3" max="3" width="9.33203125" style="102" customWidth="1"/>
    <col min="4" max="4" width="11.33203125" style="102" customWidth="1"/>
    <col min="5" max="8" width="14.83203125" style="102" customWidth="1"/>
    <col min="9" max="16384" width="9.33203125" style="102"/>
  </cols>
  <sheetData>
    <row r="1" spans="2:10" ht="9" customHeight="1">
      <c r="H1" s="103"/>
      <c r="I1" s="103"/>
      <c r="J1" s="103"/>
    </row>
    <row r="2" spans="2:10" ht="32.25" customHeight="1">
      <c r="B2" s="424" t="s">
        <v>128</v>
      </c>
      <c r="C2" s="424"/>
      <c r="D2" s="424"/>
      <c r="E2" s="424"/>
      <c r="F2" s="424"/>
      <c r="G2" s="424"/>
      <c r="H2" s="424"/>
    </row>
    <row r="3" spans="2:10" ht="13.5" thickBot="1"/>
    <row r="4" spans="2:10" ht="18.75" customHeight="1">
      <c r="B4" s="425" t="s">
        <v>129</v>
      </c>
      <c r="C4" s="427" t="s">
        <v>0</v>
      </c>
      <c r="D4" s="425" t="s">
        <v>1</v>
      </c>
      <c r="E4" s="427" t="s">
        <v>74</v>
      </c>
      <c r="F4" s="429" t="s">
        <v>130</v>
      </c>
      <c r="G4" s="430"/>
      <c r="H4" s="431"/>
    </row>
    <row r="5" spans="2:10" ht="18.75" customHeight="1" thickBot="1">
      <c r="B5" s="426"/>
      <c r="C5" s="428"/>
      <c r="D5" s="426"/>
      <c r="E5" s="428"/>
      <c r="F5" s="104"/>
      <c r="G5" s="105" t="s">
        <v>131</v>
      </c>
      <c r="H5" s="106" t="s">
        <v>132</v>
      </c>
    </row>
    <row r="6" spans="2:10" s="109" customFormat="1" ht="45.75" customHeight="1" thickBot="1">
      <c r="B6" s="107" t="s">
        <v>133</v>
      </c>
      <c r="C6" s="107">
        <v>801</v>
      </c>
      <c r="D6" s="107">
        <v>80120</v>
      </c>
      <c r="E6" s="108">
        <v>63100</v>
      </c>
      <c r="F6" s="108">
        <f>SUM(G6:H6)</f>
        <v>63100</v>
      </c>
      <c r="G6" s="108">
        <v>63100</v>
      </c>
      <c r="H6" s="108">
        <v>0</v>
      </c>
    </row>
    <row r="7" spans="2:10" s="109" customFormat="1" ht="45.75" customHeight="1" thickBot="1">
      <c r="B7" s="107" t="s">
        <v>134</v>
      </c>
      <c r="C7" s="107">
        <v>801</v>
      </c>
      <c r="D7" s="107">
        <v>80120</v>
      </c>
      <c r="E7" s="108">
        <v>34000</v>
      </c>
      <c r="F7" s="108">
        <f>SUM(G7:H7)</f>
        <v>34000</v>
      </c>
      <c r="G7" s="108">
        <v>34000</v>
      </c>
      <c r="H7" s="108">
        <v>0</v>
      </c>
    </row>
    <row r="8" spans="2:10" s="109" customFormat="1" ht="45.75" customHeight="1" thickBot="1">
      <c r="B8" s="107" t="s">
        <v>135</v>
      </c>
      <c r="C8" s="107">
        <v>801</v>
      </c>
      <c r="D8" s="107">
        <v>80115</v>
      </c>
      <c r="E8" s="108">
        <v>92000</v>
      </c>
      <c r="F8" s="108">
        <f t="shared" ref="F8:F12" si="0">SUM(G8:H8)</f>
        <v>92000</v>
      </c>
      <c r="G8" s="108">
        <v>92000</v>
      </c>
      <c r="H8" s="108">
        <v>0</v>
      </c>
    </row>
    <row r="9" spans="2:10" s="112" customFormat="1" ht="45.75" customHeight="1" thickBot="1">
      <c r="B9" s="110" t="s">
        <v>136</v>
      </c>
      <c r="C9" s="110">
        <v>801</v>
      </c>
      <c r="D9" s="110">
        <v>80115</v>
      </c>
      <c r="E9" s="111">
        <f>57400+40000</f>
        <v>97400</v>
      </c>
      <c r="F9" s="111">
        <f t="shared" si="0"/>
        <v>97400</v>
      </c>
      <c r="G9" s="111">
        <f>57400+40000</f>
        <v>97400</v>
      </c>
      <c r="H9" s="111">
        <v>0</v>
      </c>
    </row>
    <row r="10" spans="2:10" s="109" customFormat="1" ht="45.75" customHeight="1" thickBot="1">
      <c r="B10" s="107" t="s">
        <v>137</v>
      </c>
      <c r="C10" s="107">
        <v>854</v>
      </c>
      <c r="D10" s="107">
        <v>85403</v>
      </c>
      <c r="E10" s="108">
        <v>182800</v>
      </c>
      <c r="F10" s="108">
        <f t="shared" si="0"/>
        <v>182800</v>
      </c>
      <c r="G10" s="108">
        <f>182800-15000</f>
        <v>167800</v>
      </c>
      <c r="H10" s="108">
        <v>15000</v>
      </c>
    </row>
    <row r="11" spans="2:10" s="109" customFormat="1" ht="45.75" customHeight="1" thickBot="1">
      <c r="B11" s="107" t="s">
        <v>138</v>
      </c>
      <c r="C11" s="107">
        <v>854</v>
      </c>
      <c r="D11" s="107">
        <v>85403</v>
      </c>
      <c r="E11" s="108">
        <v>200000</v>
      </c>
      <c r="F11" s="108">
        <f t="shared" si="0"/>
        <v>200000</v>
      </c>
      <c r="G11" s="108">
        <v>200000</v>
      </c>
      <c r="H11" s="108">
        <v>0</v>
      </c>
    </row>
    <row r="12" spans="2:10" s="109" customFormat="1" ht="45.75" customHeight="1" thickBot="1">
      <c r="B12" s="107" t="s">
        <v>139</v>
      </c>
      <c r="C12" s="107">
        <v>854</v>
      </c>
      <c r="D12" s="107">
        <v>85407</v>
      </c>
      <c r="E12" s="108">
        <v>555500</v>
      </c>
      <c r="F12" s="108">
        <f t="shared" si="0"/>
        <v>555500</v>
      </c>
      <c r="G12" s="108">
        <v>555500</v>
      </c>
      <c r="H12" s="108">
        <v>0</v>
      </c>
    </row>
    <row r="13" spans="2:10" s="109" customFormat="1" ht="45.75" customHeight="1" thickBot="1">
      <c r="B13" s="107" t="s">
        <v>140</v>
      </c>
      <c r="C13" s="107">
        <v>854</v>
      </c>
      <c r="D13" s="107">
        <v>85421</v>
      </c>
      <c r="E13" s="108">
        <f>250000+50000</f>
        <v>300000</v>
      </c>
      <c r="F13" s="108">
        <f>SUM(G13:H13)</f>
        <v>300000</v>
      </c>
      <c r="G13" s="108">
        <f>230000+50000</f>
        <v>280000</v>
      </c>
      <c r="H13" s="108">
        <v>20000</v>
      </c>
      <c r="I13" s="319"/>
    </row>
    <row r="14" spans="2:10" s="114" customFormat="1" ht="28.5" customHeight="1" thickBot="1">
      <c r="B14" s="421" t="s">
        <v>126</v>
      </c>
      <c r="C14" s="422"/>
      <c r="D14" s="423"/>
      <c r="E14" s="113">
        <f>SUM(E6:E13)</f>
        <v>1524800</v>
      </c>
      <c r="F14" s="113">
        <f t="shared" ref="F14:H14" si="1">SUM(F6:F13)</f>
        <v>1524800</v>
      </c>
      <c r="G14" s="113">
        <f t="shared" si="1"/>
        <v>1489800</v>
      </c>
      <c r="H14" s="113">
        <f t="shared" si="1"/>
        <v>35000</v>
      </c>
    </row>
  </sheetData>
  <sheetProtection algorithmName="SHA-512" hashValue="bnxXe412Ld6O/yFDXnrbSPfga7LjFoS9JrinpcmqXw136Bx90QxOXClHM56k6ZwkEVlH1EhR8pvmjDjtnjV+TQ==" saltValue="3xfG7hbo8ziLqiHeuX9qbQ==" spinCount="100000" sheet="1" objects="1" scenarios="1" formatColumns="0" formatRows="0"/>
  <mergeCells count="7">
    <mergeCell ref="B14:D14"/>
    <mergeCell ref="B2:H2"/>
    <mergeCell ref="B4:B5"/>
    <mergeCell ref="C4:C5"/>
    <mergeCell ref="D4:D5"/>
    <mergeCell ref="E4:E5"/>
    <mergeCell ref="F4:H4"/>
  </mergeCells>
  <pageMargins left="0.47244094488188981" right="0.23622047244094491" top="1.8503937007874016" bottom="0.31496062992125984" header="0.78740157480314965" footer="0.15748031496062992"/>
  <pageSetup paperSize="9" scale="85" orientation="portrait" horizontalDpi="4294967295" verticalDpi="300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Tab.2a</vt:lpstr>
      <vt:lpstr>Tab.3</vt:lpstr>
      <vt:lpstr>Tab.5</vt:lpstr>
      <vt:lpstr>Tab.6</vt:lpstr>
      <vt:lpstr>Tab.7</vt:lpstr>
      <vt:lpstr>Zał.1</vt:lpstr>
      <vt:lpstr>Zał.2</vt:lpstr>
      <vt:lpstr>Tab.2a!Obszar_wydruku</vt:lpstr>
      <vt:lpstr>Tab.3!Obszar_wydruku</vt:lpstr>
      <vt:lpstr>Tab.5!Obszar_wydruku</vt:lpstr>
      <vt:lpstr>Zał.1!Obszar_wydruku</vt:lpstr>
      <vt:lpstr>Zał.2!Obszar_wydruku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2019-12-12T08:53:42Z</cp:lastPrinted>
  <dcterms:created xsi:type="dcterms:W3CDTF">2015-10-09T11:05:37Z</dcterms:created>
  <dcterms:modified xsi:type="dcterms:W3CDTF">2019-12-12T08:54:22Z</dcterms:modified>
</cp:coreProperties>
</file>