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mroczkowska.SRV-GORNA\Desktop\Zm.budżetowe_październik\"/>
    </mc:Choice>
  </mc:AlternateContent>
  <bookViews>
    <workbookView xWindow="-120" yWindow="-120" windowWidth="29040" windowHeight="15840" tabRatio="821" activeTab="5"/>
  </bookViews>
  <sheets>
    <sheet name="Tab.2a" sheetId="44" r:id="rId1"/>
    <sheet name="Tab.3" sheetId="21" r:id="rId2"/>
    <sheet name="Tab.4 " sheetId="45" r:id="rId3"/>
    <sheet name="Tab.5" sheetId="6" r:id="rId4"/>
    <sheet name="Tab.7" sheetId="41" r:id="rId5"/>
    <sheet name="Zał.1" sheetId="40" r:id="rId6"/>
  </sheets>
  <definedNames>
    <definedName name="__xlnm.Print_Area_1" localSheetId="0">#REF!</definedName>
    <definedName name="__xlnm.Print_Area_1" localSheetId="1">#REF!</definedName>
    <definedName name="__xlnm.Print_Area_1" localSheetId="2">#REF!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>#REF!</definedName>
    <definedName name="_xlnm._FilterDatabase" localSheetId="3" hidden="1">Tab.5!$C$1:$C$201</definedName>
    <definedName name="_xlnm._FilterDatabase" localSheetId="4" hidden="1">Tab.7!$D$2:$D$41</definedName>
    <definedName name="Inwestycje" localSheetId="0">#REF!</definedName>
    <definedName name="Inwestycje" localSheetId="2">#REF!</definedName>
    <definedName name="Inwestycje" localSheetId="4">#REF!</definedName>
    <definedName name="Inwestycje" localSheetId="5">#REF!</definedName>
    <definedName name="Inwestycje">#REF!</definedName>
    <definedName name="_xlnm.Print_Area" localSheetId="0">Tab.2a!$A$2:$K$111</definedName>
    <definedName name="_xlnm.Print_Area" localSheetId="1">Tab.3!$A$2:$D$22</definedName>
    <definedName name="_xlnm.Print_Area" localSheetId="2">'Tab.4 '!$A$2:$I$50</definedName>
    <definedName name="_xlnm.Print_Area" localSheetId="3">Tab.5!$A$2:$F$191</definedName>
    <definedName name="_xlnm.Print_Area" localSheetId="5">Zał.1!$A$1:$G$44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0" i="44" l="1"/>
  <c r="G30" i="44"/>
  <c r="F9" i="41"/>
  <c r="G94" i="44" l="1"/>
  <c r="I50" i="45" l="1"/>
  <c r="H50" i="45"/>
  <c r="G50" i="45"/>
  <c r="F50" i="45"/>
  <c r="E50" i="45"/>
  <c r="D50" i="45"/>
  <c r="D49" i="45"/>
  <c r="D45" i="45"/>
  <c r="G42" i="40"/>
  <c r="G41" i="40"/>
  <c r="G16" i="40"/>
  <c r="G15" i="40"/>
  <c r="G14" i="40"/>
  <c r="E40" i="40"/>
  <c r="E39" i="40"/>
  <c r="E37" i="40"/>
  <c r="G33" i="40"/>
  <c r="E32" i="40"/>
  <c r="E30" i="40"/>
  <c r="E28" i="40"/>
  <c r="E27" i="40"/>
  <c r="G24" i="40"/>
  <c r="G30" i="41"/>
  <c r="G27" i="41"/>
  <c r="G25" i="41"/>
  <c r="F29" i="41"/>
  <c r="F24" i="41"/>
  <c r="F124" i="6"/>
  <c r="F123" i="6"/>
  <c r="E122" i="6"/>
  <c r="E29" i="40"/>
  <c r="F152" i="6"/>
  <c r="F163" i="6"/>
  <c r="F162" i="6"/>
  <c r="F160" i="6"/>
  <c r="F159" i="6"/>
  <c r="F155" i="6"/>
  <c r="F147" i="6"/>
  <c r="F138" i="6"/>
  <c r="F103" i="6"/>
  <c r="F97" i="6"/>
  <c r="F96" i="6"/>
  <c r="F95" i="6"/>
  <c r="F91" i="6"/>
  <c r="F89" i="6"/>
  <c r="F86" i="6"/>
  <c r="F85" i="6"/>
  <c r="F26" i="6"/>
  <c r="F18" i="6"/>
  <c r="F15" i="6"/>
  <c r="F14" i="6"/>
  <c r="F13" i="6"/>
  <c r="E153" i="6"/>
  <c r="E77" i="6"/>
  <c r="G9" i="44" l="1"/>
  <c r="F33" i="44"/>
  <c r="G33" i="44"/>
  <c r="D41" i="45" l="1"/>
  <c r="D37" i="45"/>
  <c r="I33" i="45"/>
  <c r="D33" i="45" s="1"/>
  <c r="I28" i="45"/>
  <c r="D28" i="45"/>
  <c r="D27" i="45"/>
  <c r="I23" i="45"/>
  <c r="H23" i="45"/>
  <c r="E23" i="45"/>
  <c r="D23" i="45"/>
  <c r="D22" i="45"/>
  <c r="I18" i="45"/>
  <c r="H18" i="45"/>
  <c r="D18" i="45"/>
  <c r="D14" i="45"/>
  <c r="E10" i="45"/>
  <c r="D10" i="45"/>
  <c r="D9" i="45"/>
  <c r="G67" i="44" l="1"/>
  <c r="F67" i="44"/>
  <c r="F69" i="44"/>
  <c r="F8" i="44"/>
  <c r="G8" i="44"/>
  <c r="K106" i="44" l="1"/>
  <c r="I106" i="44"/>
  <c r="G105" i="44"/>
  <c r="G104" i="44"/>
  <c r="F104" i="44" s="1"/>
  <c r="F105" i="44" s="1"/>
  <c r="G103" i="44"/>
  <c r="F102" i="44"/>
  <c r="F103" i="44" s="1"/>
  <c r="G101" i="44"/>
  <c r="F100" i="44"/>
  <c r="F101" i="44" s="1"/>
  <c r="F98" i="44"/>
  <c r="G97" i="44"/>
  <c r="G99" i="44" s="1"/>
  <c r="H96" i="44"/>
  <c r="F95" i="44"/>
  <c r="G96" i="44"/>
  <c r="F94" i="44"/>
  <c r="F96" i="44" s="1"/>
  <c r="H92" i="44"/>
  <c r="H93" i="44" s="1"/>
  <c r="G92" i="44"/>
  <c r="G93" i="44" s="1"/>
  <c r="G91" i="44"/>
  <c r="H90" i="44"/>
  <c r="H91" i="44" s="1"/>
  <c r="G88" i="44"/>
  <c r="F88" i="44" s="1"/>
  <c r="F89" i="44" s="1"/>
  <c r="G87" i="44"/>
  <c r="F86" i="44"/>
  <c r="F87" i="44" s="1"/>
  <c r="G85" i="44"/>
  <c r="F84" i="44"/>
  <c r="F83" i="44"/>
  <c r="G82" i="44"/>
  <c r="F82" i="44"/>
  <c r="F79" i="44"/>
  <c r="G78" i="44"/>
  <c r="G80" i="44" s="1"/>
  <c r="G76" i="44"/>
  <c r="G77" i="44" s="1"/>
  <c r="H75" i="44"/>
  <c r="G74" i="44"/>
  <c r="F74" i="44" s="1"/>
  <c r="F75" i="44" s="1"/>
  <c r="H73" i="44"/>
  <c r="G73" i="44"/>
  <c r="G72" i="44"/>
  <c r="F72" i="44"/>
  <c r="F71" i="44"/>
  <c r="F73" i="44" s="1"/>
  <c r="F68" i="44"/>
  <c r="F66" i="44"/>
  <c r="G65" i="44"/>
  <c r="G58" i="44" s="1"/>
  <c r="F58" i="44" s="1"/>
  <c r="F63" i="44"/>
  <c r="F62" i="44"/>
  <c r="F61" i="44"/>
  <c r="F60" i="44"/>
  <c r="F59" i="44"/>
  <c r="J58" i="44"/>
  <c r="G57" i="44"/>
  <c r="F57" i="44" s="1"/>
  <c r="G56" i="44"/>
  <c r="F56" i="44"/>
  <c r="G55" i="44"/>
  <c r="F55" i="44"/>
  <c r="G54" i="44"/>
  <c r="F54" i="44" s="1"/>
  <c r="F53" i="44"/>
  <c r="F51" i="44"/>
  <c r="J50" i="44"/>
  <c r="J70" i="44" s="1"/>
  <c r="J106" i="44" s="1"/>
  <c r="G50" i="44"/>
  <c r="F49" i="44"/>
  <c r="F48" i="44"/>
  <c r="F47" i="44"/>
  <c r="F46" i="44"/>
  <c r="G43" i="44"/>
  <c r="F43" i="44" s="1"/>
  <c r="F42" i="44"/>
  <c r="F41" i="44"/>
  <c r="F37" i="44"/>
  <c r="G35" i="44"/>
  <c r="G34" i="44"/>
  <c r="F34" i="44" s="1"/>
  <c r="F32" i="44"/>
  <c r="J31" i="44"/>
  <c r="F29" i="44"/>
  <c r="F28" i="44"/>
  <c r="F27" i="44"/>
  <c r="G25" i="44"/>
  <c r="F25" i="44"/>
  <c r="G24" i="44"/>
  <c r="F24" i="44" s="1"/>
  <c r="G23" i="44"/>
  <c r="F23" i="44" s="1"/>
  <c r="G22" i="44"/>
  <c r="J21" i="44"/>
  <c r="G20" i="44"/>
  <c r="F20" i="44"/>
  <c r="G19" i="44"/>
  <c r="F18" i="44"/>
  <c r="F16" i="44"/>
  <c r="F15" i="44"/>
  <c r="F14" i="44"/>
  <c r="F13" i="44"/>
  <c r="F11" i="44"/>
  <c r="F10" i="44"/>
  <c r="F9" i="44"/>
  <c r="I7" i="44"/>
  <c r="H7" i="44"/>
  <c r="H70" i="44" s="1"/>
  <c r="G7" i="44"/>
  <c r="F85" i="44" l="1"/>
  <c r="G21" i="44"/>
  <c r="F21" i="44" s="1"/>
  <c r="G89" i="44"/>
  <c r="F7" i="44"/>
  <c r="G12" i="44"/>
  <c r="F12" i="44" s="1"/>
  <c r="F50" i="44"/>
  <c r="F78" i="44"/>
  <c r="F80" i="44" s="1"/>
  <c r="F19" i="44"/>
  <c r="F76" i="44"/>
  <c r="F77" i="44" s="1"/>
  <c r="H106" i="44"/>
  <c r="G31" i="44"/>
  <c r="F31" i="44" s="1"/>
  <c r="G75" i="44"/>
  <c r="F90" i="44"/>
  <c r="F91" i="44" s="1"/>
  <c r="F92" i="44"/>
  <c r="F93" i="44" s="1"/>
  <c r="F97" i="44"/>
  <c r="F99" i="44" s="1"/>
  <c r="F185" i="6"/>
  <c r="F184" i="6"/>
  <c r="F183" i="6"/>
  <c r="F182" i="6"/>
  <c r="F167" i="6"/>
  <c r="F20" i="6"/>
  <c r="E180" i="6"/>
  <c r="E166" i="6"/>
  <c r="F70" i="44" l="1"/>
  <c r="F106" i="44" s="1"/>
  <c r="G70" i="44"/>
  <c r="G106" i="44" s="1"/>
  <c r="F174" i="6"/>
  <c r="F173" i="6"/>
  <c r="F172" i="6"/>
  <c r="F171" i="6"/>
  <c r="F143" i="6"/>
  <c r="F142" i="6"/>
  <c r="F141" i="6"/>
  <c r="F137" i="6"/>
  <c r="F132" i="6"/>
  <c r="F100" i="6"/>
  <c r="F98" i="6"/>
  <c r="F84" i="6"/>
  <c r="F83" i="6"/>
  <c r="F81" i="6"/>
  <c r="F80" i="6"/>
  <c r="F79" i="6"/>
  <c r="F52" i="6"/>
  <c r="F51" i="6"/>
  <c r="F43" i="6"/>
  <c r="F40" i="6"/>
  <c r="F38" i="6"/>
  <c r="F37" i="6"/>
  <c r="F25" i="6"/>
  <c r="E170" i="6"/>
  <c r="E35" i="6"/>
  <c r="E11" i="6"/>
  <c r="E31" i="40" l="1"/>
  <c r="D15" i="21" l="1"/>
  <c r="F17" i="41" l="1"/>
  <c r="F16" i="41" s="1"/>
  <c r="F15" i="41" s="1"/>
  <c r="F10" i="41"/>
  <c r="F39" i="41"/>
  <c r="F34" i="41" s="1"/>
  <c r="G38" i="41"/>
  <c r="G37" i="41"/>
  <c r="G36" i="41"/>
  <c r="G35" i="41"/>
  <c r="G34" i="41" s="1"/>
  <c r="G32" i="41"/>
  <c r="G31" i="41"/>
  <c r="G28" i="41"/>
  <c r="F28" i="41"/>
  <c r="G26" i="41"/>
  <c r="G23" i="41"/>
  <c r="F23" i="41"/>
  <c r="F22" i="41"/>
  <c r="G19" i="41"/>
  <c r="G18" i="41" s="1"/>
  <c r="F19" i="41"/>
  <c r="F18" i="41"/>
  <c r="G13" i="41"/>
  <c r="G12" i="41"/>
  <c r="F11" i="41"/>
  <c r="F8" i="41"/>
  <c r="F5" i="41" s="1"/>
  <c r="G6" i="41"/>
  <c r="G5" i="41" s="1"/>
  <c r="G22" i="41" l="1"/>
  <c r="G41" i="41" s="1"/>
  <c r="F41" i="41"/>
  <c r="E181" i="6" l="1"/>
  <c r="F189" i="6" l="1"/>
  <c r="F188" i="6"/>
  <c r="F90" i="6"/>
  <c r="E187" i="6"/>
  <c r="G10" i="40" l="1"/>
  <c r="G11" i="40"/>
  <c r="G21" i="40" l="1"/>
  <c r="G43" i="40" l="1"/>
  <c r="F43" i="40"/>
  <c r="E43" i="40"/>
  <c r="F21" i="40"/>
  <c r="E21" i="40"/>
  <c r="G18" i="40"/>
  <c r="G44" i="40" l="1"/>
  <c r="F157" i="6"/>
  <c r="F101" i="6"/>
  <c r="F68" i="6"/>
  <c r="F67" i="6"/>
  <c r="F23" i="6"/>
  <c r="F21" i="6"/>
  <c r="F16" i="6"/>
  <c r="E63" i="6"/>
  <c r="E131" i="6"/>
  <c r="F186" i="6" l="1"/>
  <c r="E186" i="6"/>
  <c r="F82" i="6"/>
  <c r="F78" i="6"/>
  <c r="F92" i="6" l="1"/>
  <c r="F8" i="6"/>
  <c r="E7" i="6"/>
  <c r="F121" i="6" l="1"/>
  <c r="F120" i="6" s="1"/>
  <c r="E121" i="6"/>
  <c r="E120" i="6" s="1"/>
  <c r="F156" i="6" l="1"/>
  <c r="F88" i="6"/>
  <c r="F87" i="6"/>
  <c r="F107" i="6" l="1"/>
  <c r="E107" i="6"/>
  <c r="F70" i="6"/>
  <c r="F69" i="6" s="1"/>
  <c r="E70" i="6"/>
  <c r="E69" i="6" s="1"/>
  <c r="F165" i="6" l="1"/>
  <c r="E165" i="6"/>
  <c r="F149" i="6"/>
  <c r="F134" i="6"/>
  <c r="F66" i="6"/>
  <c r="F76" i="6" l="1"/>
  <c r="F179" i="6" l="1"/>
  <c r="F111" i="6"/>
  <c r="F126" i="6" l="1"/>
  <c r="F125" i="6" s="1"/>
  <c r="E126" i="6"/>
  <c r="F169" i="6"/>
  <c r="E169" i="6"/>
  <c r="E179" i="6"/>
  <c r="F130" i="6" l="1"/>
  <c r="F129" i="6" s="1"/>
  <c r="E76" i="6" l="1"/>
  <c r="E75" i="6" s="1"/>
  <c r="E130" i="6" l="1"/>
  <c r="E129" i="6" s="1"/>
  <c r="D19" i="21" l="1"/>
  <c r="D14" i="21"/>
  <c r="D10" i="21"/>
  <c r="D7" i="21"/>
  <c r="D13" i="21" l="1"/>
  <c r="F175" i="6" l="1"/>
  <c r="F168" i="6" s="1"/>
  <c r="E175" i="6"/>
  <c r="E168" i="6" s="1"/>
  <c r="F110" i="6" l="1"/>
  <c r="E111" i="6"/>
  <c r="E110" i="6" s="1"/>
  <c r="F28" i="6" l="1"/>
  <c r="F151" i="6" l="1"/>
  <c r="E152" i="6"/>
  <c r="E151" i="6" s="1"/>
  <c r="E125" i="6"/>
  <c r="F75" i="6"/>
  <c r="F62" i="6"/>
  <c r="E62" i="6"/>
  <c r="F57" i="6"/>
  <c r="E57" i="6"/>
  <c r="F34" i="6"/>
  <c r="E34" i="6"/>
  <c r="E28" i="6"/>
  <c r="F10" i="6"/>
  <c r="F9" i="6" s="1"/>
  <c r="E10" i="6"/>
  <c r="E9" i="6" s="1"/>
  <c r="F6" i="6"/>
  <c r="F5" i="6" s="1"/>
  <c r="E6" i="6"/>
  <c r="E5" i="6" s="1"/>
  <c r="E56" i="6" l="1"/>
  <c r="F56" i="6"/>
  <c r="F27" i="6"/>
  <c r="E27" i="6"/>
  <c r="E190" i="6" l="1"/>
  <c r="F190" i="6"/>
</calcChain>
</file>

<file path=xl/sharedStrings.xml><?xml version="1.0" encoding="utf-8"?>
<sst xmlns="http://schemas.openxmlformats.org/spreadsheetml/2006/main" count="689" uniqueCount="409">
  <si>
    <t>Dział</t>
  </si>
  <si>
    <t>Rozdział</t>
  </si>
  <si>
    <t>010</t>
  </si>
  <si>
    <t>01005</t>
  </si>
  <si>
    <t>Prace geodezyjno-urządzeniowe na potrzeby rolnictwa</t>
  </si>
  <si>
    <t>Dotacje celowe otrzymane z budżetu państwa na zadania bieżące z zakresu administracji rządowej oraz inne zadania zlecone ustawami realizowane przez powiat</t>
  </si>
  <si>
    <t>Pozostała działalność</t>
  </si>
  <si>
    <t>Kwalifikacja wojskowa</t>
  </si>
  <si>
    <t>Bezpieczeństwo publiczne i ochrona przeciwpożarowa</t>
  </si>
  <si>
    <t>Komendy powiatowe Państwowej Straży Pożarnej</t>
  </si>
  <si>
    <t>Ochrona zdrowia</t>
  </si>
  <si>
    <t>Składki na ubezpieczenie zdrowotne oraz świadczenia dla osób nieobjętych obowiązkiem ubezpieczenia zdrowotnego</t>
  </si>
  <si>
    <t>Ośrodki wsparcia</t>
  </si>
  <si>
    <t>Rodziny zastępcze</t>
  </si>
  <si>
    <t>Pozostałe zadania w zakresie polityki społecznej</t>
  </si>
  <si>
    <t>Zespoły do spraw orzekania o niepełnosprawności</t>
  </si>
  <si>
    <t>Rolnictwo i łowiectwo</t>
  </si>
  <si>
    <t>Zakup usług pozostałych</t>
  </si>
  <si>
    <t>Zakup materiałów i wyposażenia</t>
  </si>
  <si>
    <t>Wydatki osobowe niezaliczone do wynagrodzeń</t>
  </si>
  <si>
    <t>Wynagrodzenia osobowe pracowników</t>
  </si>
  <si>
    <t>Dodatkowe wynagrodzenie roczne</t>
  </si>
  <si>
    <t>Składki na ubezpieczenia społeczne</t>
  </si>
  <si>
    <t>Wynagrodzenia bezosobowe</t>
  </si>
  <si>
    <t>Zakup energii</t>
  </si>
  <si>
    <t>Zakup usług remontowych</t>
  </si>
  <si>
    <t>Podróże służbowe krajowe</t>
  </si>
  <si>
    <t>Różne opłaty i składki</t>
  </si>
  <si>
    <t>Odpisy na zakładowy fundusz świadczeń socjalnych</t>
  </si>
  <si>
    <t>Podatek od nieruchomości</t>
  </si>
  <si>
    <t>Opłaty na rzecz budżetów jednostek samorządu terytorialnego</t>
  </si>
  <si>
    <t>Gospodarka mieszkaniowa</t>
  </si>
  <si>
    <t>Gospodarka gruntami i nieruchomościami</t>
  </si>
  <si>
    <t>Zakup usług obejmujących wykonanie ekspertyz, analiz i opinii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</si>
  <si>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</si>
  <si>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</si>
  <si>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</si>
  <si>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</si>
  <si>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Zakup usług zdrowotnych</t>
  </si>
  <si>
    <t>Nadzór budowlany</t>
  </si>
  <si>
    <t>Wynagrodzenia osobowe członków korpusu służby cywilnej</t>
  </si>
  <si>
    <t>Szkolenia członków korpusu służby cywilnej</t>
  </si>
  <si>
    <t>Administracja publiczna</t>
  </si>
  <si>
    <t>Urzędy wojewódzkie</t>
  </si>
  <si>
    <t>Wydatki osobowe niezaliczone do uposażeń wypłacane żołnierzom i funkcjonariuszom</t>
  </si>
  <si>
    <t>Uposażenia żołnierzy zawodowych oraz funkcjonariuszy</t>
  </si>
  <si>
    <t>Dodatkowe uposażenie roczne dla żołnierzy zawodowych oraz nagrody roczne dla funkcjonariuszy</t>
  </si>
  <si>
    <t>Zakup środków żywności</t>
  </si>
  <si>
    <t>Zakup leków, wyrobów medycznych i produktów biobójczych</t>
  </si>
  <si>
    <t>Zakup sprzętu i uzbrojenia</t>
  </si>
  <si>
    <t>Składki na ubezpieczenie zdrowotne</t>
  </si>
  <si>
    <t>Pomoc społeczna</t>
  </si>
  <si>
    <t>Świadczenia społeczne</t>
  </si>
  <si>
    <t>Lp.</t>
  </si>
  <si>
    <t>1.</t>
  </si>
  <si>
    <t>2.</t>
  </si>
  <si>
    <t>3.</t>
  </si>
  <si>
    <t>4.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</si>
  <si>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</si>
  <si>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</si>
  <si>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</si>
  <si>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</si>
  <si>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</si>
  <si>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</si>
  <si>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</si>
  <si>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</si>
  <si>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</si>
  <si>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</si>
  <si>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</si>
  <si>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</si>
  <si>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</si>
  <si>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</si>
  <si>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Paragraf</t>
  </si>
  <si>
    <t>Wyszczególnienie</t>
  </si>
  <si>
    <t>Dochody</t>
  </si>
  <si>
    <t>Wydatki</t>
  </si>
  <si>
    <t xml:space="preserve">Opłaty z tytułu zakupu usług telekomunikacyjnych </t>
  </si>
  <si>
    <t>Szkolenia pracowników niebędących członkami korpusu służby cywilnej</t>
  </si>
  <si>
    <t>Razem</t>
  </si>
  <si>
    <t>852</t>
  </si>
  <si>
    <t>Zadania z zakresu geodezji i kartografii</t>
  </si>
  <si>
    <t>71012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</si>
  <si>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</si>
  <si>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</si>
  <si>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</si>
  <si>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</si>
  <si>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</si>
  <si>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</si>
  <si>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Inne należności żołnierzy zawodowych oraz funkcjonariuszy zaliczane do wynagrodzeń</t>
  </si>
  <si>
    <t>Równoważniki pieniężne i ekwiwalenty dla żołnierzy i funkcjonariuszy oraz pozostałe należności</t>
  </si>
  <si>
    <t>Wymiar sprawiedliwości</t>
  </si>
  <si>
    <t>Nieodpłatna pomoc prawna</t>
  </si>
  <si>
    <t>75515</t>
  </si>
  <si>
    <t>755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</si>
  <si>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</si>
  <si>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Rodzina</t>
  </si>
  <si>
    <t>Działalność placówek opiekuńczo-wychowawczych</t>
  </si>
  <si>
    <t>855</t>
  </si>
  <si>
    <t>85508</t>
  </si>
  <si>
    <t>85510</t>
  </si>
  <si>
    <t>Przychody ze spłat pożyczek i kredytów udzielonych ze środków publicznych</t>
  </si>
  <si>
    <t>§ 951</t>
  </si>
  <si>
    <t>§ 991</t>
  </si>
  <si>
    <t>Udzielone pożyczki i kredyty</t>
  </si>
  <si>
    <t>Uposażenia i świadczenia pieniężne wypłacane przez okres roku żołnierzom i funkcjonariuszom zwolnionym ze służby</t>
  </si>
  <si>
    <t>Wspieranie rodziny</t>
  </si>
  <si>
    <t>85504</t>
  </si>
  <si>
    <t>Przychody i rozchody budżetu w 2019 roku - po zmianach</t>
  </si>
  <si>
    <t>Dochody i wydatki związane z realizacją zadań z zakresu administracji rządowej i innych zadań zleconych                                                                jednostce samorządu terytorialnego odrębnymi ustawami na 2019 rok - po zmianach</t>
  </si>
  <si>
    <t>§</t>
  </si>
  <si>
    <t>Nazwa zadania</t>
  </si>
  <si>
    <t>85395</t>
  </si>
  <si>
    <t>752</t>
  </si>
  <si>
    <t xml:space="preserve">Obrona narodowa </t>
  </si>
  <si>
    <t>Dotacje celowe otrzymane z budżetu państwa na inwestycje i zakupy inwestycyjne z zakresu administracji rządowej oraz inne zadania zlecone ustawami realizowane przez powiat</t>
  </si>
  <si>
    <t>Wydatki na zakupy inwestycyjne jednostek budżetowych</t>
  </si>
  <si>
    <t>75295</t>
  </si>
  <si>
    <t>75414</t>
  </si>
  <si>
    <t>Obrona cywilna</t>
  </si>
  <si>
    <t>Różne wydatki na rzecz osób fizycznych</t>
  </si>
  <si>
    <t>801</t>
  </si>
  <si>
    <t>Oświata i wychowanie</t>
  </si>
  <si>
    <t>80153</t>
  </si>
  <si>
    <t>Zapewnienie uczniom prawa do bezpłatnego dostępu do podręczników, materiałów edukacyjnych lub materiałów ćwiczeniowych</t>
  </si>
  <si>
    <t>Dotacja celowa z budżetu na finansowanie lub dofinansowanie zadań zleconych do realizacji pozostałym jednostkom nie zaliczanym do sektora finansów publicznych</t>
  </si>
  <si>
    <t>Zakup środków dydaktycznych i książek</t>
  </si>
  <si>
    <t>Składki na Fundusz Pracy oraz Solidarnościowy Fundusz Wsparcia Osób Niepełnosprawnych</t>
  </si>
  <si>
    <t>85595</t>
  </si>
  <si>
    <t>Plan wydatków majątkowych na 2019 rok - po zmianach</t>
  </si>
  <si>
    <t>Rozdz.</t>
  </si>
  <si>
    <t>Plan</t>
  </si>
  <si>
    <t>z tego:</t>
  </si>
  <si>
    <t>Uwagi</t>
  </si>
  <si>
    <t>środki własne</t>
  </si>
  <si>
    <t xml:space="preserve">kredyty, pożyczki, </t>
  </si>
  <si>
    <t>środki o których mowa w art. 5 ust. 1 pkt 2 i 3 uofp</t>
  </si>
  <si>
    <t>środki pochodzące                  z innych źródeł                     (w tym dotacje)</t>
  </si>
  <si>
    <t>5.</t>
  </si>
  <si>
    <t>6.</t>
  </si>
  <si>
    <t>7.</t>
  </si>
  <si>
    <t>8.</t>
  </si>
  <si>
    <t>9.</t>
  </si>
  <si>
    <t>10.</t>
  </si>
  <si>
    <t>11.</t>
  </si>
  <si>
    <t>Gmina Celestynów</t>
  </si>
  <si>
    <t xml:space="preserve">Opracowanie dokumentacji projektowej na budowę chodnika wraz z miejscami postojowymi przy drodze powiatowej Nr 2713W w Celestynowie na odcinku od działki 129/12 w obr. 1 do ronda w Dąbrówce </t>
  </si>
  <si>
    <t>B. 50 000</t>
  </si>
  <si>
    <t>Przebudowa drogi powiatowej Nr 2714W w Celestynowie</t>
  </si>
  <si>
    <t>WPF</t>
  </si>
  <si>
    <t>Modernizacja drogi powiatowej Nr 2744W w Ponurzycy</t>
  </si>
  <si>
    <t>wyrównanie i doziarnienie drogi</t>
  </si>
  <si>
    <t>Budowa chodnika przy drodze  powiatowej Nr 2719W - ul. Laskowskiej w Celestynowie</t>
  </si>
  <si>
    <t>Gmina Józefów</t>
  </si>
  <si>
    <t>Przebudowa drogi powiatowej Nr 2769W ul. Sikorskiego i Nr 2765W ul. Piłsudskiego w Józefowie</t>
  </si>
  <si>
    <t>Przebudowa drogi powiatowej Nr 2769W  - ul. Sikorskiego w Józefowie</t>
  </si>
  <si>
    <t>Przebudowa drogi powiatowej Nr 2765W - ul. Piłsudskiego w Józefowie</t>
  </si>
  <si>
    <t>Modernizacja drogi powiatowej Nr 2768W - ul. Granicznej w Józefowie</t>
  </si>
  <si>
    <t>Modernizacja chodnika w ul. Piłsudskiego na odcinku od ul. Wąskiej do granicy z Warszawą (ok. 150 metrów) w Józefowie</t>
  </si>
  <si>
    <t>B. 0</t>
  </si>
  <si>
    <t>Modernizacja chodnika w ul. 3 Maja na odcinku od ul. Wąskiej do ul. Werbeny w Józefowie</t>
  </si>
  <si>
    <t>Projekt i budowa chodnika w ul. 3 Maja na odcinku od ul. Zaułek do ul. Granicznej (po stronie zachodniej) w Józefowie</t>
  </si>
  <si>
    <t>12.</t>
  </si>
  <si>
    <t>Budowa miejsc parkingowych wraz z chodnikiem w pasie drogowym ul. 3 Maja na odcinku od ul. Szerokiej do numeru 82 oraz wykonanie przejścia dla pieszych na wysokości ul. Rozkosznej w Józefowie</t>
  </si>
  <si>
    <t>B. 175 000</t>
  </si>
  <si>
    <t>Gmina Otwock</t>
  </si>
  <si>
    <t>13.</t>
  </si>
  <si>
    <t>Rozbudowa skrzyżowania dróg powiatowych Nr 2754W – ul. Reymonta i Nr 2758W – ul. Samorządowej w Otwocku na skrzyżowanie typu rondo</t>
  </si>
  <si>
    <t>14.</t>
  </si>
  <si>
    <t>Modernizacja drogi powiatowej Nr 2763W - ul. Majowej w Otwocku</t>
  </si>
  <si>
    <t>15.</t>
  </si>
  <si>
    <t>B.  0</t>
  </si>
  <si>
    <t>16.</t>
  </si>
  <si>
    <t>Modernizacja drogi powiatowej Nr 2756W - ul. Świderskiej w Otwocku</t>
  </si>
  <si>
    <t>17.</t>
  </si>
  <si>
    <t>18.</t>
  </si>
  <si>
    <t>Budowa doświetlenia przejścia dla pieszych w Otwocku w ul. Jana Pawła II na wysokości ul. Kukułczej</t>
  </si>
  <si>
    <t>19.</t>
  </si>
  <si>
    <t>Wykonanie projektu oraz budowy odwodnienia drogi powiatowej ul. Matejki w Otwocku</t>
  </si>
  <si>
    <t>20.</t>
  </si>
  <si>
    <t>Gmina Karczew</t>
  </si>
  <si>
    <t>Modernizacja drogi powiatowej nr 2729W Kępa Gliniecka - Otwock Wielki - Otwock Mały - Karczew w miejscowości Otwock Wielki</t>
  </si>
  <si>
    <t>22.</t>
  </si>
  <si>
    <t>Przebudowa  drogi powiatowej Nr 2724W w Całowaniu</t>
  </si>
  <si>
    <t>23.</t>
  </si>
  <si>
    <t>Modernizacja dróg powiatowych Nr 2772W - ul. Wyszyńskiego w Karczewie i Nr 2762W ul. Kraszewskiego w Otwocku na odcinku od ul. Boh. Westerplatte w Karczewie do ul. Batorego w Otwocku</t>
  </si>
  <si>
    <t>24.</t>
  </si>
  <si>
    <t>Budowa chodnika w drodze powiatowej Nr 2729W - ul. Częstochowskiej w Karczewie</t>
  </si>
  <si>
    <t>25.</t>
  </si>
  <si>
    <t>Projekt i budowa sygnalizacji świetlnej w skrzyżowaniu dróg powiatowych Nr 2775W - ul. Stare Miasto i Nr 2724W - ul. Żaboklickiego z drogą gminną ul. Bielińskiego w Karczewie</t>
  </si>
  <si>
    <t>26.</t>
  </si>
  <si>
    <t>Doświetlenie przejść dla pieszych w ul. Świderskiej, na łuku ul. Piłsudskiego-Mickiewicza, ul. Żaboklickiego w Karczewie</t>
  </si>
  <si>
    <t>27.</t>
  </si>
  <si>
    <t>Modernizacja dróg powiatowych w miejscowościach Glinki oraz Sobiekursk</t>
  </si>
  <si>
    <t>B.0</t>
  </si>
  <si>
    <t>28.</t>
  </si>
  <si>
    <t>Wykonanie nakładki asfaltobetonowej na drodze powiatowej Nr 2726W przez Sobiekursk</t>
  </si>
  <si>
    <t>B. 40 000</t>
  </si>
  <si>
    <t>29.</t>
  </si>
  <si>
    <t>Modernizacja drogi powiatowej Nr 2729W Kępa Gliniecka - Otwock Wielki - Otwock Mały - Karczew od drogi krajowej Nr 50 w kierunku wsi Glinki</t>
  </si>
  <si>
    <t>30.</t>
  </si>
  <si>
    <t>Budowa chodnika w ul. Świderskiej w Karczewie od ul. Ordona</t>
  </si>
  <si>
    <t>Gmina Kołbiel</t>
  </si>
  <si>
    <t>31.</t>
  </si>
  <si>
    <t>Modernizacja drogi powiatowej Nr 2737W Anielinek-Sępochów-Rudno</t>
  </si>
  <si>
    <t>32.</t>
  </si>
  <si>
    <t>Przebudowa drogi powiatowej Nr 2245W w m. Dobrzyniec, gmina Kołbiel</t>
  </si>
  <si>
    <t>33.</t>
  </si>
  <si>
    <t>Modernizacja drogi powiatowej Nr 2736W w miejsc. Teresin</t>
  </si>
  <si>
    <t>34.</t>
  </si>
  <si>
    <t>Wykonanie nakładki asfaltobetonowej na drodze powiatowej Nr 2741W Kołbiel - Wola Sufczyńska</t>
  </si>
  <si>
    <t>35.</t>
  </si>
  <si>
    <t>Odwodnienie drogi powiatowej Nr 2741W - plac na ul. Rynek w Kołbieli</t>
  </si>
  <si>
    <t>36.</t>
  </si>
  <si>
    <t>Wykonanie nakładki asfaltobetonowej na drodze powiatowej Nr 2739W w Gadce na odcinku od drogi krajowej  Nr 17 do miejscowości Gadka</t>
  </si>
  <si>
    <t>Gmina Osieck</t>
  </si>
  <si>
    <t>37.</t>
  </si>
  <si>
    <t xml:space="preserve">Modernizacja drogi powiatowej Nr 1315W w miejsc. Augustówka
</t>
  </si>
  <si>
    <t>38.</t>
  </si>
  <si>
    <t xml:space="preserve">Budowa drogi powiatowej Nr 1311W w Natolinie </t>
  </si>
  <si>
    <t>39.</t>
  </si>
  <si>
    <t>Modernizacja drogi powiatowej Nr 2746W Grabianka - Górki -Osieck</t>
  </si>
  <si>
    <t>Gmina Sobienie Jeziory</t>
  </si>
  <si>
    <t>40.</t>
  </si>
  <si>
    <t>Modernizacja drogi powiatowej Nr 2751W Sobienie Kiełczewskie-Zuzanów-Czarnowiec</t>
  </si>
  <si>
    <t>B. 200 000</t>
  </si>
  <si>
    <t>41.</t>
  </si>
  <si>
    <t>Modernizacja drogi powiatowej Nr 2752W Władysławów-Zambrzyków Stary-Sobienie Kiełczewskie</t>
  </si>
  <si>
    <t>42.</t>
  </si>
  <si>
    <t>Modernizacja  mostu w ciągu drogi powiatowej Nr 2735W Warszówka-Warszawice w Warszawicach</t>
  </si>
  <si>
    <t>Gmina Wiązowna</t>
  </si>
  <si>
    <t>43.</t>
  </si>
  <si>
    <t>Modernizacja drogi powiatowej Nr 2708W Dziechciniec-Pęclin-Kąck</t>
  </si>
  <si>
    <t>44.</t>
  </si>
  <si>
    <t>Przebudowa przepustu w ciągu drogi powiatowej Nr 2709W w Bolesławowie</t>
  </si>
  <si>
    <t>45.</t>
  </si>
  <si>
    <t>Modernizacja drogi powiatowej Nr 2712W w miejsc. Wola Karczewska</t>
  </si>
  <si>
    <t>46.</t>
  </si>
  <si>
    <t>Modernizacja drogi powiatowej nr 2712W w miejscowości Kruszówiec</t>
  </si>
  <si>
    <t>47.</t>
  </si>
  <si>
    <t xml:space="preserve">Modernizacja drogi powiatowej Nr 2701 W Majdan, Izabela, Michałówek, Duchnów </t>
  </si>
  <si>
    <t>48.</t>
  </si>
  <si>
    <t>Wykonanie ZRIDu ciągu pieszo-rowerowego między Izabelą a Zakrętem w ramach poprawy bezpieczeństwa na drodze powiatowej nr 2702W</t>
  </si>
  <si>
    <t>B.20 000</t>
  </si>
  <si>
    <t>49.</t>
  </si>
  <si>
    <t>Budowa chodnika na drodze powiatowej Nr 2703W w miejscowości Boryszew i Góraszka</t>
  </si>
  <si>
    <t>50.</t>
  </si>
  <si>
    <t>Przebudowa drogi powiatowej Nr 2705W - ul.  Kąckiej w Wiązownie</t>
  </si>
  <si>
    <t>Zarząd Dróg Powiatowych</t>
  </si>
  <si>
    <t>51.</t>
  </si>
  <si>
    <t>Zakupy inwestycyjne w Zarządzie Dróg Powiatowych</t>
  </si>
  <si>
    <t>Razem Rozdział 60014</t>
  </si>
  <si>
    <t>52.</t>
  </si>
  <si>
    <t>Wymiana okien w budynku mieszkalnym stanowiącym własność Powiatu Otwockiego w Otwocku przy ul. Komunardów 10</t>
  </si>
  <si>
    <t>53.</t>
  </si>
  <si>
    <t>Przebudowa podjazdu do Interwencyjnego Ośrodka Preadopcyjnego i uszczelnienie tarasu IOP (nad apteką szpitalną) w budynku PCZ Sp. z o.o.</t>
  </si>
  <si>
    <t>C. 60 000</t>
  </si>
  <si>
    <t>Razem rozdział 70005</t>
  </si>
  <si>
    <t>54.</t>
  </si>
  <si>
    <t>Regionalne partnerstwo samorządów Mazowsza dla aktywizacji społeczeństwa informacyjnego w zakresie e-administracji i geoinformacji</t>
  </si>
  <si>
    <t>Razem Rozdział 71095</t>
  </si>
  <si>
    <t>55.</t>
  </si>
  <si>
    <t>Sprzęt nagłaśniający do obsługi Sesji Rady Powiatu</t>
  </si>
  <si>
    <t>Razem Rozdział 75019</t>
  </si>
  <si>
    <t>56.</t>
  </si>
  <si>
    <t>Przebudowa i rozbudowa budynku w Otwocku przy ul. Komunardów wraz z towarzyszącą infrastrukturą na potrzeby siedziby Starostwa i jednostek organizacyjnych powiatu</t>
  </si>
  <si>
    <t>57.</t>
  </si>
  <si>
    <t>Serwer główny dla Starostwa, serwer plików</t>
  </si>
  <si>
    <t xml:space="preserve">  Razem Rozdział 75020</t>
  </si>
  <si>
    <t>58.</t>
  </si>
  <si>
    <t>Zakupy inwestycyjne sprzętu informatyki i łaczności w Komendzie Powiatowej Państwowej Straży Pożarnej</t>
  </si>
  <si>
    <t>A. 17 685</t>
  </si>
  <si>
    <t xml:space="preserve">  Razem Rozdział 75295</t>
  </si>
  <si>
    <t>59.</t>
  </si>
  <si>
    <t>Dotacja  na dofinansowanie zakupu furgonu patrolowego w wersji oznakowanej dla Komendy Powiatowej Policji w Otwocku</t>
  </si>
  <si>
    <t>Razem Rozdział 75404</t>
  </si>
  <si>
    <t>60.</t>
  </si>
  <si>
    <t>Dotacja na zakup samochodu ratowniczo-gaśniczego z wyposażeniem na  potrzeby  Komendy Powiatowej Państwowej Straży Pożarnej w Otwocku</t>
  </si>
  <si>
    <t>Razem Rozdział 75410</t>
  </si>
  <si>
    <t>61.</t>
  </si>
  <si>
    <t>Rezerwa inwestycyjna</t>
  </si>
  <si>
    <t>Razem rozdział 75818</t>
  </si>
  <si>
    <t>62.</t>
  </si>
  <si>
    <t>Budowa hali sportowej przy Zespole Szkół Nr 2 im. Marii Skłodowskiej-Curie w Otwocku</t>
  </si>
  <si>
    <t>Razem Rozdział 80115</t>
  </si>
  <si>
    <t>63.</t>
  </si>
  <si>
    <t xml:space="preserve">Rozbudowa szatni w Zespole Szkół Nr 1 w Otwocku wraz z przebudową części istniejącej </t>
  </si>
  <si>
    <t>Razem Rozdział 80120</t>
  </si>
  <si>
    <t>64.</t>
  </si>
  <si>
    <t>Wniesienie wkładu pieniężnego - zwiększenie udziału w Powiatowym Centrum Zdrowia Sp. z o.o.</t>
  </si>
  <si>
    <t>65.</t>
  </si>
  <si>
    <t>Dotacja dla  Powiatowego Centrum Zdrowia Sp. z o.o. na modernizację kuchni i przyziemia w budynku  szpitala</t>
  </si>
  <si>
    <t>Razem Rozdział 85111</t>
  </si>
  <si>
    <t>66.</t>
  </si>
  <si>
    <t>Modernizacja  centralnego ogrzewania w budynku Domu Pomocy Społecznej w Otwocku</t>
  </si>
  <si>
    <t>67.</t>
  </si>
  <si>
    <t>Modernizacja Domu Pomocy Społecznej "Wrzos"</t>
  </si>
  <si>
    <t>budowa przyłącza wodno-kanalizacyjnego w DPS "Wrzos"</t>
  </si>
  <si>
    <t>Razem Rozdział 85202</t>
  </si>
  <si>
    <t>68.</t>
  </si>
  <si>
    <t>Zakup kotła CO - Specjalny Osrodek Szkolno Wychowawczy Nr 1 im. Marii Konopnickiej</t>
  </si>
  <si>
    <t>Razem rozdział 85403</t>
  </si>
  <si>
    <t>69.</t>
  </si>
  <si>
    <t>Zakup samochodu na potrzeby Młodzieżowego Ośrodka Socjoterapii "Jędruś" w Józefowie</t>
  </si>
  <si>
    <t>Razem rozdział 85421</t>
  </si>
  <si>
    <t>Ogółem</t>
  </si>
  <si>
    <t xml:space="preserve"> </t>
  </si>
  <si>
    <t>A. Dotacje i środki z budżetu państwa (np. od wojewody, MEN, UKFiS, …)</t>
  </si>
  <si>
    <t>B. Środki i dotacje otrzymane od innych jst oraz innych jednostek zaliczanych do sektora finansów publicznych</t>
  </si>
  <si>
    <t xml:space="preserve">C. Inne źródła </t>
  </si>
  <si>
    <t>A. 49 000            B. 451 000</t>
  </si>
  <si>
    <t>Dotacje udzielone w 2019 roku z budżetu podmiotom należącym                                                                                               i nienależącym do sektora finansów publicznych - po zmianach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</si>
  <si>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</si>
  <si>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</si>
  <si>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</si>
  <si>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</si>
  <si>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</si>
  <si>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</si>
  <si>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Dotacje celowe przekazane gminie na zadania bieżące realizowane na podstawie porozumień (umów) między jednostkami samorządu terytorialnego</t>
  </si>
  <si>
    <t>Dotacje celowe przekazane do samorządu województwa na inwestycje i zakupy inwestycyjne realizowane na podstawie porozumień (umów) między jednostkami samorządu terytorialnego</t>
  </si>
  <si>
    <t>Wpłaty jednostek na państwowy fundusz celowy</t>
  </si>
  <si>
    <t>Wpłaty jednostek na państwowy fundusz celowy na finansowanie lub dofinansowanie zadań inwestycyjnych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</si>
  <si>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</si>
  <si>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</si>
  <si>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Dotacja celowa na pomoc finansową udzielaną między jednostkami samorządu terytorialnego na dofinansowanie własnych zadań bieżących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</si>
  <si>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</si>
  <si>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</si>
  <si>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</si>
  <si>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01008</t>
  </si>
  <si>
    <t>2830</t>
  </si>
  <si>
    <t>Dotacja celowa z budżetu na finansowanie lub dofinansowanie zadań zleconych do realizacji pozostałym jednostkom niezaliczanym do sektora finansów publicznych</t>
  </si>
  <si>
    <t>Dotacja podmiotowa z budżetu dla niepublicznej jednostki oświaty</t>
  </si>
  <si>
    <t>Dotacje celowe z budżetu na finansowanie lub dofinansowanie kosztów realizacji inwestycji i zakupów inwestycyjnych jednostek niezaliczanych do sektora finansów publicznych</t>
  </si>
  <si>
    <t>Dotacja celowa z budżetu na finansowanie lub dofinansowanie zadań zleconych do realizacji stowarzyszeniom</t>
  </si>
  <si>
    <t>Dotacja podmiotowa z budżetu dla jednostek niezaliczanych do sektora finansów publicznych</t>
  </si>
  <si>
    <t>Razem jednostki nienależące do sektora finansów publicznych</t>
  </si>
  <si>
    <t>Ogółem plan dotacji na 2019 rok</t>
  </si>
  <si>
    <t>70.</t>
  </si>
  <si>
    <t>Dotacja na zakupu specjalistycznych urządzeń (narkotesty) do poprawy bezpieczeństawa na drogach powiatu otwockiego na potrzeby  Komendy Powiatowej Policji w Otwocku</t>
  </si>
  <si>
    <t>Dotacje celowe otrzymane z budżetu państwa na zadania bieżące z zakresu administracji rządowej zlecone powiatom, związane z realizacją dodatku wychowawczego, dodatku do zryczałtowanej kwoty oraz dodatku w wysokości świadczenia wychowawczego stanowiących pomoc państwa w wychowywaniu dzieci</t>
  </si>
  <si>
    <t>Rozbudowa na rondo skrzyżowania dróg powiatowych Nr 2775W ul. Stare Miasto  i  Nr 2724W ul. Żaboklickiego  z drogą gminną ul. Bielińskiego w Karczewie</t>
  </si>
  <si>
    <t>A. 949. 000</t>
  </si>
  <si>
    <t>Dotacje celowe z budżetu na finansowanie lub dofinansowanie kosztów realizacji inwestycji i zakupów inwestycyjnych jednostek nie zaliczanych do sektora finansów publicznych</t>
  </si>
  <si>
    <t>Razem Rozdział 85311</t>
  </si>
  <si>
    <t>A. 1 132 000</t>
  </si>
  <si>
    <t>B. 31 000</t>
  </si>
  <si>
    <t>A. 1 028 000</t>
  </si>
  <si>
    <t>Wykonanie projektu i budowa odwodnienia drogi powiatowej Nr 2765W - ul. Kołłątaja w Otwocku przy skrzyżowaniu z ul. Majową i ul. Rzemieślniczą</t>
  </si>
  <si>
    <t>Dochody i wydatki związane z realizacją zadań realizowanych w drodze umów lub porozumień między                                              jednostkami samorządu terytorialnego na 2019 rok - po zmianach</t>
  </si>
  <si>
    <t>Transport i łączność</t>
  </si>
  <si>
    <t>Lokalny transport zbiorowy</t>
  </si>
  <si>
    <t>Drogi publiczne powiatowe</t>
  </si>
  <si>
    <t>Dotacja celowa otrzymana z tytułu pomocy finansowej udzielanej między jednostkami samorządu terytorialnego na dofinansowanie własnych zadań bieżących</t>
  </si>
  <si>
    <t xml:space="preserve">Dotacja celowa otrzymana z tytułu pomocy finansowej udzielanej między jednostkami samorządu terytorialnego na dofinansowanie własnych zadań inwestycyjnych i zakupów inwestycyjnych </t>
  </si>
  <si>
    <t>Dotacje celowe otrzymane z samorządu województwa na inwestycje i zakupy inwestycyjne realizowane na podstawie porozumień (umów) między jednostkami samorządu terytorialnego</t>
  </si>
  <si>
    <t>Starostwa powiatowe</t>
  </si>
  <si>
    <t>Rehabilitacja zawodowa i społeczna osób niepełnosprawnych</t>
  </si>
  <si>
    <t>Dotacje celowe otrzymane z powiatu na zadania bieżące realizowane na podstawie porozumień (umów) między jednostkami samorządu terytorialnego</t>
  </si>
  <si>
    <t>Działalność ośrodków adopcyjnych</t>
  </si>
  <si>
    <t>Gospodarka komunalna i ochrona środowiska</t>
  </si>
  <si>
    <t>Kultura i ochrona dziedzictwa narodowego</t>
  </si>
  <si>
    <t>Pozostałe zadania w zakresie kultury</t>
  </si>
  <si>
    <t>Zadania w zakresie kultury fizycznej</t>
  </si>
  <si>
    <t>Biblioteki</t>
  </si>
  <si>
    <t>71.</t>
  </si>
  <si>
    <t>72.</t>
  </si>
  <si>
    <t>Przebudowa dróg powiatowych nr 2762W i 2763W - ul. Kraszewskiego i Majowej w Otwocku</t>
  </si>
  <si>
    <t>5 000 dotacja z miasta Otwocka                                                       26 000 dotacja z gminy Karczew</t>
  </si>
  <si>
    <t xml:space="preserve">A. 2 544 000 </t>
  </si>
  <si>
    <t>Modernizacja w ul. Kraszewskiego/ul. Majowej w Otwocku na odcinku od ronda Żołnierzy AK IV Rejonu Otwock - Fromczyn do ul. Wierzbowej</t>
  </si>
  <si>
    <t>73.</t>
  </si>
  <si>
    <t>21.</t>
  </si>
  <si>
    <t xml:space="preserve">realizacja do skrzyżowania z                                ul. Radzyńską </t>
  </si>
  <si>
    <t xml:space="preserve">Opracowanie koncepcji przedłużenia ul. Narutowicza w Otwocku na odcinku od ul. Andriollego w Otwocku do ul. Ciepłowniczej w Karczewie i dalej  do drogi wojewódzkie     nr 801 </t>
  </si>
  <si>
    <t xml:space="preserve">Dotacja na dofinansowanie zakupu mikrobusów dla placówek prowadzących Warsztaty Terapii Zajęciowej, w tym:                                                                                               - Polskie Stowarzyszenie na Rzecz Osób z Niepełnosprawnością Intelektualną, Otwock ul. Moniuszki 41 - 32 000 zł;                                                                                   - Stowarzyszenie na Rzecz Osób Niepełnosprawnych"PO-GODNE ŻYCIE" -                        38 000 zł </t>
  </si>
  <si>
    <t>Wydatki na programy i projekty realizowane ze środków pochodzących z budżetu Unii Europejskiej                                                                                                     oraz innych źródeł zagranicznych, niepodlegających zwrotowi na 2019 rok - po zmianach</t>
  </si>
  <si>
    <t>Projekt</t>
  </si>
  <si>
    <t xml:space="preserve">Wydatki  w okresie realizacji projektu </t>
  </si>
  <si>
    <t>Środki z budżetu powiatu</t>
  </si>
  <si>
    <t>Środki z budżetu państwa</t>
  </si>
  <si>
    <t>Środki z budżetu Unii Europejskiej</t>
  </si>
  <si>
    <t>Środki własne</t>
  </si>
  <si>
    <t>kredyty/                            pożyczki</t>
  </si>
  <si>
    <t>pozostałe (w tym dotacje)</t>
  </si>
  <si>
    <t>Program: Regionalny Program Operacyjny Województwa Mazowieckiego</t>
  </si>
  <si>
    <t>Jednostka realizująca - Starostwo Powiatowe</t>
  </si>
  <si>
    <t>wykonanie 2018</t>
  </si>
  <si>
    <t>plan 2019</t>
  </si>
  <si>
    <t>Europejski Fundusz Społeczny</t>
  </si>
  <si>
    <t>Jednostka realizująca - Zespół Szkół Ekonomiczno-Gastronomicznych</t>
  </si>
  <si>
    <t>Program ERASMUS+</t>
  </si>
  <si>
    <t xml:space="preserve">Nazwa: Poznawanie europejskiego rynku pracy </t>
  </si>
  <si>
    <t xml:space="preserve">Jednostka realizująca -  Liceum Ogólnokształcące Nr I im. K.I. Gałczyńskiego </t>
  </si>
  <si>
    <t>Program Operacyjny Wiedza Edukacja Rozwój 2014-2020</t>
  </si>
  <si>
    <t xml:space="preserve">Nazwa: Rozwijamy skrzydła </t>
  </si>
  <si>
    <t>Jednostka realizująca - Powiatowe Centrum Pomocy Rodzinie</t>
  </si>
  <si>
    <t>Regionalny Program Operacyjny Województwa Mazowieckiego na lata 2014-2020</t>
  </si>
  <si>
    <t>Nazwa: Poprawa funkcjonowania osób niesamodzielnych z terenu powiatu otwockiego poprzez uruchomienie usług socjalnych świadczonych w formie wsparcia dziennego</t>
  </si>
  <si>
    <t>Nazwa: Akademia Rodzin w Powiecie Otwockim</t>
  </si>
  <si>
    <t>Program Operacyjny Wiedza Edukacja Rozwój</t>
  </si>
  <si>
    <t>Nazwa: Doświadczenie zawodowe kluczem do sukcesu</t>
  </si>
  <si>
    <t>Nazwa: Podniesienie jakości kształcenia zawodowego w Zespole Szkół Ekonomiczno-Gastronomicznych w Otwocku</t>
  </si>
  <si>
    <t>Jednostka realizująca - Zespół Szkół Nr 2 im. Marii Skłodowskiej-Curie w Otwocku</t>
  </si>
  <si>
    <t>Nazwa: Podniesienie jakości kształcenia zawodowego w Zespole Szkół nr 2 w Otwocku</t>
  </si>
  <si>
    <t>Nazwa: Aktywna Integracja w powiecie otwockim</t>
  </si>
  <si>
    <t>85295, 85508</t>
  </si>
  <si>
    <t>Ogółem plan 2019</t>
  </si>
  <si>
    <t>Budowa parkingu na pojazdy usunięte z dróg zgodnie z art. 130a ust. 1, 2 i 5c ustawy Prawo o ruchu drogowym</t>
  </si>
  <si>
    <t>Jednostka realizująca - Specjalny ośrodek Szkolno-Wychowawczy Nr 1</t>
  </si>
  <si>
    <t>Nazwa: Przekraczając granice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</si>
</sst>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_ ;\-#,##0\ "/>
    <numFmt numFmtId="165" formatCode="_-* #,##0.000\ _z_ł_-;\-* #,##0.000\ _z_ł_-;_-* &quot;-&quot;??\ _z_ł_-;_-@_-"/>
    <numFmt numFmtId="166" formatCode="\ #,##0.00&quot; zł &quot;;\-#,##0.00&quot; zł &quot;;&quot; -&quot;#&quot; zł &quot;;@\ "/>
  </numFmts>
  <fonts count="47"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b/>
      <i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name val="Czcionka tekstu podstawowego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3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B7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</patternFill>
    </fill>
    <fill>
      <patternFill patternType="solid">
        <fgColor rgb="FFB9CF8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 applyNumberFormat="0" applyFill="0" applyBorder="0" applyAlignment="0" applyProtection="0">
      <alignment vertical="top"/>
    </xf>
    <xf numFmtId="0" fontId="5" fillId="0" borderId="0"/>
    <xf numFmtId="0" fontId="8" fillId="0" borderId="0"/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11" fillId="0" borderId="0"/>
    <xf numFmtId="164" fontId="14" fillId="0" borderId="0"/>
    <xf numFmtId="0" fontId="5" fillId="0" borderId="0"/>
    <xf numFmtId="0" fontId="8" fillId="0" borderId="0"/>
    <xf numFmtId="0" fontId="8" fillId="0" borderId="0"/>
    <xf numFmtId="44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/>
    <xf numFmtId="0" fontId="2" fillId="0" borderId="0"/>
    <xf numFmtId="0" fontId="23" fillId="0" borderId="0"/>
    <xf numFmtId="0" fontId="1" fillId="0" borderId="0"/>
    <xf numFmtId="43" fontId="4" fillId="0" borderId="0" applyFont="0" applyFill="0" applyBorder="0" applyAlignment="0" applyProtection="0"/>
  </cellStyleXfs>
  <cellXfs count="459">
    <xf numFmtId="0" fontId="0" fillId="0" borderId="0" xfId="0" applyAlignment="1"/>
    <xf numFmtId="0" fontId="7" fillId="3" borderId="5" xfId="1" applyFont="1" applyFill="1" applyBorder="1" applyAlignment="1">
      <alignment vertical="center" wrapText="1"/>
    </xf>
    <xf numFmtId="0" fontId="15" fillId="0" borderId="0" xfId="9" applyFont="1" applyAlignment="1">
      <alignment vertical="center"/>
    </xf>
    <xf numFmtId="0" fontId="11" fillId="0" borderId="0" xfId="9" applyFont="1" applyAlignment="1">
      <alignment vertical="center"/>
    </xf>
    <xf numFmtId="0" fontId="11" fillId="0" borderId="0" xfId="9" applyFont="1" applyAlignment="1">
      <alignment horizontal="right" vertical="top"/>
    </xf>
    <xf numFmtId="0" fontId="13" fillId="4" borderId="5" xfId="9" applyFont="1" applyFill="1" applyBorder="1" applyAlignment="1">
      <alignment horizontal="center" vertical="center"/>
    </xf>
    <xf numFmtId="0" fontId="13" fillId="4" borderId="1" xfId="9" applyFont="1" applyFill="1" applyBorder="1" applyAlignment="1">
      <alignment horizontal="center" vertical="center" wrapText="1"/>
    </xf>
    <xf numFmtId="0" fontId="13" fillId="0" borderId="5" xfId="9" applyFont="1" applyBorder="1" applyAlignment="1">
      <alignment horizontal="center" vertical="center"/>
    </xf>
    <xf numFmtId="0" fontId="13" fillId="0" borderId="5" xfId="9" applyFont="1" applyBorder="1" applyAlignment="1">
      <alignment horizontal="left" vertical="center"/>
    </xf>
    <xf numFmtId="0" fontId="13" fillId="0" borderId="0" xfId="9" applyFont="1" applyAlignment="1">
      <alignment vertical="center"/>
    </xf>
    <xf numFmtId="0" fontId="16" fillId="0" borderId="5" xfId="9" applyFont="1" applyBorder="1" applyAlignment="1">
      <alignment horizontal="center" vertical="center"/>
    </xf>
    <xf numFmtId="0" fontId="16" fillId="0" borderId="5" xfId="9" applyFont="1" applyBorder="1" applyAlignment="1">
      <alignment horizontal="left" vertical="center"/>
    </xf>
    <xf numFmtId="0" fontId="16" fillId="0" borderId="0" xfId="9" applyFont="1" applyAlignment="1">
      <alignment vertical="center"/>
    </xf>
    <xf numFmtId="0" fontId="13" fillId="0" borderId="5" xfId="9" applyFont="1" applyBorder="1" applyAlignment="1">
      <alignment vertical="center"/>
    </xf>
    <xf numFmtId="0" fontId="11" fillId="4" borderId="5" xfId="9" applyFont="1" applyFill="1" applyBorder="1" applyAlignment="1">
      <alignment vertical="center"/>
    </xf>
    <xf numFmtId="0" fontId="11" fillId="0" borderId="5" xfId="9" applyFont="1" applyBorder="1" applyAlignment="1">
      <alignment horizontal="center" vertical="center"/>
    </xf>
    <xf numFmtId="0" fontId="11" fillId="0" borderId="1" xfId="9" applyFont="1" applyBorder="1" applyAlignment="1">
      <alignment vertical="center"/>
    </xf>
    <xf numFmtId="3" fontId="11" fillId="0" borderId="5" xfId="9" applyNumberFormat="1" applyFont="1" applyBorder="1" applyAlignment="1"/>
    <xf numFmtId="0" fontId="11" fillId="0" borderId="5" xfId="9" applyFont="1" applyBorder="1" applyAlignment="1">
      <alignment vertical="center"/>
    </xf>
    <xf numFmtId="3" fontId="11" fillId="0" borderId="3" xfId="9" applyNumberFormat="1" applyFont="1" applyBorder="1" applyAlignment="1"/>
    <xf numFmtId="0" fontId="11" fillId="0" borderId="4" xfId="9" applyFont="1" applyBorder="1" applyAlignment="1">
      <alignment vertical="center"/>
    </xf>
    <xf numFmtId="0" fontId="11" fillId="4" borderId="5" xfId="9" applyFont="1" applyFill="1" applyBorder="1" applyAlignment="1">
      <alignment horizontal="center" vertical="center"/>
    </xf>
    <xf numFmtId="0" fontId="11" fillId="0" borderId="0" xfId="9" applyFont="1" applyBorder="1" applyAlignment="1">
      <alignment horizontal="center" vertical="center"/>
    </xf>
    <xf numFmtId="0" fontId="11" fillId="0" borderId="0" xfId="9" applyFont="1" applyBorder="1" applyAlignment="1">
      <alignment vertical="center"/>
    </xf>
    <xf numFmtId="3" fontId="11" fillId="0" borderId="0" xfId="9" applyNumberFormat="1" applyFont="1" applyBorder="1" applyAlignment="1"/>
    <xf numFmtId="0" fontId="17" fillId="0" borderId="0" xfId="9" applyFont="1" applyAlignment="1">
      <alignment vertical="center"/>
    </xf>
    <xf numFmtId="49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 wrapText="1"/>
    </xf>
    <xf numFmtId="3" fontId="9" fillId="0" borderId="0" xfId="10" applyNumberFormat="1" applyFont="1" applyAlignment="1">
      <alignment vertical="center"/>
    </xf>
    <xf numFmtId="0" fontId="9" fillId="0" borderId="0" xfId="10" applyFont="1"/>
    <xf numFmtId="0" fontId="9" fillId="0" borderId="0" xfId="10" applyFont="1" applyAlignment="1">
      <alignment vertical="center"/>
    </xf>
    <xf numFmtId="49" fontId="9" fillId="0" borderId="5" xfId="10" applyNumberFormat="1" applyFont="1" applyBorder="1" applyAlignment="1">
      <alignment horizontal="center" vertical="center"/>
    </xf>
    <xf numFmtId="0" fontId="9" fillId="0" borderId="5" xfId="10" applyFont="1" applyBorder="1" applyAlignment="1">
      <alignment horizontal="center" vertical="center"/>
    </xf>
    <xf numFmtId="0" fontId="9" fillId="0" borderId="5" xfId="10" applyFont="1" applyBorder="1" applyAlignment="1">
      <alignment vertical="center" wrapText="1"/>
    </xf>
    <xf numFmtId="3" fontId="9" fillId="0" borderId="5" xfId="10" applyNumberFormat="1" applyFont="1" applyBorder="1" applyAlignment="1">
      <alignment vertical="center"/>
    </xf>
    <xf numFmtId="0" fontId="6" fillId="0" borderId="0" xfId="7" applyFont="1"/>
    <xf numFmtId="49" fontId="9" fillId="3" borderId="5" xfId="10" applyNumberFormat="1" applyFont="1" applyFill="1" applyBorder="1" applyAlignment="1">
      <alignment horizontal="center" vertical="center"/>
    </xf>
    <xf numFmtId="0" fontId="9" fillId="3" borderId="5" xfId="10" applyFont="1" applyFill="1" applyBorder="1" applyAlignment="1">
      <alignment horizontal="center" vertical="center"/>
    </xf>
    <xf numFmtId="0" fontId="9" fillId="3" borderId="5" xfId="10" applyFont="1" applyFill="1" applyBorder="1" applyAlignment="1">
      <alignment vertical="center" wrapText="1"/>
    </xf>
    <xf numFmtId="3" fontId="9" fillId="3" borderId="5" xfId="10" applyNumberFormat="1" applyFont="1" applyFill="1" applyBorder="1" applyAlignment="1">
      <alignment vertical="center"/>
    </xf>
    <xf numFmtId="0" fontId="17" fillId="0" borderId="5" xfId="9" applyFont="1" applyFill="1" applyBorder="1" applyAlignment="1">
      <alignment horizontal="center" vertical="center"/>
    </xf>
    <xf numFmtId="0" fontId="17" fillId="0" borderId="5" xfId="9" applyFont="1" applyFill="1" applyBorder="1" applyAlignment="1">
      <alignment horizontal="center" vertical="center" wrapText="1"/>
    </xf>
    <xf numFmtId="0" fontId="9" fillId="0" borderId="1" xfId="10" applyFont="1" applyBorder="1" applyAlignment="1">
      <alignment vertical="center" wrapText="1"/>
    </xf>
    <xf numFmtId="0" fontId="6" fillId="0" borderId="5" xfId="7" applyFont="1" applyBorder="1" applyAlignment="1">
      <alignment vertical="center" wrapText="1"/>
    </xf>
    <xf numFmtId="49" fontId="10" fillId="5" borderId="5" xfId="10" applyNumberFormat="1" applyFont="1" applyFill="1" applyBorder="1" applyAlignment="1">
      <alignment horizontal="center" vertical="center"/>
    </xf>
    <xf numFmtId="0" fontId="10" fillId="5" borderId="5" xfId="10" applyFont="1" applyFill="1" applyBorder="1" applyAlignment="1">
      <alignment horizontal="center" vertical="center"/>
    </xf>
    <xf numFmtId="0" fontId="10" fillId="5" borderId="5" xfId="10" applyFont="1" applyFill="1" applyBorder="1" applyAlignment="1">
      <alignment horizontal="center" vertical="center" wrapText="1"/>
    </xf>
    <xf numFmtId="3" fontId="10" fillId="5" borderId="5" xfId="10" applyNumberFormat="1" applyFont="1" applyFill="1" applyBorder="1" applyAlignment="1">
      <alignment horizontal="center" vertical="center"/>
    </xf>
    <xf numFmtId="49" fontId="10" fillId="6" borderId="5" xfId="10" applyNumberFormat="1" applyFont="1" applyFill="1" applyBorder="1" applyAlignment="1">
      <alignment horizontal="center" vertical="center"/>
    </xf>
    <xf numFmtId="0" fontId="10" fillId="6" borderId="5" xfId="10" applyFont="1" applyFill="1" applyBorder="1" applyAlignment="1">
      <alignment horizontal="center" vertical="center"/>
    </xf>
    <xf numFmtId="0" fontId="10" fillId="6" borderId="5" xfId="10" applyFont="1" applyFill="1" applyBorder="1" applyAlignment="1">
      <alignment vertical="center" wrapText="1"/>
    </xf>
    <xf numFmtId="3" fontId="10" fillId="6" borderId="5" xfId="10" applyNumberFormat="1" applyFont="1" applyFill="1" applyBorder="1" applyAlignment="1">
      <alignment vertical="center"/>
    </xf>
    <xf numFmtId="0" fontId="6" fillId="0" borderId="5" xfId="2" applyFont="1" applyBorder="1" applyAlignment="1">
      <alignment vertical="center" wrapText="1"/>
    </xf>
    <xf numFmtId="49" fontId="6" fillId="0" borderId="5" xfId="10" applyNumberFormat="1" applyFont="1" applyBorder="1" applyAlignment="1">
      <alignment horizontal="center" vertical="center"/>
    </xf>
    <xf numFmtId="0" fontId="6" fillId="0" borderId="5" xfId="10" applyFont="1" applyBorder="1" applyAlignment="1">
      <alignment horizontal="center" vertical="center"/>
    </xf>
    <xf numFmtId="3" fontId="6" fillId="0" borderId="5" xfId="10" applyNumberFormat="1" applyFont="1" applyBorder="1" applyAlignment="1">
      <alignment vertical="center"/>
    </xf>
    <xf numFmtId="0" fontId="6" fillId="0" borderId="0" xfId="10" applyFont="1" applyAlignment="1">
      <alignment vertical="center"/>
    </xf>
    <xf numFmtId="0" fontId="11" fillId="0" borderId="7" xfId="9" applyFont="1" applyBorder="1" applyAlignment="1">
      <alignment vertical="center" wrapText="1"/>
    </xf>
    <xf numFmtId="0" fontId="11" fillId="0" borderId="0" xfId="9" applyFont="1" applyFill="1" applyAlignment="1">
      <alignment vertical="center"/>
    </xf>
    <xf numFmtId="0" fontId="6" fillId="0" borderId="5" xfId="10" applyFont="1" applyBorder="1" applyAlignment="1">
      <alignment vertical="center" wrapText="1"/>
    </xf>
    <xf numFmtId="0" fontId="6" fillId="0" borderId="6" xfId="10" applyFont="1" applyBorder="1" applyAlignment="1">
      <alignment horizontal="center" vertical="center"/>
    </xf>
    <xf numFmtId="3" fontId="6" fillId="0" borderId="2" xfId="10" applyNumberFormat="1" applyFont="1" applyBorder="1" applyAlignment="1">
      <alignment vertical="center"/>
    </xf>
    <xf numFmtId="0" fontId="6" fillId="0" borderId="4" xfId="10" applyFont="1" applyBorder="1" applyAlignment="1">
      <alignment vertical="center" wrapText="1"/>
    </xf>
    <xf numFmtId="49" fontId="9" fillId="0" borderId="5" xfId="10" applyNumberFormat="1" applyFont="1" applyFill="1" applyBorder="1" applyAlignment="1">
      <alignment horizontal="center" vertical="center"/>
    </xf>
    <xf numFmtId="0" fontId="9" fillId="0" borderId="5" xfId="10" applyFont="1" applyFill="1" applyBorder="1" applyAlignment="1">
      <alignment horizontal="center" vertical="center"/>
    </xf>
    <xf numFmtId="0" fontId="9" fillId="0" borderId="5" xfId="10" applyFont="1" applyFill="1" applyBorder="1" applyAlignment="1">
      <alignment vertical="center" wrapText="1"/>
    </xf>
    <xf numFmtId="3" fontId="9" fillId="0" borderId="5" xfId="10" applyNumberFormat="1" applyFont="1" applyFill="1" applyBorder="1" applyAlignment="1">
      <alignment vertical="center"/>
    </xf>
    <xf numFmtId="0" fontId="9" fillId="0" borderId="0" xfId="10" applyFont="1" applyFill="1" applyAlignment="1">
      <alignment vertical="center"/>
    </xf>
    <xf numFmtId="49" fontId="6" fillId="3" borderId="5" xfId="10" applyNumberFormat="1" applyFont="1" applyFill="1" applyBorder="1" applyAlignment="1">
      <alignment horizontal="center" vertical="center"/>
    </xf>
    <xf numFmtId="0" fontId="6" fillId="3" borderId="5" xfId="10" applyFont="1" applyFill="1" applyBorder="1" applyAlignment="1">
      <alignment horizontal="center" vertical="center"/>
    </xf>
    <xf numFmtId="0" fontId="6" fillId="3" borderId="5" xfId="10" applyFont="1" applyFill="1" applyBorder="1" applyAlignment="1">
      <alignment vertical="center" wrapText="1"/>
    </xf>
    <xf numFmtId="3" fontId="6" fillId="3" borderId="5" xfId="10" applyNumberFormat="1" applyFont="1" applyFill="1" applyBorder="1" applyAlignment="1">
      <alignment vertical="center"/>
    </xf>
    <xf numFmtId="0" fontId="6" fillId="0" borderId="0" xfId="10" applyFont="1" applyFill="1" applyAlignment="1">
      <alignment vertical="center"/>
    </xf>
    <xf numFmtId="3" fontId="7" fillId="0" borderId="0" xfId="7" applyNumberFormat="1" applyFont="1" applyFill="1"/>
    <xf numFmtId="0" fontId="7" fillId="0" borderId="0" xfId="7" applyFont="1" applyFill="1"/>
    <xf numFmtId="0" fontId="6" fillId="0" borderId="0" xfId="7" applyFont="1" applyFill="1"/>
    <xf numFmtId="3" fontId="6" fillId="0" borderId="5" xfId="10" applyNumberFormat="1" applyFont="1" applyFill="1" applyBorder="1" applyAlignment="1">
      <alignment vertical="center"/>
    </xf>
    <xf numFmtId="49" fontId="6" fillId="0" borderId="5" xfId="10" applyNumberFormat="1" applyFont="1" applyFill="1" applyBorder="1" applyAlignment="1">
      <alignment horizontal="center" vertical="center"/>
    </xf>
    <xf numFmtId="0" fontId="6" fillId="0" borderId="5" xfId="10" applyFont="1" applyFill="1" applyBorder="1" applyAlignment="1">
      <alignment horizontal="center" vertical="center"/>
    </xf>
    <xf numFmtId="49" fontId="7" fillId="6" borderId="5" xfId="10" applyNumberFormat="1" applyFont="1" applyFill="1" applyBorder="1" applyAlignment="1">
      <alignment horizontal="center" vertical="center"/>
    </xf>
    <xf numFmtId="0" fontId="7" fillId="6" borderId="5" xfId="10" applyFont="1" applyFill="1" applyBorder="1" applyAlignment="1">
      <alignment horizontal="center" vertical="center"/>
    </xf>
    <xf numFmtId="0" fontId="7" fillId="6" borderId="5" xfId="10" applyFont="1" applyFill="1" applyBorder="1" applyAlignment="1">
      <alignment vertical="center" wrapText="1"/>
    </xf>
    <xf numFmtId="3" fontId="7" fillId="6" borderId="5" xfId="10" applyNumberFormat="1" applyFont="1" applyFill="1" applyBorder="1" applyAlignment="1">
      <alignment vertical="center"/>
    </xf>
    <xf numFmtId="0" fontId="6" fillId="0" borderId="5" xfId="10" applyFont="1" applyFill="1" applyBorder="1" applyAlignment="1">
      <alignment vertical="center" wrapText="1"/>
    </xf>
    <xf numFmtId="0" fontId="25" fillId="0" borderId="0" xfId="0" applyFont="1" applyAlignment="1"/>
    <xf numFmtId="3" fontId="6" fillId="3" borderId="5" xfId="10" applyNumberFormat="1" applyFont="1" applyFill="1" applyBorder="1" applyAlignment="1">
      <alignment vertical="center" wrapText="1"/>
    </xf>
    <xf numFmtId="3" fontId="7" fillId="6" borderId="5" xfId="10" applyNumberFormat="1" applyFont="1" applyFill="1" applyBorder="1" applyAlignment="1">
      <alignment vertical="center" wrapText="1"/>
    </xf>
    <xf numFmtId="0" fontId="11" fillId="0" borderId="0" xfId="7" applyFont="1" applyProtection="1">
      <protection locked="0"/>
    </xf>
    <xf numFmtId="0" fontId="11" fillId="0" borderId="0" xfId="7" applyFont="1" applyAlignment="1" applyProtection="1">
      <alignment horizontal="center" vertical="center"/>
      <protection locked="0"/>
    </xf>
    <xf numFmtId="0" fontId="11" fillId="0" borderId="0" xfId="7" applyFont="1" applyFill="1" applyAlignment="1" applyProtection="1">
      <alignment horizontal="center"/>
      <protection locked="0"/>
    </xf>
    <xf numFmtId="0" fontId="11" fillId="0" borderId="0" xfId="7" applyFont="1" applyFill="1" applyProtection="1">
      <protection locked="0"/>
    </xf>
    <xf numFmtId="0" fontId="11" fillId="0" borderId="0" xfId="7" applyFont="1" applyProtection="1"/>
    <xf numFmtId="0" fontId="11" fillId="0" borderId="0" xfId="7" applyFont="1" applyAlignment="1" applyProtection="1">
      <alignment horizontal="center" vertical="center"/>
    </xf>
    <xf numFmtId="0" fontId="26" fillId="0" borderId="11" xfId="7" applyFont="1" applyFill="1" applyBorder="1" applyAlignment="1" applyProtection="1">
      <alignment horizontal="center" vertical="center"/>
    </xf>
    <xf numFmtId="0" fontId="11" fillId="0" borderId="11" xfId="7" applyFont="1" applyFill="1" applyBorder="1" applyAlignment="1" applyProtection="1">
      <alignment horizontal="center" vertical="center"/>
    </xf>
    <xf numFmtId="0" fontId="11" fillId="0" borderId="11" xfId="7" applyFont="1" applyFill="1" applyBorder="1" applyAlignment="1" applyProtection="1">
      <alignment horizontal="center" vertical="center"/>
      <protection locked="0"/>
    </xf>
    <xf numFmtId="0" fontId="26" fillId="0" borderId="0" xfId="7" applyFont="1" applyFill="1" applyProtection="1">
      <protection locked="0"/>
    </xf>
    <xf numFmtId="0" fontId="11" fillId="0" borderId="0" xfId="7" applyFont="1" applyFill="1" applyAlignment="1" applyProtection="1">
      <alignment vertical="center"/>
      <protection locked="0"/>
    </xf>
    <xf numFmtId="0" fontId="11" fillId="0" borderId="0" xfId="7" applyFont="1" applyAlignment="1" applyProtection="1">
      <alignment vertical="center"/>
      <protection locked="0"/>
    </xf>
    <xf numFmtId="0" fontId="29" fillId="0" borderId="0" xfId="7" applyFont="1" applyFill="1" applyAlignment="1" applyProtection="1">
      <alignment vertical="center"/>
      <protection locked="0"/>
    </xf>
    <xf numFmtId="0" fontId="30" fillId="0" borderId="0" xfId="7" applyFont="1" applyFill="1" applyAlignment="1" applyProtection="1">
      <alignment vertical="center"/>
      <protection locked="0"/>
    </xf>
    <xf numFmtId="0" fontId="32" fillId="0" borderId="0" xfId="7" applyFont="1" applyFill="1" applyAlignment="1" applyProtection="1">
      <alignment vertical="center"/>
      <protection locked="0"/>
    </xf>
    <xf numFmtId="0" fontId="34" fillId="0" borderId="0" xfId="7" applyFont="1" applyFill="1" applyAlignment="1" applyProtection="1">
      <alignment vertical="center"/>
      <protection locked="0"/>
    </xf>
    <xf numFmtId="0" fontId="11" fillId="0" borderId="5" xfId="7" applyFont="1" applyFill="1" applyBorder="1" applyAlignment="1">
      <alignment horizontal="left" vertical="center" wrapText="1"/>
    </xf>
    <xf numFmtId="0" fontId="32" fillId="0" borderId="0" xfId="7" applyFont="1" applyAlignment="1" applyProtection="1">
      <alignment vertical="center"/>
      <protection locked="0"/>
    </xf>
    <xf numFmtId="0" fontId="30" fillId="0" borderId="0" xfId="7" applyFont="1" applyAlignment="1" applyProtection="1">
      <alignment vertical="center"/>
      <protection locked="0"/>
    </xf>
    <xf numFmtId="0" fontId="11" fillId="0" borderId="0" xfId="7" applyAlignment="1">
      <alignment horizontal="left" vertical="center"/>
    </xf>
    <xf numFmtId="0" fontId="16" fillId="0" borderId="0" xfId="7" applyFont="1" applyFill="1" applyAlignment="1" applyProtection="1">
      <alignment vertical="center"/>
      <protection locked="0"/>
    </xf>
    <xf numFmtId="0" fontId="16" fillId="11" borderId="0" xfId="7" applyFont="1" applyFill="1" applyAlignment="1" applyProtection="1">
      <alignment vertical="center"/>
      <protection locked="0"/>
    </xf>
    <xf numFmtId="0" fontId="34" fillId="9" borderId="0" xfId="7" applyFont="1" applyFill="1" applyAlignment="1" applyProtection="1">
      <alignment vertical="center"/>
      <protection locked="0"/>
    </xf>
    <xf numFmtId="0" fontId="30" fillId="7" borderId="0" xfId="7" applyFont="1" applyFill="1" applyAlignment="1" applyProtection="1">
      <alignment vertical="center"/>
      <protection locked="0"/>
    </xf>
    <xf numFmtId="0" fontId="13" fillId="0" borderId="0" xfId="7" applyFont="1" applyFill="1" applyAlignment="1" applyProtection="1">
      <alignment vertical="center"/>
      <protection locked="0"/>
    </xf>
    <xf numFmtId="0" fontId="13" fillId="0" borderId="12" xfId="7" applyFont="1" applyFill="1" applyBorder="1" applyAlignment="1" applyProtection="1">
      <alignment vertical="center" wrapText="1"/>
      <protection locked="0"/>
    </xf>
    <xf numFmtId="0" fontId="13" fillId="7" borderId="0" xfId="7" applyFont="1" applyFill="1" applyAlignment="1" applyProtection="1">
      <alignment vertical="center"/>
      <protection locked="0"/>
    </xf>
    <xf numFmtId="0" fontId="11" fillId="7" borderId="0" xfId="7" applyFont="1" applyFill="1" applyAlignment="1" applyProtection="1">
      <alignment vertical="center"/>
      <protection locked="0"/>
    </xf>
    <xf numFmtId="0" fontId="13" fillId="0" borderId="0" xfId="7" applyFont="1" applyFill="1" applyBorder="1" applyAlignment="1" applyProtection="1">
      <alignment vertical="center"/>
      <protection locked="0"/>
    </xf>
    <xf numFmtId="0" fontId="13" fillId="7" borderId="0" xfId="7" applyFont="1" applyFill="1" applyBorder="1" applyAlignment="1" applyProtection="1">
      <alignment vertical="center"/>
      <protection locked="0"/>
    </xf>
    <xf numFmtId="3" fontId="11" fillId="0" borderId="0" xfId="7" applyNumberFormat="1" applyFont="1" applyProtection="1"/>
    <xf numFmtId="0" fontId="26" fillId="0" borderId="0" xfId="9" applyFont="1" applyProtection="1"/>
    <xf numFmtId="0" fontId="26" fillId="0" borderId="0" xfId="7" applyFont="1" applyProtection="1"/>
    <xf numFmtId="3" fontId="26" fillId="0" borderId="0" xfId="7" applyNumberFormat="1" applyFont="1" applyProtection="1"/>
    <xf numFmtId="0" fontId="26" fillId="0" borderId="0" xfId="7" applyFont="1" applyAlignment="1" applyProtection="1">
      <alignment horizontal="center" vertical="center"/>
    </xf>
    <xf numFmtId="0" fontId="26" fillId="0" borderId="0" xfId="7" applyFont="1" applyProtection="1">
      <protection locked="0"/>
    </xf>
    <xf numFmtId="3" fontId="13" fillId="9" borderId="13" xfId="7" applyNumberFormat="1" applyFont="1" applyFill="1" applyBorder="1" applyAlignment="1" applyProtection="1">
      <alignment vertical="center" wrapText="1"/>
    </xf>
    <xf numFmtId="3" fontId="13" fillId="9" borderId="13" xfId="7" applyNumberFormat="1" applyFont="1" applyFill="1" applyBorder="1" applyAlignment="1" applyProtection="1">
      <alignment horizontal="right" vertical="center" wrapText="1"/>
    </xf>
    <xf numFmtId="0" fontId="27" fillId="9" borderId="13" xfId="7" applyFont="1" applyFill="1" applyBorder="1" applyAlignment="1" applyProtection="1">
      <alignment horizontal="center" vertical="center" wrapText="1"/>
    </xf>
    <xf numFmtId="0" fontId="28" fillId="9" borderId="13" xfId="7" applyFont="1" applyFill="1" applyBorder="1" applyAlignment="1" applyProtection="1">
      <alignment horizontal="center" vertical="center" wrapText="1"/>
      <protection locked="0"/>
    </xf>
    <xf numFmtId="0" fontId="11" fillId="0" borderId="13" xfId="7" applyFont="1" applyFill="1" applyBorder="1" applyAlignment="1" applyProtection="1">
      <alignment horizontal="center" vertical="center" wrapText="1"/>
      <protection locked="0"/>
    </xf>
    <xf numFmtId="0" fontId="11" fillId="0" borderId="13" xfId="7" applyFont="1" applyFill="1" applyBorder="1" applyAlignment="1" applyProtection="1">
      <alignment horizontal="center" vertical="center"/>
    </xf>
    <xf numFmtId="0" fontId="11" fillId="0" borderId="13" xfId="7" applyFont="1" applyFill="1" applyBorder="1" applyAlignment="1" applyProtection="1">
      <alignment horizontal="center" vertical="center" wrapText="1"/>
    </xf>
    <xf numFmtId="0" fontId="11" fillId="0" borderId="13" xfId="16" applyFont="1" applyFill="1" applyBorder="1" applyAlignment="1" applyProtection="1">
      <alignment vertical="center" wrapText="1"/>
    </xf>
    <xf numFmtId="3" fontId="11" fillId="0" borderId="13" xfId="7" applyNumberFormat="1" applyFont="1" applyFill="1" applyBorder="1" applyAlignment="1" applyProtection="1">
      <alignment vertical="center" wrapText="1"/>
    </xf>
    <xf numFmtId="3" fontId="11" fillId="0" borderId="13" xfId="7" applyNumberFormat="1" applyFont="1" applyFill="1" applyBorder="1" applyAlignment="1" applyProtection="1">
      <alignment vertical="center"/>
    </xf>
    <xf numFmtId="0" fontId="11" fillId="0" borderId="13" xfId="7" applyFont="1" applyFill="1" applyBorder="1" applyAlignment="1" applyProtection="1">
      <alignment vertical="center" wrapText="1"/>
    </xf>
    <xf numFmtId="0" fontId="11" fillId="0" borderId="13" xfId="7" applyFont="1" applyFill="1" applyBorder="1" applyAlignment="1" applyProtection="1">
      <alignment horizontal="right" vertical="center" wrapText="1"/>
    </xf>
    <xf numFmtId="0" fontId="26" fillId="0" borderId="13" xfId="7" applyFont="1" applyFill="1" applyBorder="1" applyAlignment="1" applyProtection="1">
      <alignment horizontal="center" vertical="center" wrapText="1"/>
    </xf>
    <xf numFmtId="0" fontId="11" fillId="0" borderId="13" xfId="7" applyFont="1" applyFill="1" applyBorder="1" applyAlignment="1" applyProtection="1">
      <alignment horizontal="left" vertical="center" wrapText="1"/>
    </xf>
    <xf numFmtId="3" fontId="13" fillId="9" borderId="13" xfId="7" applyNumberFormat="1" applyFont="1" applyFill="1" applyBorder="1" applyAlignment="1" applyProtection="1">
      <alignment vertical="center"/>
    </xf>
    <xf numFmtId="0" fontId="13" fillId="9" borderId="13" xfId="7" applyFont="1" applyFill="1" applyBorder="1" applyAlignment="1" applyProtection="1">
      <alignment vertical="center" wrapText="1"/>
    </xf>
    <xf numFmtId="0" fontId="13" fillId="9" borderId="13" xfId="7" applyFont="1" applyFill="1" applyBorder="1" applyAlignment="1" applyProtection="1">
      <alignment horizontal="center" vertical="center" wrapText="1"/>
      <protection locked="0"/>
    </xf>
    <xf numFmtId="3" fontId="30" fillId="0" borderId="13" xfId="7" applyNumberFormat="1" applyFont="1" applyFill="1" applyBorder="1" applyAlignment="1" applyProtection="1">
      <alignment vertical="center"/>
    </xf>
    <xf numFmtId="0" fontId="30" fillId="0" borderId="13" xfId="7" applyFont="1" applyFill="1" applyBorder="1" applyAlignment="1" applyProtection="1">
      <alignment vertical="center" wrapText="1"/>
    </xf>
    <xf numFmtId="165" fontId="30" fillId="0" borderId="13" xfId="21" applyNumberFormat="1" applyFont="1" applyFill="1" applyBorder="1" applyAlignment="1" applyProtection="1">
      <alignment horizontal="right" vertical="center" wrapText="1"/>
    </xf>
    <xf numFmtId="0" fontId="31" fillId="0" borderId="13" xfId="7" applyFont="1" applyFill="1" applyBorder="1" applyAlignment="1" applyProtection="1">
      <alignment horizontal="center" vertical="center" wrapText="1"/>
    </xf>
    <xf numFmtId="0" fontId="30" fillId="0" borderId="13" xfId="7" applyFont="1" applyFill="1" applyBorder="1" applyAlignment="1" applyProtection="1">
      <alignment horizontal="center" vertical="center" wrapText="1"/>
      <protection locked="0"/>
    </xf>
    <xf numFmtId="0" fontId="30" fillId="0" borderId="13" xfId="7" applyFont="1" applyFill="1" applyBorder="1" applyAlignment="1" applyProtection="1">
      <alignment horizontal="right" vertical="center" wrapText="1"/>
    </xf>
    <xf numFmtId="3" fontId="11" fillId="0" borderId="13" xfId="7" applyNumberFormat="1" applyFont="1" applyFill="1" applyBorder="1" applyAlignment="1" applyProtection="1">
      <alignment horizontal="center" vertical="center"/>
    </xf>
    <xf numFmtId="3" fontId="32" fillId="9" borderId="13" xfId="7" applyNumberFormat="1" applyFont="1" applyFill="1" applyBorder="1" applyAlignment="1" applyProtection="1">
      <alignment vertical="center"/>
    </xf>
    <xf numFmtId="0" fontId="32" fillId="9" borderId="13" xfId="7" applyFont="1" applyFill="1" applyBorder="1" applyAlignment="1" applyProtection="1">
      <alignment vertical="center" wrapText="1"/>
    </xf>
    <xf numFmtId="41" fontId="13" fillId="9" borderId="13" xfId="7" applyNumberFormat="1" applyFont="1" applyFill="1" applyBorder="1" applyAlignment="1" applyProtection="1">
      <alignment horizontal="right" vertical="center" wrapText="1"/>
    </xf>
    <xf numFmtId="0" fontId="33" fillId="9" borderId="13" xfId="7" applyFont="1" applyFill="1" applyBorder="1" applyAlignment="1" applyProtection="1">
      <alignment horizontal="center" vertical="center" wrapText="1"/>
    </xf>
    <xf numFmtId="0" fontId="32" fillId="9" borderId="13" xfId="7" applyFont="1" applyFill="1" applyBorder="1" applyAlignment="1" applyProtection="1">
      <alignment horizontal="center" vertical="center" wrapText="1"/>
      <protection locked="0"/>
    </xf>
    <xf numFmtId="0" fontId="29" fillId="10" borderId="13" xfId="7" applyFont="1" applyFill="1" applyBorder="1" applyAlignment="1" applyProtection="1">
      <alignment horizontal="center" vertical="center" wrapText="1"/>
      <protection locked="0"/>
    </xf>
    <xf numFmtId="0" fontId="11" fillId="0" borderId="13" xfId="16" applyFont="1" applyFill="1" applyBorder="1" applyAlignment="1" applyProtection="1">
      <alignment horizontal="left" vertical="center" wrapText="1"/>
    </xf>
    <xf numFmtId="3" fontId="11" fillId="7" borderId="13" xfId="7" applyNumberFormat="1" applyFont="1" applyFill="1" applyBorder="1" applyAlignment="1" applyProtection="1">
      <alignment vertical="center"/>
    </xf>
    <xf numFmtId="0" fontId="11" fillId="7" borderId="13" xfId="7" applyFont="1" applyFill="1" applyBorder="1" applyAlignment="1" applyProtection="1">
      <alignment vertical="center" wrapText="1"/>
    </xf>
    <xf numFmtId="0" fontId="11" fillId="7" borderId="13" xfId="7" applyFont="1" applyFill="1" applyBorder="1" applyAlignment="1" applyProtection="1">
      <alignment horizontal="right" vertical="center" wrapText="1"/>
    </xf>
    <xf numFmtId="0" fontId="26" fillId="7" borderId="13" xfId="7" applyFont="1" applyFill="1" applyBorder="1" applyAlignment="1" applyProtection="1">
      <alignment horizontal="center" vertical="center" wrapText="1"/>
    </xf>
    <xf numFmtId="0" fontId="11" fillId="10" borderId="13" xfId="7" applyFont="1" applyFill="1" applyBorder="1" applyAlignment="1" applyProtection="1">
      <alignment horizontal="center" vertical="center" wrapText="1"/>
      <protection locked="0"/>
    </xf>
    <xf numFmtId="0" fontId="11" fillId="0" borderId="13" xfId="7" applyNumberFormat="1" applyFont="1" applyFill="1" applyBorder="1" applyAlignment="1" applyProtection="1">
      <alignment horizontal="center" vertical="center"/>
    </xf>
    <xf numFmtId="0" fontId="11" fillId="0" borderId="13" xfId="16" applyFont="1" applyFill="1" applyBorder="1" applyAlignment="1">
      <alignment vertical="center" wrapText="1"/>
    </xf>
    <xf numFmtId="0" fontId="35" fillId="0" borderId="13" xfId="7" applyFont="1" applyFill="1" applyBorder="1" applyAlignment="1">
      <alignment horizontal="left" vertical="center" wrapText="1"/>
    </xf>
    <xf numFmtId="0" fontId="11" fillId="0" borderId="13" xfId="16" applyFont="1" applyFill="1" applyBorder="1" applyAlignment="1">
      <alignment vertical="center"/>
    </xf>
    <xf numFmtId="0" fontId="36" fillId="0" borderId="13" xfId="7" applyFont="1" applyFill="1" applyBorder="1" applyAlignment="1" applyProtection="1">
      <alignment horizontal="center" vertical="center" wrapText="1"/>
      <protection locked="0"/>
    </xf>
    <xf numFmtId="41" fontId="27" fillId="9" borderId="13" xfId="7" applyNumberFormat="1" applyFont="1" applyFill="1" applyBorder="1" applyAlignment="1" applyProtection="1">
      <alignment horizontal="right" vertical="center" wrapText="1"/>
    </xf>
    <xf numFmtId="0" fontId="13" fillId="0" borderId="13" xfId="7" applyFont="1" applyFill="1" applyBorder="1" applyAlignment="1" applyProtection="1">
      <alignment horizontal="center" vertical="center" wrapText="1"/>
      <protection locked="0"/>
    </xf>
    <xf numFmtId="3" fontId="30" fillId="0" borderId="13" xfId="7" applyNumberFormat="1" applyFont="1" applyFill="1" applyBorder="1" applyAlignment="1" applyProtection="1">
      <alignment vertical="center" wrapText="1"/>
    </xf>
    <xf numFmtId="0" fontId="16" fillId="0" borderId="13" xfId="7" applyFont="1" applyFill="1" applyBorder="1" applyAlignment="1" applyProtection="1">
      <alignment horizontal="center" vertical="center" wrapText="1"/>
      <protection locked="0"/>
    </xf>
    <xf numFmtId="3" fontId="32" fillId="9" borderId="13" xfId="7" applyNumberFormat="1" applyFont="1" applyFill="1" applyBorder="1" applyAlignment="1" applyProtection="1">
      <alignment vertical="center" wrapText="1"/>
    </xf>
    <xf numFmtId="0" fontId="29" fillId="0" borderId="13" xfId="7" applyFont="1" applyFill="1" applyBorder="1" applyAlignment="1" applyProtection="1">
      <alignment horizontal="center" vertical="center" wrapText="1"/>
      <protection locked="0"/>
    </xf>
    <xf numFmtId="0" fontId="31" fillId="9" borderId="13" xfId="7" applyFont="1" applyFill="1" applyBorder="1" applyAlignment="1" applyProtection="1">
      <alignment horizontal="center" vertical="center" wrapText="1"/>
    </xf>
    <xf numFmtId="0" fontId="16" fillId="9" borderId="13" xfId="7" applyFont="1" applyFill="1" applyBorder="1" applyAlignment="1" applyProtection="1">
      <alignment horizontal="center" vertical="center" wrapText="1"/>
      <protection locked="0"/>
    </xf>
    <xf numFmtId="3" fontId="11" fillId="0" borderId="13" xfId="7" applyNumberFormat="1" applyFont="1" applyBorder="1" applyAlignment="1" applyProtection="1">
      <alignment vertical="center" wrapText="1"/>
    </xf>
    <xf numFmtId="0" fontId="11" fillId="7" borderId="13" xfId="16" applyFont="1" applyFill="1" applyBorder="1" applyAlignment="1" applyProtection="1">
      <alignment horizontal="left" vertical="center" wrapText="1"/>
    </xf>
    <xf numFmtId="3" fontId="11" fillId="7" borderId="13" xfId="7" applyNumberFormat="1" applyFont="1" applyFill="1" applyBorder="1" applyAlignment="1" applyProtection="1">
      <alignment vertical="center" wrapText="1"/>
    </xf>
    <xf numFmtId="0" fontId="16" fillId="7" borderId="13" xfId="7" applyFont="1" applyFill="1" applyBorder="1" applyAlignment="1" applyProtection="1">
      <alignment horizontal="center" vertical="center" wrapText="1"/>
      <protection locked="0"/>
    </xf>
    <xf numFmtId="0" fontId="37" fillId="0" borderId="13" xfId="16" applyFont="1" applyFill="1" applyBorder="1" applyAlignment="1" applyProtection="1">
      <alignment vertical="center" wrapText="1"/>
    </xf>
    <xf numFmtId="0" fontId="13" fillId="9" borderId="13" xfId="7" applyFont="1" applyFill="1" applyBorder="1" applyAlignment="1" applyProtection="1">
      <alignment horizontal="right" vertical="center" wrapText="1"/>
    </xf>
    <xf numFmtId="0" fontId="29" fillId="9" borderId="13" xfId="7" applyFont="1" applyFill="1" applyBorder="1" applyAlignment="1" applyProtection="1">
      <alignment horizontal="center" vertical="center" wrapText="1"/>
      <protection locked="0"/>
    </xf>
    <xf numFmtId="0" fontId="11" fillId="0" borderId="13" xfId="7" applyFont="1" applyBorder="1" applyAlignment="1" applyProtection="1">
      <alignment horizontal="center" vertical="center" wrapText="1"/>
    </xf>
    <xf numFmtId="0" fontId="11" fillId="0" borderId="13" xfId="7" applyFont="1" applyBorder="1" applyAlignment="1" applyProtection="1">
      <alignment horizontal="left" vertical="center" wrapText="1"/>
    </xf>
    <xf numFmtId="3" fontId="30" fillId="0" borderId="13" xfId="7" applyNumberFormat="1" applyFont="1" applyBorder="1" applyAlignment="1" applyProtection="1">
      <alignment vertical="center" wrapText="1"/>
    </xf>
    <xf numFmtId="0" fontId="30" fillId="0" borderId="13" xfId="7" applyFont="1" applyBorder="1" applyAlignment="1" applyProtection="1">
      <alignment vertical="center" wrapText="1"/>
    </xf>
    <xf numFmtId="0" fontId="31" fillId="0" borderId="13" xfId="7" applyFont="1" applyBorder="1" applyAlignment="1" applyProtection="1">
      <alignment horizontal="center" vertical="center" wrapText="1"/>
    </xf>
    <xf numFmtId="3" fontId="13" fillId="2" borderId="13" xfId="7" applyNumberFormat="1" applyFont="1" applyFill="1" applyBorder="1" applyAlignment="1" applyProtection="1">
      <alignment vertical="center" wrapText="1"/>
    </xf>
    <xf numFmtId="0" fontId="27" fillId="2" borderId="13" xfId="7" applyFont="1" applyFill="1" applyBorder="1" applyAlignment="1" applyProtection="1">
      <alignment horizontal="center" vertical="center" wrapText="1"/>
    </xf>
    <xf numFmtId="0" fontId="32" fillId="0" borderId="13" xfId="7" applyFont="1" applyFill="1" applyBorder="1" applyAlignment="1" applyProtection="1">
      <alignment horizontal="center" vertical="center" wrapText="1"/>
      <protection locked="0"/>
    </xf>
    <xf numFmtId="0" fontId="11" fillId="7" borderId="13" xfId="7" applyFont="1" applyFill="1" applyBorder="1" applyAlignment="1" applyProtection="1">
      <alignment horizontal="center" vertical="center"/>
    </xf>
    <xf numFmtId="0" fontId="13" fillId="0" borderId="13" xfId="7" applyFont="1" applyFill="1" applyBorder="1" applyAlignment="1" applyProtection="1">
      <alignment vertical="center" wrapText="1"/>
      <protection locked="0"/>
    </xf>
    <xf numFmtId="0" fontId="29" fillId="10" borderId="14" xfId="7" applyFont="1" applyFill="1" applyBorder="1" applyAlignment="1" applyProtection="1">
      <alignment horizontal="center" vertical="center" wrapText="1"/>
      <protection locked="0"/>
    </xf>
    <xf numFmtId="0" fontId="30" fillId="0" borderId="13" xfId="7" applyFont="1" applyFill="1" applyBorder="1" applyAlignment="1" applyProtection="1">
      <alignment vertical="center" wrapText="1"/>
      <protection locked="0"/>
    </xf>
    <xf numFmtId="0" fontId="13" fillId="2" borderId="13" xfId="7" applyFont="1" applyFill="1" applyBorder="1" applyAlignment="1" applyProtection="1">
      <alignment vertical="center" wrapText="1"/>
    </xf>
    <xf numFmtId="0" fontId="33" fillId="0" borderId="13" xfId="7" applyFont="1" applyFill="1" applyBorder="1" applyAlignment="1" applyProtection="1">
      <alignment horizontal="center" vertical="center" wrapText="1"/>
    </xf>
    <xf numFmtId="0" fontId="11" fillId="7" borderId="13" xfId="7" applyFont="1" applyFill="1" applyBorder="1" applyAlignment="1" applyProtection="1">
      <alignment horizontal="center" vertical="center" wrapText="1"/>
    </xf>
    <xf numFmtId="0" fontId="38" fillId="0" borderId="13" xfId="16" applyFont="1" applyFill="1" applyBorder="1" applyAlignment="1" applyProtection="1">
      <alignment vertical="center" wrapText="1"/>
    </xf>
    <xf numFmtId="0" fontId="29" fillId="0" borderId="14" xfId="7" applyFont="1" applyFill="1" applyBorder="1" applyAlignment="1" applyProtection="1">
      <alignment horizontal="center" vertical="center" wrapText="1"/>
      <protection locked="0"/>
    </xf>
    <xf numFmtId="0" fontId="13" fillId="2" borderId="14" xfId="7" applyFont="1" applyFill="1" applyBorder="1" applyAlignment="1" applyProtection="1">
      <alignment vertical="center" wrapText="1"/>
      <protection locked="0"/>
    </xf>
    <xf numFmtId="0" fontId="11" fillId="0" borderId="14" xfId="7" applyFont="1" applyFill="1" applyBorder="1" applyAlignment="1" applyProtection="1">
      <alignment vertical="center" wrapText="1"/>
      <protection locked="0"/>
    </xf>
    <xf numFmtId="3" fontId="11" fillId="0" borderId="13" xfId="7" applyNumberFormat="1" applyFont="1" applyFill="1" applyBorder="1" applyAlignment="1" applyProtection="1">
      <alignment horizontal="right" vertical="center" wrapText="1"/>
    </xf>
    <xf numFmtId="3" fontId="11" fillId="0" borderId="13" xfId="7" applyNumberFormat="1" applyFont="1" applyFill="1" applyBorder="1" applyAlignment="1" applyProtection="1">
      <alignment horizontal="left" vertical="center" wrapText="1"/>
    </xf>
    <xf numFmtId="0" fontId="11" fillId="0" borderId="14" xfId="7" applyFont="1" applyFill="1" applyBorder="1" applyAlignment="1" applyProtection="1">
      <alignment horizontal="left" vertical="center" wrapText="1"/>
      <protection locked="0"/>
    </xf>
    <xf numFmtId="0" fontId="13" fillId="0" borderId="14" xfId="7" applyFont="1" applyFill="1" applyBorder="1" applyAlignment="1" applyProtection="1">
      <alignment vertical="center" wrapText="1"/>
      <protection locked="0"/>
    </xf>
    <xf numFmtId="0" fontId="30" fillId="0" borderId="0" xfId="7" applyFont="1" applyFill="1" applyBorder="1" applyAlignment="1" applyProtection="1">
      <alignment vertical="center"/>
      <protection locked="0"/>
    </xf>
    <xf numFmtId="0" fontId="37" fillId="0" borderId="13" xfId="7" applyFont="1" applyFill="1" applyBorder="1" applyAlignment="1" applyProtection="1">
      <alignment horizontal="center" vertical="center"/>
    </xf>
    <xf numFmtId="0" fontId="30" fillId="7" borderId="14" xfId="7" applyFont="1" applyFill="1" applyBorder="1" applyAlignment="1" applyProtection="1">
      <alignment vertical="center" wrapText="1"/>
      <protection locked="0"/>
    </xf>
    <xf numFmtId="0" fontId="30" fillId="0" borderId="14" xfId="7" applyFont="1" applyFill="1" applyBorder="1" applyAlignment="1" applyProtection="1">
      <alignment vertical="center" wrapText="1"/>
      <protection locked="0"/>
    </xf>
    <xf numFmtId="0" fontId="30" fillId="0" borderId="14" xfId="7" applyFont="1" applyFill="1" applyBorder="1" applyAlignment="1" applyProtection="1">
      <alignment horizontal="center" vertical="center" wrapText="1"/>
      <protection locked="0"/>
    </xf>
    <xf numFmtId="0" fontId="26" fillId="0" borderId="13" xfId="7" applyFont="1" applyBorder="1" applyAlignment="1" applyProtection="1">
      <alignment horizontal="center" vertical="center" wrapText="1"/>
    </xf>
    <xf numFmtId="0" fontId="11" fillId="10" borderId="14" xfId="7" applyFont="1" applyFill="1" applyBorder="1" applyAlignment="1" applyProtection="1">
      <alignment horizontal="center" vertical="center" wrapText="1"/>
      <protection locked="0"/>
    </xf>
    <xf numFmtId="0" fontId="11" fillId="7" borderId="13" xfId="7" applyFont="1" applyFill="1" applyBorder="1" applyAlignment="1" applyProtection="1">
      <alignment horizontal="left" vertical="center" wrapText="1"/>
    </xf>
    <xf numFmtId="3" fontId="13" fillId="7" borderId="13" xfId="7" applyNumberFormat="1" applyFont="1" applyFill="1" applyBorder="1" applyAlignment="1" applyProtection="1">
      <alignment vertical="center" wrapText="1"/>
    </xf>
    <xf numFmtId="0" fontId="13" fillId="7" borderId="13" xfId="7" applyFont="1" applyFill="1" applyBorder="1" applyAlignment="1" applyProtection="1">
      <alignment vertical="center" wrapText="1"/>
    </xf>
    <xf numFmtId="41" fontId="13" fillId="7" borderId="13" xfId="7" applyNumberFormat="1" applyFont="1" applyFill="1" applyBorder="1" applyAlignment="1" applyProtection="1">
      <alignment horizontal="right" vertical="center" wrapText="1"/>
    </xf>
    <xf numFmtId="0" fontId="27" fillId="7" borderId="13" xfId="7" applyFont="1" applyFill="1" applyBorder="1" applyAlignment="1" applyProtection="1">
      <alignment horizontal="center" vertical="center" wrapText="1"/>
    </xf>
    <xf numFmtId="0" fontId="13" fillId="7" borderId="14" xfId="7" applyFont="1" applyFill="1" applyBorder="1" applyAlignment="1" applyProtection="1">
      <alignment vertical="center" wrapText="1"/>
      <protection locked="0"/>
    </xf>
    <xf numFmtId="41" fontId="13" fillId="2" borderId="13" xfId="7" applyNumberFormat="1" applyFont="1" applyFill="1" applyBorder="1" applyAlignment="1" applyProtection="1">
      <alignment horizontal="right" vertical="center" wrapText="1"/>
    </xf>
    <xf numFmtId="41" fontId="11" fillId="0" borderId="13" xfId="7" applyNumberFormat="1" applyFont="1" applyFill="1" applyBorder="1" applyAlignment="1" applyProtection="1">
      <alignment horizontal="right" vertical="center" wrapText="1"/>
    </xf>
    <xf numFmtId="0" fontId="11" fillId="0" borderId="13" xfId="7" applyFont="1" applyFill="1" applyBorder="1" applyAlignment="1" applyProtection="1">
      <alignment vertical="center" wrapText="1"/>
      <protection locked="0"/>
    </xf>
    <xf numFmtId="3" fontId="13" fillId="12" borderId="13" xfId="7" applyNumberFormat="1" applyFont="1" applyFill="1" applyBorder="1" applyAlignment="1" applyProtection="1">
      <alignment vertical="center" wrapText="1"/>
    </xf>
    <xf numFmtId="3" fontId="13" fillId="0" borderId="13" xfId="7" applyNumberFormat="1" applyFont="1" applyFill="1" applyBorder="1" applyAlignment="1" applyProtection="1">
      <alignment vertical="center" wrapText="1"/>
      <protection locked="0"/>
    </xf>
    <xf numFmtId="4" fontId="13" fillId="0" borderId="5" xfId="9" applyNumberFormat="1" applyFont="1" applyBorder="1" applyAlignment="1">
      <alignment horizontal="right"/>
    </xf>
    <xf numFmtId="4" fontId="16" fillId="0" borderId="5" xfId="9" applyNumberFormat="1" applyFont="1" applyFill="1" applyBorder="1" applyAlignment="1">
      <alignment horizontal="right"/>
    </xf>
    <xf numFmtId="4" fontId="16" fillId="0" borderId="5" xfId="9" applyNumberFormat="1" applyFont="1" applyBorder="1" applyAlignment="1">
      <alignment horizontal="right"/>
    </xf>
    <xf numFmtId="4" fontId="13" fillId="0" borderId="5" xfId="9" applyNumberFormat="1" applyFont="1" applyBorder="1" applyAlignment="1"/>
    <xf numFmtId="4" fontId="16" fillId="0" borderId="5" xfId="9" applyNumberFormat="1" applyFont="1" applyFill="1" applyBorder="1" applyAlignment="1"/>
    <xf numFmtId="4" fontId="16" fillId="0" borderId="5" xfId="9" applyNumberFormat="1" applyFont="1" applyBorder="1" applyAlignment="1"/>
    <xf numFmtId="4" fontId="11" fillId="0" borderId="5" xfId="9" applyNumberFormat="1" applyFont="1" applyBorder="1" applyAlignment="1"/>
    <xf numFmtId="4" fontId="13" fillId="4" borderId="5" xfId="9" applyNumberFormat="1" applyFont="1" applyFill="1" applyBorder="1" applyAlignment="1"/>
    <xf numFmtId="4" fontId="9" fillId="0" borderId="5" xfId="10" applyNumberFormat="1" applyFont="1" applyBorder="1" applyAlignment="1">
      <alignment vertical="center"/>
    </xf>
    <xf numFmtId="4" fontId="9" fillId="3" borderId="5" xfId="10" applyNumberFormat="1" applyFont="1" applyFill="1" applyBorder="1" applyAlignment="1">
      <alignment vertical="center"/>
    </xf>
    <xf numFmtId="4" fontId="10" fillId="6" borderId="5" xfId="10" applyNumberFormat="1" applyFont="1" applyFill="1" applyBorder="1" applyAlignment="1">
      <alignment vertical="center"/>
    </xf>
    <xf numFmtId="4" fontId="10" fillId="5" borderId="5" xfId="10" applyNumberFormat="1" applyFont="1" applyFill="1" applyBorder="1" applyAlignment="1">
      <alignment vertical="center"/>
    </xf>
    <xf numFmtId="4" fontId="6" fillId="0" borderId="5" xfId="10" applyNumberFormat="1" applyFont="1" applyFill="1" applyBorder="1" applyAlignment="1">
      <alignment vertical="center"/>
    </xf>
    <xf numFmtId="0" fontId="6" fillId="0" borderId="0" xfId="7" applyFont="1" applyAlignment="1">
      <alignment horizontal="center" vertical="center"/>
    </xf>
    <xf numFmtId="0" fontId="6" fillId="0" borderId="0" xfId="7" applyFont="1" applyAlignment="1"/>
    <xf numFmtId="0" fontId="12" fillId="0" borderId="0" xfId="7" applyFont="1" applyAlignment="1">
      <alignment vertical="center" wrapText="1"/>
    </xf>
    <xf numFmtId="0" fontId="15" fillId="0" borderId="0" xfId="7" applyFont="1"/>
    <xf numFmtId="0" fontId="7" fillId="2" borderId="5" xfId="7" applyFont="1" applyFill="1" applyBorder="1" applyAlignment="1">
      <alignment horizontal="center" vertical="center"/>
    </xf>
    <xf numFmtId="0" fontId="39" fillId="13" borderId="5" xfId="7" applyFont="1" applyFill="1" applyBorder="1" applyAlignment="1">
      <alignment horizontal="center" vertical="center"/>
    </xf>
    <xf numFmtId="0" fontId="39" fillId="0" borderId="0" xfId="7" applyFont="1"/>
    <xf numFmtId="0" fontId="7" fillId="3" borderId="5" xfId="7" applyFont="1" applyFill="1" applyBorder="1" applyAlignment="1">
      <alignment horizontal="center" vertical="center"/>
    </xf>
    <xf numFmtId="0" fontId="6" fillId="3" borderId="5" xfId="7" applyFont="1" applyFill="1" applyBorder="1" applyAlignment="1">
      <alignment horizontal="center" vertical="center"/>
    </xf>
    <xf numFmtId="0" fontId="6" fillId="0" borderId="5" xfId="7" applyFont="1" applyBorder="1" applyAlignment="1">
      <alignment horizontal="center" vertical="center" wrapText="1"/>
    </xf>
    <xf numFmtId="0" fontId="6" fillId="0" borderId="5" xfId="7" applyFont="1" applyFill="1" applyBorder="1" applyAlignment="1">
      <alignment horizontal="center" vertical="center" wrapText="1"/>
    </xf>
    <xf numFmtId="0" fontId="6" fillId="0" borderId="5" xfId="11" applyFont="1" applyBorder="1" applyAlignment="1">
      <alignment vertical="center" wrapText="1"/>
    </xf>
    <xf numFmtId="0" fontId="21" fillId="0" borderId="5" xfId="7" applyFont="1" applyBorder="1" applyAlignment="1">
      <alignment horizontal="center" vertical="center"/>
    </xf>
    <xf numFmtId="0" fontId="6" fillId="0" borderId="0" xfId="7" applyFont="1" applyAlignment="1">
      <alignment vertical="center"/>
    </xf>
    <xf numFmtId="0" fontId="6" fillId="0" borderId="5" xfId="7" applyFont="1" applyBorder="1" applyAlignment="1">
      <alignment horizontal="center" vertical="center"/>
    </xf>
    <xf numFmtId="0" fontId="6" fillId="0" borderId="5" xfId="7" applyFont="1" applyFill="1" applyBorder="1" applyAlignment="1">
      <alignment horizontal="center" vertical="center"/>
    </xf>
    <xf numFmtId="0" fontId="6" fillId="0" borderId="5" xfId="7" applyFont="1" applyBorder="1" applyAlignment="1">
      <alignment horizontal="left" vertical="center" wrapText="1"/>
    </xf>
    <xf numFmtId="0" fontId="21" fillId="0" borderId="5" xfId="7" applyFont="1" applyBorder="1" applyAlignment="1">
      <alignment vertical="center"/>
    </xf>
    <xf numFmtId="0" fontId="21" fillId="0" borderId="5" xfId="7" applyFont="1" applyBorder="1" applyAlignment="1">
      <alignment vertical="center" wrapText="1"/>
    </xf>
    <xf numFmtId="0" fontId="6" fillId="0" borderId="0" xfId="7" applyFont="1" applyAlignment="1">
      <alignment vertical="center" wrapText="1"/>
    </xf>
    <xf numFmtId="3" fontId="6" fillId="7" borderId="5" xfId="7" applyNumberFormat="1" applyFont="1" applyFill="1" applyBorder="1" applyAlignment="1">
      <alignment vertical="center" wrapText="1"/>
    </xf>
    <xf numFmtId="3" fontId="21" fillId="0" borderId="5" xfId="7" applyNumberFormat="1" applyFont="1" applyFill="1" applyBorder="1" applyAlignment="1">
      <alignment horizontal="right" vertical="center" wrapText="1"/>
    </xf>
    <xf numFmtId="3" fontId="7" fillId="2" borderId="5" xfId="7" applyNumberFormat="1" applyFont="1" applyFill="1" applyBorder="1" applyAlignment="1">
      <alignment vertical="center"/>
    </xf>
    <xf numFmtId="0" fontId="7" fillId="0" borderId="0" xfId="7" applyFont="1" applyAlignment="1">
      <alignment vertical="center"/>
    </xf>
    <xf numFmtId="3" fontId="7" fillId="0" borderId="0" xfId="7" applyNumberFormat="1" applyFont="1" applyAlignment="1">
      <alignment vertical="center"/>
    </xf>
    <xf numFmtId="0" fontId="7" fillId="0" borderId="0" xfId="7" applyFont="1" applyAlignment="1">
      <alignment horizontal="center" vertical="center"/>
    </xf>
    <xf numFmtId="49" fontId="6" fillId="0" borderId="5" xfId="7" applyNumberFormat="1" applyFont="1" applyBorder="1" applyAlignment="1">
      <alignment horizontal="center" vertical="center"/>
    </xf>
    <xf numFmtId="49" fontId="6" fillId="0" borderId="5" xfId="7" applyNumberFormat="1" applyFont="1" applyFill="1" applyBorder="1" applyAlignment="1">
      <alignment horizontal="center" vertical="center"/>
    </xf>
    <xf numFmtId="3" fontId="6" fillId="0" borderId="0" xfId="7" applyNumberFormat="1" applyFont="1" applyAlignment="1">
      <alignment vertical="center"/>
    </xf>
    <xf numFmtId="3" fontId="21" fillId="0" borderId="5" xfId="7" applyNumberFormat="1" applyFont="1" applyBorder="1" applyAlignment="1">
      <alignment vertical="center"/>
    </xf>
    <xf numFmtId="3" fontId="21" fillId="0" borderId="5" xfId="7" applyNumberFormat="1" applyFont="1" applyBorder="1" applyAlignment="1">
      <alignment vertical="center" wrapText="1"/>
    </xf>
    <xf numFmtId="0" fontId="21" fillId="7" borderId="5" xfId="7" applyFont="1" applyFill="1" applyBorder="1" applyAlignment="1">
      <alignment vertical="center" wrapText="1"/>
    </xf>
    <xf numFmtId="3" fontId="21" fillId="7" borderId="5" xfId="7" applyNumberFormat="1" applyFont="1" applyFill="1" applyBorder="1" applyAlignment="1">
      <alignment vertical="center" wrapText="1"/>
    </xf>
    <xf numFmtId="0" fontId="24" fillId="0" borderId="5" xfId="7" applyFont="1" applyBorder="1" applyAlignment="1">
      <alignment horizontal="center" vertical="center"/>
    </xf>
    <xf numFmtId="0" fontId="24" fillId="0" borderId="5" xfId="7" applyFont="1" applyFill="1" applyBorder="1" applyAlignment="1">
      <alignment horizontal="center" vertical="center"/>
    </xf>
    <xf numFmtId="0" fontId="6" fillId="0" borderId="5" xfId="7" applyFont="1" applyFill="1" applyBorder="1" applyAlignment="1">
      <alignment vertical="center" wrapText="1"/>
    </xf>
    <xf numFmtId="3" fontId="12" fillId="14" borderId="5" xfId="7" applyNumberFormat="1" applyFont="1" applyFill="1" applyBorder="1" applyAlignment="1">
      <alignment horizontal="right"/>
    </xf>
    <xf numFmtId="0" fontId="40" fillId="0" borderId="0" xfId="7" applyFont="1"/>
    <xf numFmtId="0" fontId="24" fillId="0" borderId="5" xfId="7" applyFont="1" applyBorder="1" applyAlignment="1">
      <alignment vertical="center" wrapText="1"/>
    </xf>
    <xf numFmtId="3" fontId="24" fillId="7" borderId="5" xfId="7" applyNumberFormat="1" applyFont="1" applyFill="1" applyBorder="1" applyAlignment="1">
      <alignment vertical="center" wrapText="1"/>
    </xf>
    <xf numFmtId="0" fontId="41" fillId="7" borderId="5" xfId="7" applyFont="1" applyFill="1" applyBorder="1" applyAlignment="1">
      <alignment vertical="center" wrapText="1"/>
    </xf>
    <xf numFmtId="3" fontId="41" fillId="7" borderId="5" xfId="7" applyNumberFormat="1" applyFont="1" applyFill="1" applyBorder="1" applyAlignment="1">
      <alignment vertical="center" wrapText="1"/>
    </xf>
    <xf numFmtId="0" fontId="9" fillId="0" borderId="0" xfId="11" applyFont="1" applyAlignment="1">
      <alignment horizontal="center" vertical="center"/>
    </xf>
    <xf numFmtId="0" fontId="9" fillId="0" borderId="0" xfId="11" applyFont="1" applyAlignment="1">
      <alignment vertical="center" wrapText="1"/>
    </xf>
    <xf numFmtId="3" fontId="9" fillId="0" borderId="0" xfId="11" applyNumberFormat="1" applyFont="1" applyAlignment="1">
      <alignment vertical="center"/>
    </xf>
    <xf numFmtId="0" fontId="9" fillId="0" borderId="0" xfId="11" applyFont="1"/>
    <xf numFmtId="0" fontId="18" fillId="0" borderId="0" xfId="11" applyFont="1" applyAlignment="1">
      <alignment horizontal="center" vertical="center" wrapText="1"/>
    </xf>
    <xf numFmtId="0" fontId="10" fillId="16" borderId="5" xfId="11" applyFont="1" applyFill="1" applyBorder="1" applyAlignment="1">
      <alignment horizontal="center" vertical="center"/>
    </xf>
    <xf numFmtId="0" fontId="10" fillId="16" borderId="5" xfId="11" applyFont="1" applyFill="1" applyBorder="1" applyAlignment="1">
      <alignment horizontal="center" vertical="center" wrapText="1"/>
    </xf>
    <xf numFmtId="3" fontId="10" fillId="16" borderId="5" xfId="11" applyNumberFormat="1" applyFont="1" applyFill="1" applyBorder="1" applyAlignment="1">
      <alignment horizontal="center" vertical="center"/>
    </xf>
    <xf numFmtId="0" fontId="10" fillId="0" borderId="0" xfId="11" applyFont="1" applyAlignment="1">
      <alignment vertical="center"/>
    </xf>
    <xf numFmtId="0" fontId="10" fillId="17" borderId="5" xfId="11" applyFont="1" applyFill="1" applyBorder="1" applyAlignment="1">
      <alignment horizontal="center" vertical="center"/>
    </xf>
    <xf numFmtId="0" fontId="10" fillId="17" borderId="5" xfId="11" applyFont="1" applyFill="1" applyBorder="1" applyAlignment="1">
      <alignment vertical="center" wrapText="1"/>
    </xf>
    <xf numFmtId="3" fontId="10" fillId="17" borderId="5" xfId="11" applyNumberFormat="1" applyFont="1" applyFill="1" applyBorder="1" applyAlignment="1">
      <alignment vertical="center"/>
    </xf>
    <xf numFmtId="0" fontId="9" fillId="6" borderId="5" xfId="11" applyFont="1" applyFill="1" applyBorder="1" applyAlignment="1">
      <alignment horizontal="center" vertical="center"/>
    </xf>
    <xf numFmtId="0" fontId="9" fillId="6" borderId="5" xfId="11" applyFont="1" applyFill="1" applyBorder="1" applyAlignment="1">
      <alignment vertical="center" wrapText="1"/>
    </xf>
    <xf numFmtId="3" fontId="9" fillId="6" borderId="5" xfId="11" applyNumberFormat="1" applyFont="1" applyFill="1" applyBorder="1" applyAlignment="1">
      <alignment vertical="center"/>
    </xf>
    <xf numFmtId="0" fontId="9" fillId="0" borderId="0" xfId="11" applyFont="1" applyAlignment="1">
      <alignment vertical="center"/>
    </xf>
    <xf numFmtId="0" fontId="6" fillId="0" borderId="5" xfId="11" applyFont="1" applyBorder="1" applyAlignment="1">
      <alignment horizontal="center" vertical="center"/>
    </xf>
    <xf numFmtId="3" fontId="6" fillId="0" borderId="5" xfId="11" applyNumberFormat="1" applyFont="1" applyBorder="1" applyAlignment="1">
      <alignment vertical="center"/>
    </xf>
    <xf numFmtId="0" fontId="6" fillId="0" borderId="0" xfId="11" applyFont="1" applyAlignment="1">
      <alignment vertical="center"/>
    </xf>
    <xf numFmtId="0" fontId="9" fillId="0" borderId="5" xfId="11" applyFont="1" applyBorder="1" applyAlignment="1">
      <alignment horizontal="center" vertical="center"/>
    </xf>
    <xf numFmtId="3" fontId="9" fillId="0" borderId="5" xfId="11" applyNumberFormat="1" applyFont="1" applyBorder="1" applyAlignment="1">
      <alignment vertical="center"/>
    </xf>
    <xf numFmtId="0" fontId="9" fillId="0" borderId="5" xfId="11" applyFont="1" applyBorder="1" applyAlignment="1">
      <alignment vertical="center" wrapText="1"/>
    </xf>
    <xf numFmtId="3" fontId="10" fillId="17" borderId="5" xfId="11" applyNumberFormat="1" applyFont="1" applyFill="1" applyBorder="1" applyAlignment="1">
      <alignment vertical="center" wrapText="1"/>
    </xf>
    <xf numFmtId="0" fontId="9" fillId="6" borderId="5" xfId="11" applyFont="1" applyFill="1" applyBorder="1" applyAlignment="1">
      <alignment horizontal="left" vertical="center"/>
    </xf>
    <xf numFmtId="3" fontId="9" fillId="6" borderId="5" xfId="11" applyNumberFormat="1" applyFont="1" applyFill="1" applyBorder="1" applyAlignment="1">
      <alignment horizontal="right" vertical="center"/>
    </xf>
    <xf numFmtId="3" fontId="9" fillId="6" borderId="5" xfId="11" applyNumberFormat="1" applyFont="1" applyFill="1" applyBorder="1" applyAlignment="1">
      <alignment horizontal="center" vertical="center"/>
    </xf>
    <xf numFmtId="0" fontId="9" fillId="0" borderId="5" xfId="11" applyFont="1" applyFill="1" applyBorder="1" applyAlignment="1">
      <alignment vertical="center"/>
    </xf>
    <xf numFmtId="0" fontId="9" fillId="6" borderId="5" xfId="11" applyFont="1" applyFill="1" applyBorder="1" applyAlignment="1">
      <alignment vertical="center"/>
    </xf>
    <xf numFmtId="0" fontId="6" fillId="6" borderId="5" xfId="11" applyFont="1" applyFill="1" applyBorder="1" applyAlignment="1">
      <alignment horizontal="center" vertical="center"/>
    </xf>
    <xf numFmtId="0" fontId="6" fillId="6" borderId="5" xfId="11" applyFont="1" applyFill="1" applyBorder="1" applyAlignment="1">
      <alignment vertical="center" wrapText="1"/>
    </xf>
    <xf numFmtId="3" fontId="6" fillId="6" borderId="5" xfId="11" applyNumberFormat="1" applyFont="1" applyFill="1" applyBorder="1" applyAlignment="1">
      <alignment vertical="center"/>
    </xf>
    <xf numFmtId="3" fontId="10" fillId="16" borderId="5" xfId="11" applyNumberFormat="1" applyFont="1" applyFill="1" applyBorder="1" applyAlignment="1">
      <alignment vertical="center"/>
    </xf>
    <xf numFmtId="0" fontId="6" fillId="0" borderId="5" xfId="2" applyFont="1" applyFill="1" applyBorder="1" applyAlignment="1">
      <alignment vertical="center" wrapText="1"/>
    </xf>
    <xf numFmtId="0" fontId="29" fillId="18" borderId="13" xfId="7" applyFont="1" applyFill="1" applyBorder="1" applyAlignment="1" applyProtection="1">
      <alignment horizontal="center" vertical="center" wrapText="1"/>
    </xf>
    <xf numFmtId="3" fontId="29" fillId="18" borderId="13" xfId="7" applyNumberFormat="1" applyFont="1" applyFill="1" applyBorder="1" applyAlignment="1" applyProtection="1">
      <alignment vertical="center" wrapText="1"/>
    </xf>
    <xf numFmtId="0" fontId="29" fillId="18" borderId="13" xfId="7" applyFont="1" applyFill="1" applyBorder="1" applyAlignment="1" applyProtection="1">
      <alignment vertical="center" wrapText="1"/>
    </xf>
    <xf numFmtId="0" fontId="42" fillId="18" borderId="13" xfId="7" applyFont="1" applyFill="1" applyBorder="1" applyAlignment="1" applyProtection="1">
      <alignment horizontal="center" vertical="center" wrapText="1"/>
    </xf>
    <xf numFmtId="0" fontId="29" fillId="18" borderId="13" xfId="7" applyFont="1" applyFill="1" applyBorder="1" applyAlignment="1" applyProtection="1">
      <alignment horizontal="left" vertical="center" wrapText="1"/>
    </xf>
    <xf numFmtId="0" fontId="13" fillId="8" borderId="11" xfId="7" applyFont="1" applyFill="1" applyBorder="1" applyAlignment="1" applyProtection="1">
      <alignment horizontal="center" vertical="center" wrapText="1"/>
    </xf>
    <xf numFmtId="0" fontId="29" fillId="18" borderId="13" xfId="7" applyFont="1" applyFill="1" applyBorder="1" applyAlignment="1" applyProtection="1">
      <alignment horizontal="center" vertical="center"/>
    </xf>
    <xf numFmtId="0" fontId="29" fillId="18" borderId="0" xfId="16" applyFont="1" applyFill="1" applyAlignment="1">
      <alignment vertical="center" wrapText="1"/>
    </xf>
    <xf numFmtId="3" fontId="29" fillId="18" borderId="13" xfId="7" applyNumberFormat="1" applyFont="1" applyFill="1" applyBorder="1" applyAlignment="1" applyProtection="1">
      <alignment vertical="center"/>
    </xf>
    <xf numFmtId="0" fontId="29" fillId="18" borderId="13" xfId="7" applyFont="1" applyFill="1" applyBorder="1" applyAlignment="1" applyProtection="1">
      <alignment horizontal="right" vertical="center" wrapText="1"/>
    </xf>
    <xf numFmtId="0" fontId="29" fillId="18" borderId="13" xfId="16" applyFont="1" applyFill="1" applyBorder="1" applyAlignment="1" applyProtection="1">
      <alignment vertical="center" wrapText="1"/>
    </xf>
    <xf numFmtId="3" fontId="34" fillId="18" borderId="13" xfId="7" applyNumberFormat="1" applyFont="1" applyFill="1" applyBorder="1" applyAlignment="1" applyProtection="1">
      <alignment vertical="center" wrapText="1"/>
    </xf>
    <xf numFmtId="0" fontId="34" fillId="18" borderId="13" xfId="7" applyFont="1" applyFill="1" applyBorder="1" applyAlignment="1" applyProtection="1">
      <alignment vertical="center" wrapText="1"/>
    </xf>
    <xf numFmtId="0" fontId="43" fillId="18" borderId="13" xfId="7" applyFont="1" applyFill="1" applyBorder="1" applyAlignment="1" applyProtection="1">
      <alignment horizontal="center" vertical="center" wrapText="1"/>
    </xf>
    <xf numFmtId="0" fontId="6" fillId="0" borderId="0" xfId="9" applyFont="1"/>
    <xf numFmtId="0" fontId="6" fillId="0" borderId="0" xfId="9" applyFont="1" applyAlignment="1">
      <alignment horizontal="center"/>
    </xf>
    <xf numFmtId="0" fontId="21" fillId="0" borderId="0" xfId="9" applyFont="1"/>
    <xf numFmtId="0" fontId="7" fillId="0" borderId="0" xfId="9" applyFont="1" applyAlignment="1">
      <alignment horizontal="center"/>
    </xf>
    <xf numFmtId="0" fontId="6" fillId="0" borderId="0" xfId="9" applyFont="1" applyAlignment="1">
      <alignment vertical="center"/>
    </xf>
    <xf numFmtId="0" fontId="7" fillId="19" borderId="1" xfId="9" applyFont="1" applyFill="1" applyBorder="1" applyAlignment="1">
      <alignment horizontal="center" vertical="center" wrapText="1"/>
    </xf>
    <xf numFmtId="0" fontId="17" fillId="0" borderId="5" xfId="9" applyFont="1" applyBorder="1" applyAlignment="1">
      <alignment horizontal="center" vertical="center"/>
    </xf>
    <xf numFmtId="0" fontId="6" fillId="0" borderId="5" xfId="9" applyFont="1" applyBorder="1" applyAlignment="1">
      <alignment vertical="center" wrapText="1"/>
    </xf>
    <xf numFmtId="0" fontId="6" fillId="0" borderId="5" xfId="9" applyFont="1" applyBorder="1" applyAlignment="1">
      <alignment horizontal="right" wrapText="1"/>
    </xf>
    <xf numFmtId="4" fontId="6" fillId="0" borderId="5" xfId="9" applyNumberFormat="1" applyFont="1" applyFill="1" applyBorder="1" applyAlignment="1">
      <alignment wrapText="1"/>
    </xf>
    <xf numFmtId="4" fontId="6" fillId="0" borderId="5" xfId="9" applyNumberFormat="1" applyFont="1" applyFill="1" applyBorder="1" applyAlignment="1"/>
    <xf numFmtId="0" fontId="6" fillId="2" borderId="5" xfId="9" applyFont="1" applyFill="1" applyBorder="1" applyAlignment="1">
      <alignment horizontal="right"/>
    </xf>
    <xf numFmtId="4" fontId="6" fillId="2" borderId="5" xfId="9" applyNumberFormat="1" applyFont="1" applyFill="1" applyBorder="1" applyAlignment="1">
      <alignment wrapText="1"/>
    </xf>
    <xf numFmtId="4" fontId="6" fillId="2" borderId="5" xfId="9" applyNumberFormat="1" applyFont="1" applyFill="1" applyBorder="1" applyAlignment="1"/>
    <xf numFmtId="0" fontId="6" fillId="0" borderId="0" xfId="9" applyFont="1" applyAlignment="1"/>
    <xf numFmtId="0" fontId="6" fillId="0" borderId="5" xfId="9" applyFont="1" applyBorder="1" applyAlignment="1">
      <alignment horizontal="center" wrapText="1"/>
    </xf>
    <xf numFmtId="0" fontId="6" fillId="0" borderId="5" xfId="9" applyFont="1" applyFill="1" applyBorder="1" applyAlignment="1">
      <alignment horizontal="left" vertical="center"/>
    </xf>
    <xf numFmtId="0" fontId="6" fillId="0" borderId="5" xfId="9" applyFont="1" applyFill="1" applyBorder="1" applyAlignment="1">
      <alignment horizontal="right"/>
    </xf>
    <xf numFmtId="0" fontId="6" fillId="0" borderId="0" xfId="9" applyFont="1" applyFill="1" applyAlignment="1">
      <alignment vertical="center"/>
    </xf>
    <xf numFmtId="0" fontId="6" fillId="0" borderId="1" xfId="9" applyFont="1" applyBorder="1" applyAlignment="1">
      <alignment horizontal="right" vertical="center" wrapText="1"/>
    </xf>
    <xf numFmtId="4" fontId="6" fillId="7" borderId="1" xfId="9" applyNumberFormat="1" applyFont="1" applyFill="1" applyBorder="1" applyAlignment="1"/>
    <xf numFmtId="0" fontId="6" fillId="0" borderId="1" xfId="9" applyFont="1" applyBorder="1" applyAlignment="1">
      <alignment horizontal="center" vertical="center"/>
    </xf>
    <xf numFmtId="0" fontId="6" fillId="2" borderId="1" xfId="9" applyFont="1" applyFill="1" applyBorder="1" applyAlignment="1">
      <alignment horizontal="right"/>
    </xf>
    <xf numFmtId="4" fontId="6" fillId="2" borderId="1" xfId="9" applyNumberFormat="1" applyFont="1" applyFill="1" applyBorder="1" applyAlignment="1">
      <alignment wrapText="1"/>
    </xf>
    <xf numFmtId="4" fontId="6" fillId="2" borderId="1" xfId="9" applyNumberFormat="1" applyFont="1" applyFill="1" applyBorder="1" applyAlignment="1"/>
    <xf numFmtId="0" fontId="6" fillId="0" borderId="5" xfId="9" applyFont="1" applyBorder="1" applyAlignment="1">
      <alignment horizontal="left" vertical="center" wrapText="1"/>
    </xf>
    <xf numFmtId="0" fontId="6" fillId="7" borderId="1" xfId="9" applyFont="1" applyFill="1" applyBorder="1" applyAlignment="1">
      <alignment horizontal="left" wrapText="1"/>
    </xf>
    <xf numFmtId="0" fontId="6" fillId="0" borderId="4" xfId="9" applyFont="1" applyBorder="1" applyAlignment="1">
      <alignment horizontal="center" vertical="center" wrapText="1"/>
    </xf>
    <xf numFmtId="0" fontId="6" fillId="7" borderId="1" xfId="9" applyFont="1" applyFill="1" applyBorder="1" applyAlignment="1">
      <alignment horizontal="left" vertical="center" wrapText="1"/>
    </xf>
    <xf numFmtId="0" fontId="24" fillId="0" borderId="5" xfId="9" applyFont="1" applyBorder="1" applyAlignment="1">
      <alignment vertical="center" wrapText="1"/>
    </xf>
    <xf numFmtId="0" fontId="24" fillId="0" borderId="0" xfId="9" applyFont="1" applyAlignment="1"/>
    <xf numFmtId="0" fontId="24" fillId="0" borderId="1" xfId="9" applyFont="1" applyFill="1" applyBorder="1" applyAlignment="1">
      <alignment horizontal="left" vertical="center" wrapText="1"/>
    </xf>
    <xf numFmtId="0" fontId="24" fillId="2" borderId="1" xfId="9" applyFont="1" applyFill="1" applyBorder="1" applyAlignment="1">
      <alignment horizontal="right"/>
    </xf>
    <xf numFmtId="0" fontId="24" fillId="0" borderId="4" xfId="9" applyFont="1" applyFill="1" applyBorder="1" applyAlignment="1">
      <alignment horizontal="center" vertical="center" wrapText="1"/>
    </xf>
    <xf numFmtId="4" fontId="24" fillId="2" borderId="1" xfId="9" applyNumberFormat="1" applyFont="1" applyFill="1" applyBorder="1" applyAlignment="1">
      <alignment wrapText="1"/>
    </xf>
    <xf numFmtId="4" fontId="24" fillId="2" borderId="1" xfId="9" applyNumberFormat="1" applyFont="1" applyFill="1" applyBorder="1" applyAlignment="1"/>
    <xf numFmtId="4" fontId="7" fillId="19" borderId="5" xfId="9" applyNumberFormat="1" applyFont="1" applyFill="1" applyBorder="1" applyAlignment="1">
      <alignment vertical="center"/>
    </xf>
    <xf numFmtId="0" fontId="7" fillId="0" borderId="0" xfId="9" applyFont="1" applyAlignment="1">
      <alignment vertical="center"/>
    </xf>
    <xf numFmtId="4" fontId="6" fillId="0" borderId="0" xfId="9" applyNumberFormat="1" applyFont="1"/>
    <xf numFmtId="0" fontId="6" fillId="0" borderId="4" xfId="9" applyFont="1" applyFill="1" applyBorder="1" applyAlignment="1">
      <alignment horizontal="center" vertical="center" wrapText="1"/>
    </xf>
    <xf numFmtId="0" fontId="41" fillId="0" borderId="5" xfId="7" applyFont="1" applyBorder="1" applyAlignment="1">
      <alignment vertical="center"/>
    </xf>
    <xf numFmtId="3" fontId="41" fillId="0" borderId="5" xfId="7" applyNumberFormat="1" applyFont="1" applyBorder="1" applyAlignment="1">
      <alignment vertical="center"/>
    </xf>
    <xf numFmtId="3" fontId="7" fillId="0" borderId="5" xfId="10" applyNumberFormat="1" applyFont="1" applyBorder="1" applyAlignment="1">
      <alignment vertical="center"/>
    </xf>
    <xf numFmtId="3" fontId="7" fillId="0" borderId="5" xfId="10" applyNumberFormat="1" applyFont="1" applyFill="1" applyBorder="1" applyAlignment="1">
      <alignment vertical="center"/>
    </xf>
    <xf numFmtId="0" fontId="6" fillId="0" borderId="1" xfId="9" applyFont="1" applyFill="1" applyBorder="1" applyAlignment="1">
      <alignment horizontal="left" vertical="center" wrapText="1"/>
    </xf>
    <xf numFmtId="0" fontId="25" fillId="15" borderId="15" xfId="0" applyFont="1" applyFill="1" applyBorder="1" applyAlignment="1">
      <alignment horizontal="left" vertical="center" wrapText="1"/>
    </xf>
    <xf numFmtId="0" fontId="24" fillId="7" borderId="5" xfId="7" applyFont="1" applyFill="1" applyBorder="1" applyAlignment="1">
      <alignment vertical="center" wrapText="1"/>
    </xf>
    <xf numFmtId="0" fontId="41" fillId="0" borderId="5" xfId="7" applyFont="1" applyBorder="1" applyAlignment="1">
      <alignment vertical="center" wrapText="1"/>
    </xf>
    <xf numFmtId="3" fontId="41" fillId="0" borderId="5" xfId="7" applyNumberFormat="1" applyFont="1" applyBorder="1" applyAlignment="1">
      <alignment vertical="center" wrapText="1"/>
    </xf>
    <xf numFmtId="1" fontId="41" fillId="0" borderId="5" xfId="7" applyNumberFormat="1" applyFont="1" applyBorder="1" applyAlignment="1">
      <alignment vertical="center" wrapText="1"/>
    </xf>
    <xf numFmtId="0" fontId="29" fillId="20" borderId="13" xfId="7" applyFont="1" applyFill="1" applyBorder="1" applyAlignment="1" applyProtection="1">
      <alignment horizontal="center" vertical="center"/>
    </xf>
    <xf numFmtId="0" fontId="29" fillId="20" borderId="13" xfId="7" applyFont="1" applyFill="1" applyBorder="1" applyAlignment="1" applyProtection="1">
      <alignment horizontal="center" vertical="center" wrapText="1"/>
    </xf>
    <xf numFmtId="0" fontId="44" fillId="20" borderId="0" xfId="16" applyFont="1" applyFill="1" applyAlignment="1">
      <alignment vertical="center" wrapText="1"/>
    </xf>
    <xf numFmtId="3" fontId="29" fillId="20" borderId="13" xfId="7" applyNumberFormat="1" applyFont="1" applyFill="1" applyBorder="1" applyAlignment="1" applyProtection="1">
      <alignment vertical="center"/>
    </xf>
    <xf numFmtId="3" fontId="34" fillId="20" borderId="13" xfId="7" applyNumberFormat="1" applyFont="1" applyFill="1" applyBorder="1" applyAlignment="1" applyProtection="1">
      <alignment vertical="center"/>
    </xf>
    <xf numFmtId="0" fontId="34" fillId="20" borderId="13" xfId="7" applyFont="1" applyFill="1" applyBorder="1" applyAlignment="1" applyProtection="1">
      <alignment vertical="center" wrapText="1"/>
    </xf>
    <xf numFmtId="0" fontId="29" fillId="20" borderId="13" xfId="7" applyFont="1" applyFill="1" applyBorder="1" applyAlignment="1" applyProtection="1">
      <alignment horizontal="right" vertical="center" wrapText="1"/>
    </xf>
    <xf numFmtId="0" fontId="42" fillId="20" borderId="13" xfId="7" applyFont="1" applyFill="1" applyBorder="1" applyAlignment="1" applyProtection="1">
      <alignment horizontal="center" vertical="center" wrapText="1"/>
    </xf>
    <xf numFmtId="0" fontId="29" fillId="20" borderId="13" xfId="7" applyFont="1" applyFill="1" applyBorder="1" applyAlignment="1" applyProtection="1">
      <alignment horizontal="left" vertical="center" wrapText="1"/>
    </xf>
    <xf numFmtId="3" fontId="29" fillId="20" borderId="13" xfId="7" applyNumberFormat="1" applyFont="1" applyFill="1" applyBorder="1" applyAlignment="1" applyProtection="1">
      <alignment vertical="center" wrapText="1"/>
    </xf>
    <xf numFmtId="0" fontId="29" fillId="20" borderId="13" xfId="7" applyFont="1" applyFill="1" applyBorder="1" applyAlignment="1" applyProtection="1">
      <alignment vertical="center" wrapText="1"/>
    </xf>
    <xf numFmtId="0" fontId="45" fillId="20" borderId="13" xfId="7" applyFont="1" applyFill="1" applyBorder="1" applyAlignment="1" applyProtection="1">
      <alignment horizontal="center" vertical="center"/>
    </xf>
    <xf numFmtId="3" fontId="34" fillId="20" borderId="13" xfId="7" applyNumberFormat="1" applyFont="1" applyFill="1" applyBorder="1" applyAlignment="1" applyProtection="1">
      <alignment vertical="center" wrapText="1"/>
    </xf>
    <xf numFmtId="0" fontId="43" fillId="20" borderId="13" xfId="7" applyFont="1" applyFill="1" applyBorder="1" applyAlignment="1" applyProtection="1">
      <alignment horizontal="center" vertical="center" wrapText="1"/>
    </xf>
    <xf numFmtId="0" fontId="9" fillId="0" borderId="0" xfId="11" applyFont="1" applyFill="1" applyAlignment="1">
      <alignment vertical="center"/>
    </xf>
    <xf numFmtId="3" fontId="6" fillId="0" borderId="5" xfId="7" applyNumberFormat="1" applyFont="1" applyFill="1" applyBorder="1" applyAlignment="1">
      <alignment horizontal="right" vertical="center"/>
    </xf>
    <xf numFmtId="3" fontId="6" fillId="0" borderId="5" xfId="7" applyNumberFormat="1" applyFont="1" applyFill="1" applyBorder="1" applyAlignment="1">
      <alignment vertical="center"/>
    </xf>
    <xf numFmtId="3" fontId="6" fillId="0" borderId="5" xfId="7" applyNumberFormat="1" applyFont="1" applyFill="1" applyBorder="1" applyAlignment="1">
      <alignment horizontal="right" vertical="center" wrapText="1"/>
    </xf>
    <xf numFmtId="3" fontId="24" fillId="0" borderId="5" xfId="7" applyNumberFormat="1" applyFont="1" applyFill="1" applyBorder="1" applyAlignment="1">
      <alignment horizontal="right" vertical="center" wrapText="1"/>
    </xf>
    <xf numFmtId="3" fontId="6" fillId="0" borderId="5" xfId="7" applyNumberFormat="1" applyFont="1" applyFill="1" applyBorder="1" applyAlignment="1">
      <alignment vertical="center" wrapText="1"/>
    </xf>
    <xf numFmtId="0" fontId="6" fillId="0" borderId="0" xfId="7" applyFont="1" applyFill="1" applyAlignment="1">
      <alignment vertical="center"/>
    </xf>
    <xf numFmtId="3" fontId="24" fillId="0" borderId="5" xfId="7" applyNumberFormat="1" applyFont="1" applyFill="1" applyBorder="1" applyAlignment="1">
      <alignment vertical="center"/>
    </xf>
    <xf numFmtId="3" fontId="24" fillId="0" borderId="5" xfId="7" applyNumberFormat="1" applyFont="1" applyFill="1" applyBorder="1" applyAlignment="1">
      <alignment vertical="center" wrapText="1"/>
    </xf>
    <xf numFmtId="3" fontId="21" fillId="0" borderId="5" xfId="7" applyNumberFormat="1" applyFont="1" applyFill="1" applyBorder="1" applyAlignment="1">
      <alignment vertical="center" wrapText="1"/>
    </xf>
    <xf numFmtId="3" fontId="10" fillId="0" borderId="5" xfId="10" applyNumberFormat="1" applyFont="1" applyFill="1" applyBorder="1" applyAlignment="1">
      <alignment vertical="center"/>
    </xf>
    <xf numFmtId="0" fontId="24" fillId="0" borderId="5" xfId="11" applyFont="1" applyBorder="1" applyAlignment="1">
      <alignment horizontal="center" vertical="center"/>
    </xf>
    <xf numFmtId="0" fontId="24" fillId="0" borderId="5" xfId="11" applyFont="1" applyBorder="1" applyAlignment="1">
      <alignment vertical="center" wrapText="1"/>
    </xf>
    <xf numFmtId="3" fontId="24" fillId="0" borderId="5" xfId="11" applyNumberFormat="1" applyFont="1" applyBorder="1" applyAlignment="1">
      <alignment vertical="center"/>
    </xf>
    <xf numFmtId="0" fontId="46" fillId="0" borderId="5" xfId="11" applyFont="1" applyFill="1" applyBorder="1" applyAlignment="1">
      <alignment horizontal="center" vertical="center"/>
    </xf>
    <xf numFmtId="3" fontId="46" fillId="0" borderId="5" xfId="11" applyNumberFormat="1" applyFont="1" applyFill="1" applyBorder="1" applyAlignment="1">
      <alignment vertical="center"/>
    </xf>
    <xf numFmtId="0" fontId="20" fillId="9" borderId="13" xfId="7" applyFont="1" applyFill="1" applyBorder="1" applyAlignment="1" applyProtection="1">
      <alignment horizontal="center" vertical="center"/>
    </xf>
    <xf numFmtId="0" fontId="12" fillId="0" borderId="0" xfId="7" applyFont="1" applyBorder="1" applyAlignment="1" applyProtection="1">
      <alignment horizontal="center"/>
    </xf>
    <xf numFmtId="0" fontId="13" fillId="8" borderId="13" xfId="7" applyFont="1" applyFill="1" applyBorder="1" applyAlignment="1" applyProtection="1">
      <alignment horizontal="center" vertical="center"/>
    </xf>
    <xf numFmtId="0" fontId="13" fillId="8" borderId="13" xfId="7" applyFont="1" applyFill="1" applyBorder="1" applyAlignment="1" applyProtection="1">
      <alignment horizontal="center" vertical="center" wrapText="1"/>
    </xf>
    <xf numFmtId="0" fontId="13" fillId="8" borderId="8" xfId="7" applyFont="1" applyFill="1" applyBorder="1" applyAlignment="1" applyProtection="1">
      <alignment horizontal="center" vertical="center" wrapText="1"/>
    </xf>
    <xf numFmtId="0" fontId="13" fillId="8" borderId="11" xfId="7" applyFont="1" applyFill="1" applyBorder="1" applyAlignment="1" applyProtection="1">
      <alignment horizontal="center" vertical="center" wrapText="1"/>
    </xf>
    <xf numFmtId="0" fontId="13" fillId="8" borderId="9" xfId="7" applyFont="1" applyFill="1" applyBorder="1" applyAlignment="1" applyProtection="1">
      <alignment horizontal="center" vertical="center" wrapText="1"/>
    </xf>
    <xf numFmtId="0" fontId="13" fillId="8" borderId="10" xfId="7" applyFont="1" applyFill="1" applyBorder="1" applyAlignment="1" applyProtection="1">
      <alignment horizontal="center" vertical="center" wrapText="1"/>
    </xf>
    <xf numFmtId="0" fontId="13" fillId="2" borderId="8" xfId="7" applyFont="1" applyFill="1" applyBorder="1" applyAlignment="1" applyProtection="1">
      <alignment horizontal="center" vertical="center" wrapText="1"/>
      <protection locked="0"/>
    </xf>
    <xf numFmtId="0" fontId="13" fillId="2" borderId="11" xfId="7" applyFont="1" applyFill="1" applyBorder="1" applyAlignment="1" applyProtection="1">
      <alignment horizontal="center" vertical="center" wrapText="1"/>
      <protection locked="0"/>
    </xf>
    <xf numFmtId="0" fontId="13" fillId="2" borderId="9" xfId="7" applyFont="1" applyFill="1" applyBorder="1" applyAlignment="1" applyProtection="1">
      <alignment horizontal="center" vertical="center" wrapText="1"/>
    </xf>
    <xf numFmtId="0" fontId="13" fillId="2" borderId="10" xfId="7" applyFont="1" applyFill="1" applyBorder="1" applyAlignment="1" applyProtection="1">
      <alignment horizontal="center" vertical="center" wrapText="1"/>
    </xf>
    <xf numFmtId="0" fontId="13" fillId="2" borderId="17" xfId="7" applyFont="1" applyFill="1" applyBorder="1" applyAlignment="1" applyProtection="1">
      <alignment horizontal="center" vertical="center" wrapText="1"/>
    </xf>
    <xf numFmtId="166" fontId="13" fillId="12" borderId="9" xfId="8" applyNumberFormat="1" applyFont="1" applyFill="1" applyBorder="1" applyAlignment="1" applyProtection="1">
      <alignment horizontal="center" vertical="center" wrapText="1"/>
    </xf>
    <xf numFmtId="166" fontId="13" fillId="12" borderId="10" xfId="8" applyNumberFormat="1" applyFont="1" applyFill="1" applyBorder="1" applyAlignment="1" applyProtection="1">
      <alignment horizontal="center" vertical="center" wrapText="1"/>
    </xf>
    <xf numFmtId="166" fontId="13" fillId="12" borderId="17" xfId="8" applyNumberFormat="1" applyFont="1" applyFill="1" applyBorder="1" applyAlignment="1" applyProtection="1">
      <alignment horizontal="center" vertical="center" wrapText="1"/>
    </xf>
    <xf numFmtId="0" fontId="12" fillId="0" borderId="0" xfId="9" applyFont="1" applyAlignment="1">
      <alignment horizontal="center" vertical="center"/>
    </xf>
    <xf numFmtId="0" fontId="13" fillId="4" borderId="6" xfId="9" applyFont="1" applyFill="1" applyBorder="1" applyAlignment="1">
      <alignment horizontal="center" vertical="center"/>
    </xf>
    <xf numFmtId="0" fontId="13" fillId="4" borderId="2" xfId="9" applyFont="1" applyFill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0" fontId="6" fillId="0" borderId="4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20" fillId="0" borderId="0" xfId="9" applyFont="1" applyAlignment="1">
      <alignment horizontal="center" vertical="center" wrapText="1"/>
    </xf>
    <xf numFmtId="0" fontId="7" fillId="19" borderId="1" xfId="9" applyFont="1" applyFill="1" applyBorder="1" applyAlignment="1">
      <alignment horizontal="center" vertical="center" wrapText="1"/>
    </xf>
    <xf numFmtId="0" fontId="7" fillId="19" borderId="3" xfId="9" applyFont="1" applyFill="1" applyBorder="1" applyAlignment="1">
      <alignment horizontal="center" vertical="center" wrapText="1"/>
    </xf>
    <xf numFmtId="0" fontId="7" fillId="19" borderId="5" xfId="9" applyFont="1" applyFill="1" applyBorder="1" applyAlignment="1">
      <alignment horizontal="center" vertical="center" wrapText="1"/>
    </xf>
    <xf numFmtId="0" fontId="7" fillId="19" borderId="5" xfId="9" applyFont="1" applyFill="1" applyBorder="1" applyAlignment="1">
      <alignment horizontal="center" vertical="center"/>
    </xf>
    <xf numFmtId="0" fontId="6" fillId="0" borderId="1" xfId="9" applyFont="1" applyBorder="1" applyAlignment="1">
      <alignment horizontal="center" vertical="center" wrapText="1"/>
    </xf>
    <xf numFmtId="0" fontId="6" fillId="0" borderId="4" xfId="9" applyFont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0" fontId="6" fillId="0" borderId="4" xfId="9" applyFont="1" applyFill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24" fillId="0" borderId="18" xfId="9" applyFont="1" applyFill="1" applyBorder="1" applyAlignment="1">
      <alignment horizontal="center" vertical="center" wrapText="1"/>
    </xf>
    <xf numFmtId="0" fontId="24" fillId="0" borderId="19" xfId="9" applyFont="1" applyFill="1" applyBorder="1" applyAlignment="1">
      <alignment horizontal="center" vertical="center" wrapText="1"/>
    </xf>
    <xf numFmtId="0" fontId="24" fillId="0" borderId="20" xfId="9" applyFont="1" applyFill="1" applyBorder="1" applyAlignment="1">
      <alignment horizontal="center" vertical="center" wrapText="1"/>
    </xf>
    <xf numFmtId="0" fontId="24" fillId="0" borderId="21" xfId="9" applyFont="1" applyFill="1" applyBorder="1" applyAlignment="1">
      <alignment horizontal="center" vertical="center" wrapText="1"/>
    </xf>
    <xf numFmtId="0" fontId="24" fillId="0" borderId="0" xfId="9" applyFont="1" applyFill="1" applyBorder="1" applyAlignment="1">
      <alignment horizontal="center" vertical="center" wrapText="1"/>
    </xf>
    <xf numFmtId="0" fontId="24" fillId="0" borderId="22" xfId="9" applyFont="1" applyFill="1" applyBorder="1" applyAlignment="1">
      <alignment horizontal="center" vertical="center" wrapText="1"/>
    </xf>
    <xf numFmtId="0" fontId="24" fillId="0" borderId="23" xfId="9" applyFont="1" applyFill="1" applyBorder="1" applyAlignment="1">
      <alignment horizontal="center" vertical="center" wrapText="1"/>
    </xf>
    <xf numFmtId="0" fontId="24" fillId="0" borderId="24" xfId="9" applyFont="1" applyFill="1" applyBorder="1" applyAlignment="1">
      <alignment horizontal="center" vertical="center" wrapText="1"/>
    </xf>
    <xf numFmtId="0" fontId="24" fillId="0" borderId="7" xfId="9" applyFont="1" applyFill="1" applyBorder="1" applyAlignment="1">
      <alignment horizontal="center" vertical="center" wrapText="1"/>
    </xf>
    <xf numFmtId="0" fontId="24" fillId="0" borderId="1" xfId="9" applyFont="1" applyBorder="1" applyAlignment="1">
      <alignment horizontal="center" vertical="center"/>
    </xf>
    <xf numFmtId="0" fontId="24" fillId="0" borderId="3" xfId="9" applyFont="1" applyBorder="1" applyAlignment="1">
      <alignment horizontal="center" vertical="center"/>
    </xf>
    <xf numFmtId="0" fontId="24" fillId="0" borderId="4" xfId="9" applyFont="1" applyBorder="1" applyAlignment="1">
      <alignment horizontal="center" vertical="center"/>
    </xf>
    <xf numFmtId="49" fontId="18" fillId="0" borderId="0" xfId="10" applyNumberFormat="1" applyFont="1" applyAlignment="1">
      <alignment horizontal="center" vertical="center" wrapText="1"/>
    </xf>
    <xf numFmtId="0" fontId="10" fillId="5" borderId="5" xfId="10" applyFont="1" applyFill="1" applyBorder="1" applyAlignment="1">
      <alignment horizontal="center" vertical="center" wrapText="1"/>
    </xf>
    <xf numFmtId="0" fontId="18" fillId="0" borderId="0" xfId="11" applyFont="1" applyAlignment="1">
      <alignment horizontal="center" vertical="center" wrapText="1"/>
    </xf>
    <xf numFmtId="0" fontId="10" fillId="16" borderId="6" xfId="11" applyFont="1" applyFill="1" applyBorder="1" applyAlignment="1">
      <alignment horizontal="center" vertical="center" wrapText="1"/>
    </xf>
    <xf numFmtId="0" fontId="10" fillId="16" borderId="16" xfId="11" applyFont="1" applyFill="1" applyBorder="1" applyAlignment="1">
      <alignment horizontal="center" vertical="center" wrapText="1"/>
    </xf>
    <xf numFmtId="0" fontId="10" fillId="16" borderId="2" xfId="11" applyFont="1" applyFill="1" applyBorder="1" applyAlignment="1">
      <alignment horizontal="center" vertical="center" wrapText="1"/>
    </xf>
    <xf numFmtId="0" fontId="20" fillId="0" borderId="0" xfId="7" applyFont="1" applyAlignment="1">
      <alignment horizontal="center" vertical="center" wrapText="1"/>
    </xf>
    <xf numFmtId="0" fontId="7" fillId="2" borderId="5" xfId="7" applyFont="1" applyFill="1" applyBorder="1" applyAlignment="1">
      <alignment horizontal="center" vertical="center"/>
    </xf>
    <xf numFmtId="0" fontId="7" fillId="3" borderId="5" xfId="7" applyFont="1" applyFill="1" applyBorder="1" applyAlignment="1">
      <alignment horizontal="center" vertical="center" wrapText="1"/>
    </xf>
    <xf numFmtId="44" fontId="7" fillId="2" borderId="5" xfId="12" applyFont="1" applyFill="1" applyBorder="1" applyAlignment="1">
      <alignment horizontal="center" vertical="center"/>
    </xf>
    <xf numFmtId="44" fontId="12" fillId="14" borderId="5" xfId="12" applyFont="1" applyFill="1" applyBorder="1" applyAlignment="1">
      <alignment horizontal="center"/>
    </xf>
  </cellXfs>
  <cellStyles count="22">
    <cellStyle name="Dziesiętny 2" xfId="21"/>
    <cellStyle name="Normalny" xfId="0" builtinId="0"/>
    <cellStyle name="Normalny 10" xfId="3"/>
    <cellStyle name="Normalny 11" xfId="20"/>
    <cellStyle name="Normalny 2" xfId="1"/>
    <cellStyle name="Normalny 2 2 2" xfId="7"/>
    <cellStyle name="Normalny 2 3" xfId="9"/>
    <cellStyle name="Normalny 2 4" xfId="16"/>
    <cellStyle name="Normalny 3" xfId="13"/>
    <cellStyle name="Normalny 3 2" xfId="14"/>
    <cellStyle name="Normalny 4" xfId="15"/>
    <cellStyle name="Normalny 5" xfId="17"/>
    <cellStyle name="Normalny 6" xfId="2"/>
    <cellStyle name="Normalny 6 2" xfId="11"/>
    <cellStyle name="Normalny 6 3" xfId="10"/>
    <cellStyle name="Normalny 7" xfId="18"/>
    <cellStyle name="Normalny 7 2" xfId="5"/>
    <cellStyle name="Normalny 8" xfId="19"/>
    <cellStyle name="Normalny 8 2" xfId="4"/>
    <cellStyle name="Normalny 9" xfId="6"/>
    <cellStyle name="Walutowy 3 2 2" xfId="8"/>
    <cellStyle name="Walutowy 3 3" xfId="12"/>
  </cellStyles>
  <dxfs count="0"/>
  <tableStyles count="0" defaultTableStyle="TableStyleMedium2" defaultPivotStyle="PivotStyleLight16"/>
  <colors>
    <mruColors>
      <color rgb="FFFFFFCC"/>
      <color rgb="FF55F54D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B118"/>
  <sheetViews>
    <sheetView topLeftCell="A91" zoomScaleNormal="100" workbookViewId="0">
      <selection activeCell="L91" sqref="L1:L1048576"/>
    </sheetView>
  </sheetViews>
  <sheetFormatPr defaultColWidth="11.6640625" defaultRowHeight="12.75"/>
  <cols>
    <col min="1" max="1" width="5.6640625" style="88" customWidth="1"/>
    <col min="2" max="2" width="6.6640625" style="88" customWidth="1"/>
    <col min="3" max="3" width="9.33203125" style="88" customWidth="1"/>
    <col min="4" max="4" width="7.33203125" style="88" customWidth="1"/>
    <col min="5" max="5" width="85.1640625" style="88" customWidth="1"/>
    <col min="6" max="9" width="14.33203125" style="88" customWidth="1"/>
    <col min="10" max="10" width="15.1640625" style="88" customWidth="1"/>
    <col min="11" max="11" width="31.83203125" style="89" customWidth="1"/>
    <col min="12" max="12" width="8.6640625" style="90" hidden="1" customWidth="1"/>
    <col min="13" max="13" width="14.83203125" style="91" customWidth="1"/>
    <col min="14" max="80" width="11.6640625" style="91"/>
    <col min="81" max="16384" width="11.6640625" style="88"/>
  </cols>
  <sheetData>
    <row r="1" spans="1:80" ht="12" customHeight="1"/>
    <row r="2" spans="1:80" ht="15.75" customHeight="1">
      <c r="A2" s="404" t="s">
        <v>128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</row>
    <row r="3" spans="1:80" ht="15" customHeight="1" thickBot="1">
      <c r="A3" s="92"/>
      <c r="B3" s="92"/>
      <c r="C3" s="92"/>
      <c r="D3" s="92"/>
      <c r="E3" s="92"/>
      <c r="F3" s="92"/>
      <c r="G3" s="92"/>
      <c r="H3" s="92"/>
      <c r="I3" s="92"/>
      <c r="J3" s="92"/>
      <c r="K3" s="93"/>
    </row>
    <row r="4" spans="1:80" ht="19.5" customHeight="1" thickBot="1">
      <c r="A4" s="405" t="s">
        <v>53</v>
      </c>
      <c r="B4" s="406" t="s">
        <v>0</v>
      </c>
      <c r="C4" s="406" t="s">
        <v>129</v>
      </c>
      <c r="D4" s="407" t="s">
        <v>109</v>
      </c>
      <c r="E4" s="406" t="s">
        <v>110</v>
      </c>
      <c r="F4" s="406" t="s">
        <v>130</v>
      </c>
      <c r="G4" s="409" t="s">
        <v>131</v>
      </c>
      <c r="H4" s="410"/>
      <c r="I4" s="410"/>
      <c r="J4" s="410"/>
      <c r="K4" s="407" t="s">
        <v>132</v>
      </c>
      <c r="L4" s="411"/>
    </row>
    <row r="5" spans="1:80" ht="95.25" customHeight="1" thickBot="1">
      <c r="A5" s="405"/>
      <c r="B5" s="406"/>
      <c r="C5" s="406"/>
      <c r="D5" s="408"/>
      <c r="E5" s="406"/>
      <c r="F5" s="406"/>
      <c r="G5" s="314" t="s">
        <v>133</v>
      </c>
      <c r="H5" s="314" t="s">
        <v>134</v>
      </c>
      <c r="I5" s="314" t="s">
        <v>135</v>
      </c>
      <c r="J5" s="314" t="s">
        <v>136</v>
      </c>
      <c r="K5" s="408"/>
      <c r="L5" s="412"/>
    </row>
    <row r="6" spans="1:80" s="97" customFormat="1" ht="15" customHeight="1" thickBot="1">
      <c r="A6" s="94" t="s">
        <v>54</v>
      </c>
      <c r="B6" s="94" t="s">
        <v>55</v>
      </c>
      <c r="C6" s="94" t="s">
        <v>56</v>
      </c>
      <c r="D6" s="94" t="s">
        <v>57</v>
      </c>
      <c r="E6" s="95" t="s">
        <v>137</v>
      </c>
      <c r="F6" s="94" t="s">
        <v>138</v>
      </c>
      <c r="G6" s="94" t="s">
        <v>139</v>
      </c>
      <c r="H6" s="94" t="s">
        <v>140</v>
      </c>
      <c r="I6" s="94" t="s">
        <v>141</v>
      </c>
      <c r="J6" s="94" t="s">
        <v>142</v>
      </c>
      <c r="K6" s="94" t="s">
        <v>143</v>
      </c>
      <c r="L6" s="96"/>
    </row>
    <row r="7" spans="1:80" s="99" customFormat="1" ht="32.25" customHeight="1" thickBot="1">
      <c r="A7" s="403" t="s">
        <v>144</v>
      </c>
      <c r="B7" s="403"/>
      <c r="C7" s="403"/>
      <c r="D7" s="403"/>
      <c r="E7" s="403"/>
      <c r="F7" s="124">
        <f>SUM(G7:J7)</f>
        <v>1574333</v>
      </c>
      <c r="G7" s="124">
        <f>SUM(G8:G11)</f>
        <v>442333</v>
      </c>
      <c r="H7" s="124">
        <f t="shared" ref="H7:I7" si="0">SUM(H8:H11)</f>
        <v>0</v>
      </c>
      <c r="I7" s="124">
        <f t="shared" si="0"/>
        <v>0</v>
      </c>
      <c r="J7" s="125">
        <v>1132000</v>
      </c>
      <c r="K7" s="126"/>
      <c r="L7" s="127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</row>
    <row r="8" spans="1:80" s="98" customFormat="1" ht="52.5" customHeight="1" thickBot="1">
      <c r="A8" s="315" t="s">
        <v>54</v>
      </c>
      <c r="B8" s="309">
        <v>600</v>
      </c>
      <c r="C8" s="309">
        <v>60014</v>
      </c>
      <c r="D8" s="309">
        <v>6050</v>
      </c>
      <c r="E8" s="316" t="s">
        <v>145</v>
      </c>
      <c r="F8" s="310">
        <f>100000+14083-50000-49083</f>
        <v>15000</v>
      </c>
      <c r="G8" s="317">
        <f>50000+14083-49083</f>
        <v>15000</v>
      </c>
      <c r="H8" s="317"/>
      <c r="I8" s="311"/>
      <c r="J8" s="318" t="s">
        <v>158</v>
      </c>
      <c r="K8" s="312"/>
      <c r="L8" s="128"/>
    </row>
    <row r="9" spans="1:80" s="98" customFormat="1" ht="42" customHeight="1" thickBot="1">
      <c r="A9" s="315" t="s">
        <v>55</v>
      </c>
      <c r="B9" s="309">
        <v>600</v>
      </c>
      <c r="C9" s="309">
        <v>60014</v>
      </c>
      <c r="D9" s="309">
        <v>6050</v>
      </c>
      <c r="E9" s="319" t="s">
        <v>147</v>
      </c>
      <c r="F9" s="310">
        <f>G9+1132000</f>
        <v>1459333</v>
      </c>
      <c r="G9" s="317">
        <f>250000+158000-80667</f>
        <v>327333</v>
      </c>
      <c r="H9" s="317"/>
      <c r="I9" s="311"/>
      <c r="J9" s="318" t="s">
        <v>343</v>
      </c>
      <c r="K9" s="312" t="s">
        <v>371</v>
      </c>
      <c r="L9" s="159" t="s">
        <v>148</v>
      </c>
    </row>
    <row r="10" spans="1:80" s="98" customFormat="1" ht="42" customHeight="1" thickBot="1">
      <c r="A10" s="129" t="s">
        <v>56</v>
      </c>
      <c r="B10" s="130">
        <v>600</v>
      </c>
      <c r="C10" s="130">
        <v>60014</v>
      </c>
      <c r="D10" s="130">
        <v>6050</v>
      </c>
      <c r="E10" s="131" t="s">
        <v>149</v>
      </c>
      <c r="F10" s="132">
        <f>G10</f>
        <v>50000</v>
      </c>
      <c r="G10" s="133">
        <v>50000</v>
      </c>
      <c r="H10" s="133"/>
      <c r="I10" s="134"/>
      <c r="J10" s="135"/>
      <c r="K10" s="136" t="s">
        <v>150</v>
      </c>
      <c r="L10" s="159" t="s">
        <v>148</v>
      </c>
    </row>
    <row r="11" spans="1:80" s="98" customFormat="1" ht="42" customHeight="1" thickBot="1">
      <c r="A11" s="129" t="s">
        <v>57</v>
      </c>
      <c r="B11" s="130">
        <v>600</v>
      </c>
      <c r="C11" s="130">
        <v>60014</v>
      </c>
      <c r="D11" s="130">
        <v>6050</v>
      </c>
      <c r="E11" s="137" t="s">
        <v>151</v>
      </c>
      <c r="F11" s="132">
        <f>G11</f>
        <v>50000</v>
      </c>
      <c r="G11" s="133">
        <v>50000</v>
      </c>
      <c r="H11" s="133"/>
      <c r="I11" s="134"/>
      <c r="J11" s="135"/>
      <c r="K11" s="136"/>
      <c r="L11" s="128"/>
    </row>
    <row r="12" spans="1:80" s="99" customFormat="1" ht="32.25" customHeight="1" thickBot="1">
      <c r="A12" s="403" t="s">
        <v>152</v>
      </c>
      <c r="B12" s="403"/>
      <c r="C12" s="403"/>
      <c r="D12" s="403"/>
      <c r="E12" s="403"/>
      <c r="F12" s="124">
        <f>SUM(G12:J12)</f>
        <v>813000</v>
      </c>
      <c r="G12" s="124">
        <f>SUM(G13:G20)</f>
        <v>638000</v>
      </c>
      <c r="H12" s="138"/>
      <c r="I12" s="139"/>
      <c r="J12" s="125">
        <v>175000</v>
      </c>
      <c r="K12" s="126"/>
      <c r="L12" s="140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</row>
    <row r="13" spans="1:80" s="101" customFormat="1" ht="35.25" customHeight="1" thickBot="1">
      <c r="A13" s="129" t="s">
        <v>137</v>
      </c>
      <c r="B13" s="130">
        <v>600</v>
      </c>
      <c r="C13" s="130">
        <v>60014</v>
      </c>
      <c r="D13" s="130">
        <v>6050</v>
      </c>
      <c r="E13" s="137" t="s">
        <v>153</v>
      </c>
      <c r="F13" s="132">
        <f>SUM(G13:I13)</f>
        <v>0</v>
      </c>
      <c r="G13" s="133">
        <v>0</v>
      </c>
      <c r="H13" s="141"/>
      <c r="I13" s="142"/>
      <c r="J13" s="143"/>
      <c r="K13" s="144"/>
      <c r="L13" s="145"/>
    </row>
    <row r="14" spans="1:80" s="101" customFormat="1" ht="30" customHeight="1" thickBot="1">
      <c r="A14" s="129" t="s">
        <v>138</v>
      </c>
      <c r="B14" s="130">
        <v>600</v>
      </c>
      <c r="C14" s="130">
        <v>60014</v>
      </c>
      <c r="D14" s="130">
        <v>6050</v>
      </c>
      <c r="E14" s="137" t="s">
        <v>154</v>
      </c>
      <c r="F14" s="132">
        <f>SUM(G14:I14)</f>
        <v>100000</v>
      </c>
      <c r="G14" s="133">
        <v>100000</v>
      </c>
      <c r="H14" s="141"/>
      <c r="I14" s="142"/>
      <c r="J14" s="143"/>
      <c r="K14" s="144"/>
      <c r="L14" s="159" t="s">
        <v>148</v>
      </c>
    </row>
    <row r="15" spans="1:80" s="101" customFormat="1" ht="30" customHeight="1" thickBot="1">
      <c r="A15" s="129" t="s">
        <v>139</v>
      </c>
      <c r="B15" s="130">
        <v>600</v>
      </c>
      <c r="C15" s="130">
        <v>60014</v>
      </c>
      <c r="D15" s="130">
        <v>6050</v>
      </c>
      <c r="E15" s="137" t="s">
        <v>155</v>
      </c>
      <c r="F15" s="132">
        <f>SUM(G15:I15)</f>
        <v>150000</v>
      </c>
      <c r="G15" s="133">
        <v>150000</v>
      </c>
      <c r="H15" s="141"/>
      <c r="I15" s="142"/>
      <c r="J15" s="143"/>
      <c r="K15" s="144"/>
      <c r="L15" s="145"/>
    </row>
    <row r="16" spans="1:80" s="101" customFormat="1" ht="30" customHeight="1" thickBot="1">
      <c r="A16" s="129" t="s">
        <v>140</v>
      </c>
      <c r="B16" s="130">
        <v>600</v>
      </c>
      <c r="C16" s="130">
        <v>60014</v>
      </c>
      <c r="D16" s="130">
        <v>6050</v>
      </c>
      <c r="E16" s="137" t="s">
        <v>156</v>
      </c>
      <c r="F16" s="132">
        <f>SUM(G16:I16)</f>
        <v>200000</v>
      </c>
      <c r="G16" s="133">
        <v>200000</v>
      </c>
      <c r="H16" s="141"/>
      <c r="I16" s="142"/>
      <c r="J16" s="146"/>
      <c r="K16" s="144"/>
      <c r="L16" s="145"/>
    </row>
    <row r="17" spans="1:12" s="101" customFormat="1" ht="37.9" customHeight="1" thickBot="1">
      <c r="A17" s="147" t="s">
        <v>141</v>
      </c>
      <c r="B17" s="130">
        <v>600</v>
      </c>
      <c r="C17" s="130">
        <v>60014</v>
      </c>
      <c r="D17" s="130">
        <v>6050</v>
      </c>
      <c r="E17" s="131" t="s">
        <v>157</v>
      </c>
      <c r="F17" s="132">
        <v>0</v>
      </c>
      <c r="G17" s="133">
        <v>0</v>
      </c>
      <c r="H17" s="141"/>
      <c r="I17" s="142"/>
      <c r="J17" s="135" t="s">
        <v>158</v>
      </c>
      <c r="K17" s="144"/>
      <c r="L17" s="145"/>
    </row>
    <row r="18" spans="1:12" s="101" customFormat="1" ht="33.6" customHeight="1" thickBot="1">
      <c r="A18" s="147" t="s">
        <v>142</v>
      </c>
      <c r="B18" s="130">
        <v>600</v>
      </c>
      <c r="C18" s="130">
        <v>60014</v>
      </c>
      <c r="D18" s="130">
        <v>6050</v>
      </c>
      <c r="E18" s="131" t="s">
        <v>159</v>
      </c>
      <c r="F18" s="132">
        <f>G18</f>
        <v>30000</v>
      </c>
      <c r="G18" s="133">
        <v>30000</v>
      </c>
      <c r="H18" s="141"/>
      <c r="I18" s="142"/>
      <c r="J18" s="146"/>
      <c r="K18" s="144"/>
      <c r="L18" s="145"/>
    </row>
    <row r="19" spans="1:12" s="101" customFormat="1" ht="32.450000000000003" customHeight="1" thickBot="1">
      <c r="A19" s="147" t="s">
        <v>143</v>
      </c>
      <c r="B19" s="130">
        <v>600</v>
      </c>
      <c r="C19" s="130">
        <v>60014</v>
      </c>
      <c r="D19" s="130">
        <v>6050</v>
      </c>
      <c r="E19" s="131" t="s">
        <v>160</v>
      </c>
      <c r="F19" s="132">
        <f>G19</f>
        <v>63000</v>
      </c>
      <c r="G19" s="133">
        <f>40000+23000</f>
        <v>63000</v>
      </c>
      <c r="H19" s="141"/>
      <c r="I19" s="142"/>
      <c r="J19" s="146"/>
      <c r="K19" s="144"/>
      <c r="L19" s="145"/>
    </row>
    <row r="20" spans="1:12" s="101" customFormat="1" ht="50.25" customHeight="1" thickBot="1">
      <c r="A20" s="147" t="s">
        <v>161</v>
      </c>
      <c r="B20" s="130">
        <v>600</v>
      </c>
      <c r="C20" s="130">
        <v>60014</v>
      </c>
      <c r="D20" s="130">
        <v>6050</v>
      </c>
      <c r="E20" s="131" t="s">
        <v>162</v>
      </c>
      <c r="F20" s="132">
        <f>250000+50000-30000</f>
        <v>270000</v>
      </c>
      <c r="G20" s="133">
        <f>100000+25000-30000</f>
        <v>95000</v>
      </c>
      <c r="H20" s="141"/>
      <c r="I20" s="142"/>
      <c r="J20" s="135" t="s">
        <v>163</v>
      </c>
      <c r="K20" s="144"/>
      <c r="L20" s="145"/>
    </row>
    <row r="21" spans="1:12" s="102" customFormat="1" ht="27" customHeight="1" thickBot="1">
      <c r="A21" s="403" t="s">
        <v>164</v>
      </c>
      <c r="B21" s="403"/>
      <c r="C21" s="403"/>
      <c r="D21" s="403"/>
      <c r="E21" s="403"/>
      <c r="F21" s="124">
        <f>SUM(G21:J21)</f>
        <v>3797068</v>
      </c>
      <c r="G21" s="124">
        <f>SUM(G22:G30)</f>
        <v>722068</v>
      </c>
      <c r="H21" s="148"/>
      <c r="I21" s="149"/>
      <c r="J21" s="150">
        <f>1419000-70000+7500-849000+2544000+23500</f>
        <v>3075000</v>
      </c>
      <c r="K21" s="151"/>
      <c r="L21" s="152"/>
    </row>
    <row r="22" spans="1:12" s="101" customFormat="1" ht="42" customHeight="1" thickBot="1">
      <c r="A22" s="129" t="s">
        <v>165</v>
      </c>
      <c r="B22" s="130">
        <v>600</v>
      </c>
      <c r="C22" s="130">
        <v>60014</v>
      </c>
      <c r="D22" s="130">
        <v>6050</v>
      </c>
      <c r="E22" s="131" t="s">
        <v>166</v>
      </c>
      <c r="F22" s="132">
        <v>500000</v>
      </c>
      <c r="G22" s="133">
        <f>902000-451000-451000</f>
        <v>0</v>
      </c>
      <c r="H22" s="141"/>
      <c r="I22" s="142"/>
      <c r="J22" s="135" t="s">
        <v>309</v>
      </c>
      <c r="K22" s="144"/>
      <c r="L22" s="159" t="s">
        <v>148</v>
      </c>
    </row>
    <row r="23" spans="1:12" s="98" customFormat="1" ht="30" customHeight="1" thickBot="1">
      <c r="A23" s="129" t="s">
        <v>167</v>
      </c>
      <c r="B23" s="130">
        <v>600</v>
      </c>
      <c r="C23" s="130">
        <v>60014</v>
      </c>
      <c r="D23" s="130">
        <v>6050</v>
      </c>
      <c r="E23" s="137" t="s">
        <v>168</v>
      </c>
      <c r="F23" s="132">
        <f t="shared" ref="F23:F28" si="1">SUM(G23:H23)</f>
        <v>0</v>
      </c>
      <c r="G23" s="133">
        <f>400000-400000</f>
        <v>0</v>
      </c>
      <c r="H23" s="133"/>
      <c r="I23" s="134"/>
      <c r="J23" s="135"/>
      <c r="K23" s="136"/>
      <c r="L23" s="159" t="s">
        <v>148</v>
      </c>
    </row>
    <row r="24" spans="1:12" s="101" customFormat="1" ht="34.5" customHeight="1" thickBot="1">
      <c r="A24" s="129" t="s">
        <v>169</v>
      </c>
      <c r="B24" s="130">
        <v>600</v>
      </c>
      <c r="C24" s="130">
        <v>60014</v>
      </c>
      <c r="D24" s="130">
        <v>6050</v>
      </c>
      <c r="E24" s="131" t="s">
        <v>346</v>
      </c>
      <c r="F24" s="132">
        <f t="shared" si="1"/>
        <v>132000</v>
      </c>
      <c r="G24" s="133">
        <f>80000+52000</f>
        <v>132000</v>
      </c>
      <c r="H24" s="133"/>
      <c r="I24" s="134"/>
      <c r="J24" s="135" t="s">
        <v>170</v>
      </c>
      <c r="K24" s="136"/>
      <c r="L24" s="145"/>
    </row>
    <row r="25" spans="1:12" s="101" customFormat="1" ht="34.5" customHeight="1" thickBot="1">
      <c r="A25" s="129" t="s">
        <v>171</v>
      </c>
      <c r="B25" s="130">
        <v>600</v>
      </c>
      <c r="C25" s="130">
        <v>60014</v>
      </c>
      <c r="D25" s="130">
        <v>6050</v>
      </c>
      <c r="E25" s="131" t="s">
        <v>172</v>
      </c>
      <c r="F25" s="132">
        <f t="shared" si="1"/>
        <v>120000</v>
      </c>
      <c r="G25" s="133">
        <f>150000-30000</f>
        <v>120000</v>
      </c>
      <c r="H25" s="141"/>
      <c r="I25" s="142"/>
      <c r="J25" s="146"/>
      <c r="K25" s="144"/>
      <c r="L25" s="145"/>
    </row>
    <row r="26" spans="1:12" s="101" customFormat="1" ht="44.25" customHeight="1" thickBot="1">
      <c r="A26" s="129" t="s">
        <v>173</v>
      </c>
      <c r="B26" s="130">
        <v>600</v>
      </c>
      <c r="C26" s="130">
        <v>60014</v>
      </c>
      <c r="D26" s="130">
        <v>6050</v>
      </c>
      <c r="E26" s="131" t="s">
        <v>368</v>
      </c>
      <c r="F26" s="133">
        <v>0</v>
      </c>
      <c r="G26" s="133">
        <v>0</v>
      </c>
      <c r="H26" s="141"/>
      <c r="I26" s="142"/>
      <c r="J26" s="135"/>
      <c r="K26" s="144"/>
      <c r="L26" s="128"/>
    </row>
    <row r="27" spans="1:12" s="101" customFormat="1" ht="34.5" customHeight="1" thickBot="1">
      <c r="A27" s="129" t="s">
        <v>174</v>
      </c>
      <c r="B27" s="130">
        <v>600</v>
      </c>
      <c r="C27" s="130">
        <v>60014</v>
      </c>
      <c r="D27" s="130">
        <v>6050</v>
      </c>
      <c r="E27" s="131" t="s">
        <v>175</v>
      </c>
      <c r="F27" s="133">
        <f t="shared" si="1"/>
        <v>15068</v>
      </c>
      <c r="G27" s="133">
        <v>15068</v>
      </c>
      <c r="H27" s="141"/>
      <c r="I27" s="142"/>
      <c r="J27" s="146"/>
      <c r="K27" s="144"/>
      <c r="L27" s="145"/>
    </row>
    <row r="28" spans="1:12" s="101" customFormat="1" ht="34.5" customHeight="1" thickBot="1">
      <c r="A28" s="129" t="s">
        <v>176</v>
      </c>
      <c r="B28" s="130">
        <v>600</v>
      </c>
      <c r="C28" s="130">
        <v>60014</v>
      </c>
      <c r="D28" s="130">
        <v>6050</v>
      </c>
      <c r="E28" s="131" t="s">
        <v>177</v>
      </c>
      <c r="F28" s="133">
        <f t="shared" si="1"/>
        <v>300000</v>
      </c>
      <c r="G28" s="133">
        <v>300000</v>
      </c>
      <c r="H28" s="141"/>
      <c r="I28" s="142"/>
      <c r="J28" s="146"/>
      <c r="K28" s="144"/>
      <c r="L28" s="145"/>
    </row>
    <row r="29" spans="1:12" s="101" customFormat="1" ht="62.25" customHeight="1" thickBot="1">
      <c r="A29" s="129" t="s">
        <v>178</v>
      </c>
      <c r="B29" s="130">
        <v>600</v>
      </c>
      <c r="C29" s="130">
        <v>60014</v>
      </c>
      <c r="D29" s="130">
        <v>6050</v>
      </c>
      <c r="E29" s="131" t="s">
        <v>372</v>
      </c>
      <c r="F29" s="133">
        <f>12500+23500</f>
        <v>36000</v>
      </c>
      <c r="G29" s="133">
        <v>5000</v>
      </c>
      <c r="H29" s="141"/>
      <c r="I29" s="142"/>
      <c r="J29" s="135" t="s">
        <v>344</v>
      </c>
      <c r="K29" s="136" t="s">
        <v>366</v>
      </c>
      <c r="L29" s="145"/>
    </row>
    <row r="30" spans="1:12" s="101" customFormat="1" ht="40.5" customHeight="1" thickBot="1">
      <c r="A30" s="373" t="s">
        <v>370</v>
      </c>
      <c r="B30" s="374">
        <v>600</v>
      </c>
      <c r="C30" s="374">
        <v>60014</v>
      </c>
      <c r="D30" s="374">
        <v>6050</v>
      </c>
      <c r="E30" s="375" t="s">
        <v>365</v>
      </c>
      <c r="F30" s="376">
        <f>3244000-550000</f>
        <v>2694000</v>
      </c>
      <c r="G30" s="376">
        <f>700000-550000</f>
        <v>150000</v>
      </c>
      <c r="H30" s="377"/>
      <c r="I30" s="378"/>
      <c r="J30" s="379" t="s">
        <v>367</v>
      </c>
      <c r="K30" s="380"/>
      <c r="L30" s="159" t="s">
        <v>148</v>
      </c>
    </row>
    <row r="31" spans="1:12" s="102" customFormat="1" ht="27.75" customHeight="1" thickBot="1">
      <c r="A31" s="403" t="s">
        <v>179</v>
      </c>
      <c r="B31" s="403"/>
      <c r="C31" s="403"/>
      <c r="D31" s="403"/>
      <c r="E31" s="403"/>
      <c r="F31" s="124">
        <f>SUM(G31:J31)</f>
        <v>3295339</v>
      </c>
      <c r="G31" s="124">
        <f>SUM(G32:G42)</f>
        <v>1188339</v>
      </c>
      <c r="H31" s="148"/>
      <c r="I31" s="149"/>
      <c r="J31" s="150">
        <f>300000-150000-100000+80000+949000+1028000</f>
        <v>2107000</v>
      </c>
      <c r="K31" s="151"/>
      <c r="L31" s="152"/>
    </row>
    <row r="32" spans="1:12" s="101" customFormat="1" ht="34.5" customHeight="1" thickBot="1">
      <c r="A32" s="129" t="s">
        <v>181</v>
      </c>
      <c r="B32" s="130">
        <v>600</v>
      </c>
      <c r="C32" s="130">
        <v>60014</v>
      </c>
      <c r="D32" s="130">
        <v>6050</v>
      </c>
      <c r="E32" s="154" t="s">
        <v>180</v>
      </c>
      <c r="F32" s="132">
        <f>SUM(G32:H32)</f>
        <v>150000</v>
      </c>
      <c r="G32" s="133">
        <v>150000</v>
      </c>
      <c r="H32" s="155"/>
      <c r="I32" s="156"/>
      <c r="J32" s="157"/>
      <c r="K32" s="158"/>
      <c r="L32" s="159" t="s">
        <v>148</v>
      </c>
    </row>
    <row r="33" spans="1:80" s="101" customFormat="1" ht="34.5" customHeight="1" thickBot="1">
      <c r="A33" s="373" t="s">
        <v>183</v>
      </c>
      <c r="B33" s="374">
        <v>600</v>
      </c>
      <c r="C33" s="374">
        <v>60014</v>
      </c>
      <c r="D33" s="374">
        <v>6050</v>
      </c>
      <c r="E33" s="381" t="s">
        <v>182</v>
      </c>
      <c r="F33" s="382">
        <f>G33+1028000</f>
        <v>1416870</v>
      </c>
      <c r="G33" s="376">
        <f>150000+242000-3130</f>
        <v>388870</v>
      </c>
      <c r="H33" s="376"/>
      <c r="I33" s="383"/>
      <c r="J33" s="379" t="s">
        <v>345</v>
      </c>
      <c r="K33" s="380"/>
      <c r="L33" s="159" t="s">
        <v>148</v>
      </c>
    </row>
    <row r="34" spans="1:80" s="98" customFormat="1" ht="48.75" customHeight="1" thickBot="1">
      <c r="A34" s="129" t="s">
        <v>185</v>
      </c>
      <c r="B34" s="130">
        <v>600</v>
      </c>
      <c r="C34" s="130">
        <v>60014</v>
      </c>
      <c r="D34" s="130">
        <v>6050</v>
      </c>
      <c r="E34" s="154" t="s">
        <v>184</v>
      </c>
      <c r="F34" s="132">
        <f>SUM(G34:H34)</f>
        <v>286000</v>
      </c>
      <c r="G34" s="133">
        <f>200000+86000</f>
        <v>286000</v>
      </c>
      <c r="H34" s="133"/>
      <c r="I34" s="134"/>
      <c r="J34" s="135"/>
      <c r="K34" s="136"/>
      <c r="L34" s="128"/>
    </row>
    <row r="35" spans="1:80" s="98" customFormat="1" ht="33.75" customHeight="1" thickBot="1">
      <c r="A35" s="129" t="s">
        <v>187</v>
      </c>
      <c r="B35" s="130">
        <v>600</v>
      </c>
      <c r="C35" s="130">
        <v>60014</v>
      </c>
      <c r="D35" s="130">
        <v>6050</v>
      </c>
      <c r="E35" s="154" t="s">
        <v>186</v>
      </c>
      <c r="F35" s="132">
        <v>116266</v>
      </c>
      <c r="G35" s="133">
        <f>50000+16266</f>
        <v>66266</v>
      </c>
      <c r="H35" s="133"/>
      <c r="I35" s="134"/>
      <c r="J35" s="135" t="s">
        <v>146</v>
      </c>
      <c r="K35" s="144"/>
      <c r="L35" s="159" t="s">
        <v>148</v>
      </c>
    </row>
    <row r="36" spans="1:80" s="98" customFormat="1" ht="54.75" customHeight="1" thickBot="1">
      <c r="A36" s="129" t="s">
        <v>189</v>
      </c>
      <c r="B36" s="147">
        <v>600</v>
      </c>
      <c r="C36" s="160">
        <v>60014</v>
      </c>
      <c r="D36" s="160">
        <v>6050</v>
      </c>
      <c r="E36" s="161" t="s">
        <v>188</v>
      </c>
      <c r="F36" s="132">
        <v>0</v>
      </c>
      <c r="G36" s="133">
        <v>0</v>
      </c>
      <c r="H36" s="133"/>
      <c r="I36" s="134"/>
      <c r="J36" s="135" t="s">
        <v>158</v>
      </c>
      <c r="K36" s="144"/>
      <c r="L36" s="128"/>
    </row>
    <row r="37" spans="1:80" s="98" customFormat="1" ht="39" customHeight="1" thickBot="1">
      <c r="A37" s="129" t="s">
        <v>191</v>
      </c>
      <c r="B37" s="147">
        <v>600</v>
      </c>
      <c r="C37" s="147">
        <v>60014</v>
      </c>
      <c r="D37" s="160">
        <v>6050</v>
      </c>
      <c r="E37" s="131" t="s">
        <v>190</v>
      </c>
      <c r="F37" s="132">
        <f>G37</f>
        <v>45203</v>
      </c>
      <c r="G37" s="133">
        <v>45203</v>
      </c>
      <c r="H37" s="133"/>
      <c r="I37" s="134"/>
      <c r="J37" s="135"/>
      <c r="K37" s="144"/>
      <c r="L37" s="128"/>
    </row>
    <row r="38" spans="1:80" s="98" customFormat="1" ht="39.75" customHeight="1" thickBot="1">
      <c r="A38" s="129" t="s">
        <v>194</v>
      </c>
      <c r="B38" s="147">
        <v>600</v>
      </c>
      <c r="C38" s="147">
        <v>60014</v>
      </c>
      <c r="D38" s="160">
        <v>6050</v>
      </c>
      <c r="E38" s="131" t="s">
        <v>192</v>
      </c>
      <c r="F38" s="132">
        <v>0</v>
      </c>
      <c r="G38" s="133">
        <v>0</v>
      </c>
      <c r="H38" s="133"/>
      <c r="I38" s="134"/>
      <c r="J38" s="135" t="s">
        <v>193</v>
      </c>
      <c r="K38" s="144"/>
      <c r="L38" s="128"/>
    </row>
    <row r="39" spans="1:80" s="98" customFormat="1" ht="42" customHeight="1" thickBot="1">
      <c r="A39" s="129" t="s">
        <v>197</v>
      </c>
      <c r="B39" s="147">
        <v>600</v>
      </c>
      <c r="C39" s="147">
        <v>60014</v>
      </c>
      <c r="D39" s="160">
        <v>6050</v>
      </c>
      <c r="E39" s="162" t="s">
        <v>195</v>
      </c>
      <c r="F39" s="132">
        <v>90000</v>
      </c>
      <c r="G39" s="133">
        <v>50000</v>
      </c>
      <c r="H39" s="133"/>
      <c r="I39" s="134"/>
      <c r="J39" s="135" t="s">
        <v>196</v>
      </c>
      <c r="K39" s="144"/>
      <c r="L39" s="159" t="s">
        <v>148</v>
      </c>
    </row>
    <row r="40" spans="1:80" s="98" customFormat="1" ht="41.25" customHeight="1" thickBot="1">
      <c r="A40" s="129" t="s">
        <v>199</v>
      </c>
      <c r="B40" s="147">
        <v>600</v>
      </c>
      <c r="C40" s="147">
        <v>60014</v>
      </c>
      <c r="D40" s="160">
        <v>6050</v>
      </c>
      <c r="E40" s="104" t="s">
        <v>198</v>
      </c>
      <c r="F40" s="132">
        <v>90000</v>
      </c>
      <c r="G40" s="133">
        <v>50000</v>
      </c>
      <c r="H40" s="133"/>
      <c r="I40" s="134"/>
      <c r="J40" s="135" t="s">
        <v>196</v>
      </c>
      <c r="K40" s="144"/>
      <c r="L40" s="159" t="s">
        <v>148</v>
      </c>
    </row>
    <row r="41" spans="1:80" s="98" customFormat="1" ht="33.75" customHeight="1" thickBot="1">
      <c r="A41" s="129" t="s">
        <v>202</v>
      </c>
      <c r="B41" s="147">
        <v>600</v>
      </c>
      <c r="C41" s="147">
        <v>60014</v>
      </c>
      <c r="D41" s="160">
        <v>6050</v>
      </c>
      <c r="E41" s="163" t="s">
        <v>200</v>
      </c>
      <c r="F41" s="132">
        <f>G41</f>
        <v>150000</v>
      </c>
      <c r="G41" s="133">
        <v>150000</v>
      </c>
      <c r="H41" s="133"/>
      <c r="I41" s="134"/>
      <c r="J41" s="135"/>
      <c r="K41" s="144"/>
      <c r="L41" s="164"/>
    </row>
    <row r="42" spans="1:80" s="98" customFormat="1" ht="41.25" customHeight="1" thickBot="1">
      <c r="A42" s="129" t="s">
        <v>204</v>
      </c>
      <c r="B42" s="147">
        <v>600</v>
      </c>
      <c r="C42" s="147">
        <v>60014</v>
      </c>
      <c r="D42" s="160">
        <v>6050</v>
      </c>
      <c r="E42" s="161" t="s">
        <v>339</v>
      </c>
      <c r="F42" s="132">
        <f>949000+G42</f>
        <v>951000</v>
      </c>
      <c r="G42" s="133">
        <v>2000</v>
      </c>
      <c r="H42" s="133"/>
      <c r="I42" s="134"/>
      <c r="J42" s="135" t="s">
        <v>340</v>
      </c>
      <c r="K42" s="144"/>
      <c r="L42" s="128" t="s">
        <v>148</v>
      </c>
    </row>
    <row r="43" spans="1:80" s="105" customFormat="1" ht="27" customHeight="1" thickBot="1">
      <c r="A43" s="403" t="s">
        <v>201</v>
      </c>
      <c r="B43" s="403"/>
      <c r="C43" s="403"/>
      <c r="D43" s="403"/>
      <c r="E43" s="403"/>
      <c r="F43" s="124">
        <f>SUM(G43:J43)</f>
        <v>800000</v>
      </c>
      <c r="G43" s="124">
        <f>SUM(G44:G49)</f>
        <v>700000</v>
      </c>
      <c r="H43" s="148"/>
      <c r="I43" s="149"/>
      <c r="J43" s="150">
        <v>100000</v>
      </c>
      <c r="K43" s="165"/>
      <c r="L43" s="166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</row>
    <row r="44" spans="1:80" s="106" customFormat="1" ht="30" customHeight="1" thickBot="1">
      <c r="A44" s="129" t="s">
        <v>206</v>
      </c>
      <c r="B44" s="130">
        <v>600</v>
      </c>
      <c r="C44" s="130">
        <v>60014</v>
      </c>
      <c r="D44" s="130">
        <v>6050</v>
      </c>
      <c r="E44" s="137" t="s">
        <v>203</v>
      </c>
      <c r="F44" s="132">
        <v>150000</v>
      </c>
      <c r="G44" s="133">
        <v>100000</v>
      </c>
      <c r="H44" s="133"/>
      <c r="I44" s="134"/>
      <c r="J44" s="135" t="s">
        <v>146</v>
      </c>
      <c r="K44" s="144"/>
      <c r="L44" s="159" t="s">
        <v>148</v>
      </c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</row>
    <row r="45" spans="1:80" s="106" customFormat="1" ht="30" customHeight="1" thickBot="1">
      <c r="A45" s="129" t="s">
        <v>208</v>
      </c>
      <c r="B45" s="130">
        <v>600</v>
      </c>
      <c r="C45" s="130">
        <v>60014</v>
      </c>
      <c r="D45" s="130">
        <v>6050</v>
      </c>
      <c r="E45" s="137" t="s">
        <v>205</v>
      </c>
      <c r="F45" s="132">
        <v>200000</v>
      </c>
      <c r="G45" s="133">
        <v>150000</v>
      </c>
      <c r="H45" s="133"/>
      <c r="I45" s="134"/>
      <c r="J45" s="135" t="s">
        <v>146</v>
      </c>
      <c r="K45" s="144"/>
      <c r="L45" s="159" t="s">
        <v>148</v>
      </c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</row>
    <row r="46" spans="1:80" s="106" customFormat="1" ht="30" customHeight="1" thickBot="1">
      <c r="A46" s="129" t="s">
        <v>210</v>
      </c>
      <c r="B46" s="130">
        <v>600</v>
      </c>
      <c r="C46" s="130">
        <v>60014</v>
      </c>
      <c r="D46" s="130">
        <v>6050</v>
      </c>
      <c r="E46" s="154" t="s">
        <v>207</v>
      </c>
      <c r="F46" s="132">
        <f>SUM(G46)</f>
        <v>150000</v>
      </c>
      <c r="G46" s="133">
        <v>150000</v>
      </c>
      <c r="H46" s="133"/>
      <c r="I46" s="134"/>
      <c r="J46" s="135"/>
      <c r="K46" s="144"/>
      <c r="L46" s="145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</row>
    <row r="47" spans="1:80" s="106" customFormat="1" ht="35.25" customHeight="1" thickBot="1">
      <c r="A47" s="129" t="s">
        <v>212</v>
      </c>
      <c r="B47" s="130">
        <v>600</v>
      </c>
      <c r="C47" s="130">
        <v>60014</v>
      </c>
      <c r="D47" s="130">
        <v>6050</v>
      </c>
      <c r="E47" s="154" t="s">
        <v>209</v>
      </c>
      <c r="F47" s="132">
        <f>SUM(G47)</f>
        <v>150000</v>
      </c>
      <c r="G47" s="132">
        <v>150000</v>
      </c>
      <c r="H47" s="167"/>
      <c r="I47" s="142"/>
      <c r="J47" s="146"/>
      <c r="K47" s="144"/>
      <c r="L47" s="168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</row>
    <row r="48" spans="1:80" s="101" customFormat="1" ht="30.75" customHeight="1" thickBot="1">
      <c r="A48" s="129" t="s">
        <v>215</v>
      </c>
      <c r="B48" s="130">
        <v>600</v>
      </c>
      <c r="C48" s="130">
        <v>60014</v>
      </c>
      <c r="D48" s="130">
        <v>6050</v>
      </c>
      <c r="E48" s="154" t="s">
        <v>211</v>
      </c>
      <c r="F48" s="132">
        <f>SUM(G48)</f>
        <v>50000</v>
      </c>
      <c r="G48" s="132">
        <v>50000</v>
      </c>
      <c r="H48" s="132"/>
      <c r="I48" s="134"/>
      <c r="J48" s="135"/>
      <c r="K48" s="136"/>
      <c r="L48" s="128"/>
    </row>
    <row r="49" spans="1:80" s="101" customFormat="1" ht="36" customHeight="1" thickBot="1">
      <c r="A49" s="129" t="s">
        <v>217</v>
      </c>
      <c r="B49" s="130">
        <v>600</v>
      </c>
      <c r="C49" s="130">
        <v>60014</v>
      </c>
      <c r="D49" s="130">
        <v>6050</v>
      </c>
      <c r="E49" s="154" t="s">
        <v>213</v>
      </c>
      <c r="F49" s="132">
        <f>SUM(G49)</f>
        <v>100000</v>
      </c>
      <c r="G49" s="132">
        <v>100000</v>
      </c>
      <c r="H49" s="132"/>
      <c r="I49" s="134"/>
      <c r="J49" s="135"/>
      <c r="K49" s="136"/>
      <c r="L49" s="159" t="s">
        <v>148</v>
      </c>
    </row>
    <row r="50" spans="1:80" s="106" customFormat="1" ht="30.75" customHeight="1" thickBot="1">
      <c r="A50" s="403" t="s">
        <v>214</v>
      </c>
      <c r="B50" s="403"/>
      <c r="C50" s="403"/>
      <c r="D50" s="403"/>
      <c r="E50" s="403"/>
      <c r="F50" s="124">
        <f>SUM(G50:J50)</f>
        <v>300000</v>
      </c>
      <c r="G50" s="124">
        <f>SUM(G51:G53)</f>
        <v>300000</v>
      </c>
      <c r="H50" s="169"/>
      <c r="I50" s="149"/>
      <c r="J50" s="150">
        <f>100000-100000</f>
        <v>0</v>
      </c>
      <c r="K50" s="165"/>
      <c r="L50" s="170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</row>
    <row r="51" spans="1:80" s="106" customFormat="1" ht="30" customHeight="1" thickBot="1">
      <c r="A51" s="129" t="s">
        <v>219</v>
      </c>
      <c r="B51" s="130">
        <v>600</v>
      </c>
      <c r="C51" s="130">
        <v>60014</v>
      </c>
      <c r="D51" s="130">
        <v>6050</v>
      </c>
      <c r="E51" s="107" t="s">
        <v>216</v>
      </c>
      <c r="F51" s="132">
        <f>G51</f>
        <v>30000</v>
      </c>
      <c r="G51" s="132">
        <v>30000</v>
      </c>
      <c r="H51" s="141"/>
      <c r="I51" s="142"/>
      <c r="J51" s="146"/>
      <c r="K51" s="144"/>
      <c r="L51" s="145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</row>
    <row r="52" spans="1:80" s="101" customFormat="1" ht="31.5" customHeight="1" thickBot="1">
      <c r="A52" s="129" t="s">
        <v>222</v>
      </c>
      <c r="B52" s="130">
        <v>600</v>
      </c>
      <c r="C52" s="130">
        <v>60014</v>
      </c>
      <c r="D52" s="130">
        <v>6050</v>
      </c>
      <c r="E52" s="154" t="s">
        <v>218</v>
      </c>
      <c r="F52" s="132">
        <v>20000</v>
      </c>
      <c r="G52" s="132">
        <v>20000</v>
      </c>
      <c r="H52" s="167"/>
      <c r="I52" s="142"/>
      <c r="J52" s="135" t="s">
        <v>193</v>
      </c>
      <c r="K52" s="136" t="s">
        <v>150</v>
      </c>
      <c r="L52" s="159" t="s">
        <v>148</v>
      </c>
    </row>
    <row r="53" spans="1:80" s="101" customFormat="1" ht="30" customHeight="1" thickBot="1">
      <c r="A53" s="129" t="s">
        <v>225</v>
      </c>
      <c r="B53" s="130">
        <v>600</v>
      </c>
      <c r="C53" s="130">
        <v>60014</v>
      </c>
      <c r="D53" s="130">
        <v>6050</v>
      </c>
      <c r="E53" s="154" t="s">
        <v>220</v>
      </c>
      <c r="F53" s="132">
        <f>G53</f>
        <v>250000</v>
      </c>
      <c r="G53" s="132">
        <v>250000</v>
      </c>
      <c r="H53" s="167"/>
      <c r="I53" s="142"/>
      <c r="J53" s="135" t="s">
        <v>158</v>
      </c>
      <c r="K53" s="144"/>
      <c r="L53" s="159" t="s">
        <v>148</v>
      </c>
    </row>
    <row r="54" spans="1:80" s="106" customFormat="1" ht="32.25" customHeight="1" thickBot="1">
      <c r="A54" s="403" t="s">
        <v>221</v>
      </c>
      <c r="B54" s="403"/>
      <c r="C54" s="403"/>
      <c r="D54" s="403"/>
      <c r="E54" s="403"/>
      <c r="F54" s="124">
        <f>SUM(G54:J54)</f>
        <v>701044</v>
      </c>
      <c r="G54" s="124">
        <f>SUM(G55:G57)</f>
        <v>301044</v>
      </c>
      <c r="H54" s="169"/>
      <c r="I54" s="149"/>
      <c r="J54" s="150">
        <v>400000</v>
      </c>
      <c r="K54" s="171"/>
      <c r="L54" s="172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</row>
    <row r="55" spans="1:80" s="101" customFormat="1" ht="36.75" customHeight="1" thickBot="1">
      <c r="A55" s="129" t="s">
        <v>227</v>
      </c>
      <c r="B55" s="130">
        <v>600</v>
      </c>
      <c r="C55" s="130">
        <v>60014</v>
      </c>
      <c r="D55" s="130">
        <v>6050</v>
      </c>
      <c r="E55" s="137" t="s">
        <v>223</v>
      </c>
      <c r="F55" s="132">
        <f>300000+50000</f>
        <v>350000</v>
      </c>
      <c r="G55" s="133">
        <f>100000+50000</f>
        <v>150000</v>
      </c>
      <c r="H55" s="133"/>
      <c r="I55" s="134"/>
      <c r="J55" s="135" t="s">
        <v>224</v>
      </c>
      <c r="K55" s="144"/>
      <c r="L55" s="159" t="s">
        <v>148</v>
      </c>
    </row>
    <row r="56" spans="1:80" s="101" customFormat="1" ht="39" customHeight="1" thickBot="1">
      <c r="A56" s="129" t="s">
        <v>230</v>
      </c>
      <c r="B56" s="130">
        <v>600</v>
      </c>
      <c r="C56" s="130">
        <v>60014</v>
      </c>
      <c r="D56" s="130">
        <v>6050</v>
      </c>
      <c r="E56" s="137" t="s">
        <v>226</v>
      </c>
      <c r="F56" s="132">
        <f>300000+50000</f>
        <v>350000</v>
      </c>
      <c r="G56" s="133">
        <f>100000+50000</f>
        <v>150000</v>
      </c>
      <c r="H56" s="133"/>
      <c r="I56" s="134"/>
      <c r="J56" s="135" t="s">
        <v>224</v>
      </c>
      <c r="K56" s="144"/>
      <c r="L56" s="159" t="s">
        <v>148</v>
      </c>
    </row>
    <row r="57" spans="1:80" s="101" customFormat="1" ht="39" customHeight="1" thickBot="1">
      <c r="A57" s="129" t="s">
        <v>232</v>
      </c>
      <c r="B57" s="130">
        <v>600</v>
      </c>
      <c r="C57" s="130">
        <v>60014</v>
      </c>
      <c r="D57" s="130">
        <v>6050</v>
      </c>
      <c r="E57" s="131" t="s">
        <v>228</v>
      </c>
      <c r="F57" s="132">
        <f>G57</f>
        <v>1044</v>
      </c>
      <c r="G57" s="133">
        <f>200000-198956</f>
        <v>1044</v>
      </c>
      <c r="H57" s="133"/>
      <c r="I57" s="134"/>
      <c r="J57" s="135"/>
      <c r="K57" s="144"/>
      <c r="L57" s="128" t="s">
        <v>148</v>
      </c>
    </row>
    <row r="58" spans="1:80" s="101" customFormat="1" ht="33" customHeight="1" thickBot="1">
      <c r="A58" s="403" t="s">
        <v>229</v>
      </c>
      <c r="B58" s="403"/>
      <c r="C58" s="403"/>
      <c r="D58" s="403"/>
      <c r="E58" s="403"/>
      <c r="F58" s="124">
        <f>SUM(G58:J58)</f>
        <v>836000</v>
      </c>
      <c r="G58" s="124">
        <f>SUM(G59:G66)</f>
        <v>816000</v>
      </c>
      <c r="H58" s="138"/>
      <c r="I58" s="139"/>
      <c r="J58" s="150">
        <f>140000-100000-20000</f>
        <v>20000</v>
      </c>
      <c r="K58" s="151"/>
      <c r="L58" s="140"/>
    </row>
    <row r="59" spans="1:80" s="101" customFormat="1" ht="30" customHeight="1" thickBot="1">
      <c r="A59" s="129" t="s">
        <v>234</v>
      </c>
      <c r="B59" s="130">
        <v>600</v>
      </c>
      <c r="C59" s="130">
        <v>60014</v>
      </c>
      <c r="D59" s="130">
        <v>6050</v>
      </c>
      <c r="E59" s="137" t="s">
        <v>231</v>
      </c>
      <c r="F59" s="132">
        <f>G59</f>
        <v>146000</v>
      </c>
      <c r="G59" s="133">
        <v>146000</v>
      </c>
      <c r="H59" s="141"/>
      <c r="I59" s="142"/>
      <c r="J59" s="146"/>
      <c r="K59" s="144"/>
      <c r="L59" s="159" t="s">
        <v>148</v>
      </c>
    </row>
    <row r="60" spans="1:80" s="106" customFormat="1" ht="30" customHeight="1" thickBot="1">
      <c r="A60" s="129" t="s">
        <v>236</v>
      </c>
      <c r="B60" s="130">
        <v>600</v>
      </c>
      <c r="C60" s="130">
        <v>60014</v>
      </c>
      <c r="D60" s="130">
        <v>6050</v>
      </c>
      <c r="E60" s="137" t="s">
        <v>233</v>
      </c>
      <c r="F60" s="173">
        <f>SUM(G60:H60)</f>
        <v>100000</v>
      </c>
      <c r="G60" s="133">
        <v>100000</v>
      </c>
      <c r="H60" s="141"/>
      <c r="I60" s="142"/>
      <c r="J60" s="146"/>
      <c r="K60" s="144"/>
      <c r="L60" s="164" t="s">
        <v>148</v>
      </c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</row>
    <row r="61" spans="1:80" s="109" customFormat="1" ht="30" customHeight="1" thickBot="1">
      <c r="A61" s="129" t="s">
        <v>238</v>
      </c>
      <c r="B61" s="130">
        <v>600</v>
      </c>
      <c r="C61" s="130">
        <v>60014</v>
      </c>
      <c r="D61" s="130">
        <v>6050</v>
      </c>
      <c r="E61" s="174" t="s">
        <v>235</v>
      </c>
      <c r="F61" s="175">
        <f>SUM(G61)</f>
        <v>120000</v>
      </c>
      <c r="G61" s="175">
        <v>120000</v>
      </c>
      <c r="H61" s="175"/>
      <c r="I61" s="156"/>
      <c r="J61" s="157"/>
      <c r="K61" s="158"/>
      <c r="L61" s="176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</row>
    <row r="62" spans="1:80" s="109" customFormat="1" ht="30" customHeight="1" thickBot="1">
      <c r="A62" s="129" t="s">
        <v>240</v>
      </c>
      <c r="B62" s="130">
        <v>600</v>
      </c>
      <c r="C62" s="130">
        <v>60014</v>
      </c>
      <c r="D62" s="130">
        <v>605</v>
      </c>
      <c r="E62" s="177" t="s">
        <v>237</v>
      </c>
      <c r="F62" s="132">
        <f>SUM(G62)</f>
        <v>50000</v>
      </c>
      <c r="G62" s="132">
        <v>50000</v>
      </c>
      <c r="H62" s="132"/>
      <c r="I62" s="134"/>
      <c r="J62" s="135"/>
      <c r="K62" s="136"/>
      <c r="L62" s="153" t="s">
        <v>148</v>
      </c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8"/>
      <c r="BR62" s="108"/>
      <c r="BS62" s="108"/>
      <c r="BT62" s="108"/>
      <c r="BU62" s="108"/>
      <c r="BV62" s="108"/>
      <c r="BW62" s="108"/>
      <c r="BX62" s="108"/>
      <c r="BY62" s="108"/>
      <c r="BZ62" s="108"/>
      <c r="CA62" s="108"/>
      <c r="CB62" s="108"/>
    </row>
    <row r="63" spans="1:80" s="98" customFormat="1" ht="39.6" customHeight="1" thickBot="1">
      <c r="A63" s="129" t="s">
        <v>243</v>
      </c>
      <c r="B63" s="130">
        <v>600</v>
      </c>
      <c r="C63" s="130">
        <v>60014</v>
      </c>
      <c r="D63" s="130">
        <v>605</v>
      </c>
      <c r="E63" s="177" t="s">
        <v>239</v>
      </c>
      <c r="F63" s="132">
        <f>G63</f>
        <v>0</v>
      </c>
      <c r="G63" s="132">
        <v>0</v>
      </c>
      <c r="H63" s="132"/>
      <c r="I63" s="134"/>
      <c r="J63" s="135"/>
      <c r="K63" s="136"/>
      <c r="L63" s="128" t="s">
        <v>148</v>
      </c>
    </row>
    <row r="64" spans="1:80" s="98" customFormat="1" ht="39.6" customHeight="1" thickBot="1">
      <c r="A64" s="129" t="s">
        <v>245</v>
      </c>
      <c r="B64" s="130">
        <v>600</v>
      </c>
      <c r="C64" s="130">
        <v>60014</v>
      </c>
      <c r="D64" s="130">
        <v>605</v>
      </c>
      <c r="E64" s="177" t="s">
        <v>241</v>
      </c>
      <c r="F64" s="132">
        <v>20000</v>
      </c>
      <c r="G64" s="132"/>
      <c r="H64" s="132"/>
      <c r="I64" s="134"/>
      <c r="J64" s="135" t="s">
        <v>242</v>
      </c>
      <c r="K64" s="136"/>
      <c r="L64" s="128"/>
    </row>
    <row r="65" spans="1:80" s="98" customFormat="1" ht="36" customHeight="1" thickBot="1">
      <c r="A65" s="129" t="s">
        <v>248</v>
      </c>
      <c r="B65" s="130">
        <v>600</v>
      </c>
      <c r="C65" s="130">
        <v>60014</v>
      </c>
      <c r="D65" s="130">
        <v>605</v>
      </c>
      <c r="E65" s="177" t="s">
        <v>244</v>
      </c>
      <c r="F65" s="132">
        <v>300000</v>
      </c>
      <c r="G65" s="132">
        <f>200000+100000</f>
        <v>300000</v>
      </c>
      <c r="H65" s="132"/>
      <c r="I65" s="134"/>
      <c r="J65" s="135" t="s">
        <v>158</v>
      </c>
      <c r="K65" s="136"/>
      <c r="L65" s="128"/>
    </row>
    <row r="66" spans="1:80" s="109" customFormat="1" ht="30.75" customHeight="1" thickBot="1">
      <c r="A66" s="129" t="s">
        <v>251</v>
      </c>
      <c r="B66" s="130">
        <v>600</v>
      </c>
      <c r="C66" s="130">
        <v>60014</v>
      </c>
      <c r="D66" s="130">
        <v>605</v>
      </c>
      <c r="E66" s="177" t="s">
        <v>246</v>
      </c>
      <c r="F66" s="132">
        <f>G66</f>
        <v>100000</v>
      </c>
      <c r="G66" s="132">
        <v>100000</v>
      </c>
      <c r="H66" s="132"/>
      <c r="I66" s="134"/>
      <c r="J66" s="135"/>
      <c r="K66" s="136"/>
      <c r="L66" s="153" t="s">
        <v>148</v>
      </c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  <c r="BU66" s="108"/>
      <c r="BV66" s="108"/>
      <c r="BW66" s="108"/>
      <c r="BX66" s="108"/>
      <c r="BY66" s="108"/>
      <c r="BZ66" s="108"/>
      <c r="CA66" s="108"/>
      <c r="CB66" s="108"/>
    </row>
    <row r="67" spans="1:80" s="109" customFormat="1" ht="21.75" customHeight="1" thickBot="1">
      <c r="A67" s="403" t="s">
        <v>247</v>
      </c>
      <c r="B67" s="403"/>
      <c r="C67" s="403"/>
      <c r="D67" s="403"/>
      <c r="E67" s="403"/>
      <c r="F67" s="124">
        <f>SUM(G67:J67)</f>
        <v>350000</v>
      </c>
      <c r="G67" s="124">
        <f>SUM(G68:G69)</f>
        <v>350000</v>
      </c>
      <c r="H67" s="124"/>
      <c r="I67" s="139"/>
      <c r="J67" s="178"/>
      <c r="K67" s="126"/>
      <c r="L67" s="179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  <c r="BV67" s="108"/>
      <c r="BW67" s="108"/>
      <c r="BX67" s="108"/>
      <c r="BY67" s="108"/>
      <c r="BZ67" s="108"/>
      <c r="CA67" s="108"/>
      <c r="CB67" s="108"/>
    </row>
    <row r="68" spans="1:80" s="106" customFormat="1" ht="30" customHeight="1" thickBot="1">
      <c r="A68" s="315" t="s">
        <v>253</v>
      </c>
      <c r="B68" s="309">
        <v>600</v>
      </c>
      <c r="C68" s="309">
        <v>60014</v>
      </c>
      <c r="D68" s="309">
        <v>6050</v>
      </c>
      <c r="E68" s="313" t="s">
        <v>406</v>
      </c>
      <c r="F68" s="310">
        <f>SUM(G68:H68)</f>
        <v>150000</v>
      </c>
      <c r="G68" s="310">
        <v>150000</v>
      </c>
      <c r="H68" s="320"/>
      <c r="I68" s="321"/>
      <c r="J68" s="321"/>
      <c r="K68" s="322"/>
      <c r="L68" s="145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</row>
    <row r="69" spans="1:80" s="106" customFormat="1" ht="30" customHeight="1" thickBot="1">
      <c r="A69" s="129" t="s">
        <v>257</v>
      </c>
      <c r="B69" s="180">
        <v>600</v>
      </c>
      <c r="C69" s="180">
        <v>60014</v>
      </c>
      <c r="D69" s="180">
        <v>6060</v>
      </c>
      <c r="E69" s="181" t="s">
        <v>249</v>
      </c>
      <c r="F69" s="173">
        <f>SUM(G69:H69)</f>
        <v>200000</v>
      </c>
      <c r="G69" s="173">
        <v>200000</v>
      </c>
      <c r="H69" s="182"/>
      <c r="I69" s="183"/>
      <c r="J69" s="183"/>
      <c r="K69" s="184"/>
      <c r="L69" s="145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</row>
    <row r="70" spans="1:80" s="102" customFormat="1" ht="27" customHeight="1" thickBot="1">
      <c r="A70" s="413" t="s">
        <v>250</v>
      </c>
      <c r="B70" s="414"/>
      <c r="C70" s="414"/>
      <c r="D70" s="414"/>
      <c r="E70" s="415"/>
      <c r="F70" s="185">
        <f>SUM(F7,F12,F21,F31,F43,F50,F54,F58,F67)</f>
        <v>12466784</v>
      </c>
      <c r="G70" s="185">
        <f>SUM(G7,G12,G21,G31,G43,G50,G54,G58,G67)</f>
        <v>5457784</v>
      </c>
      <c r="H70" s="185">
        <f>SUM(H7:H68)</f>
        <v>0</v>
      </c>
      <c r="I70" s="185"/>
      <c r="J70" s="185">
        <f>SUM(J7,J12,J21,J31,J43,J50,J54,J58)</f>
        <v>7009000</v>
      </c>
      <c r="K70" s="186"/>
      <c r="L70" s="187"/>
    </row>
    <row r="71" spans="1:80" s="110" customFormat="1" ht="36" customHeight="1" thickBot="1">
      <c r="A71" s="188" t="s">
        <v>257</v>
      </c>
      <c r="B71" s="130">
        <v>700</v>
      </c>
      <c r="C71" s="130">
        <v>70005</v>
      </c>
      <c r="D71" s="130">
        <v>6050</v>
      </c>
      <c r="E71" s="134" t="s">
        <v>252</v>
      </c>
      <c r="F71" s="132">
        <f>SUM(G71)</f>
        <v>20700</v>
      </c>
      <c r="G71" s="132">
        <v>20700</v>
      </c>
      <c r="H71" s="132"/>
      <c r="I71" s="134"/>
      <c r="J71" s="134"/>
      <c r="K71" s="136"/>
      <c r="L71" s="128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</row>
    <row r="72" spans="1:80" s="101" customFormat="1" ht="48" customHeight="1" thickBot="1">
      <c r="A72" s="129" t="s">
        <v>260</v>
      </c>
      <c r="B72" s="130">
        <v>700</v>
      </c>
      <c r="C72" s="130">
        <v>70005</v>
      </c>
      <c r="D72" s="130">
        <v>6050</v>
      </c>
      <c r="E72" s="134" t="s">
        <v>254</v>
      </c>
      <c r="F72" s="132">
        <f>110000+39000</f>
        <v>149000</v>
      </c>
      <c r="G72" s="132">
        <f>50000+39000</f>
        <v>89000</v>
      </c>
      <c r="H72" s="132"/>
      <c r="I72" s="134"/>
      <c r="J72" s="135" t="s">
        <v>255</v>
      </c>
      <c r="K72" s="136"/>
      <c r="L72" s="128"/>
    </row>
    <row r="73" spans="1:80" s="111" customFormat="1" ht="27" customHeight="1" thickBot="1">
      <c r="A73" s="413" t="s">
        <v>256</v>
      </c>
      <c r="B73" s="414"/>
      <c r="C73" s="414"/>
      <c r="D73" s="414"/>
      <c r="E73" s="415"/>
      <c r="F73" s="185">
        <f>SUM(F71:F72)</f>
        <v>169700</v>
      </c>
      <c r="G73" s="185">
        <f>SUM(G71:G72)</f>
        <v>109700</v>
      </c>
      <c r="H73" s="185">
        <f>SUM(H71:H71)</f>
        <v>0</v>
      </c>
      <c r="I73" s="185"/>
      <c r="J73" s="185">
        <v>60000</v>
      </c>
      <c r="K73" s="186"/>
      <c r="L73" s="189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</row>
    <row r="74" spans="1:80" s="103" customFormat="1" ht="39" customHeight="1" thickBot="1">
      <c r="A74" s="130" t="s">
        <v>263</v>
      </c>
      <c r="B74" s="130">
        <v>710</v>
      </c>
      <c r="C74" s="130">
        <v>71095</v>
      </c>
      <c r="D74" s="130">
        <v>6639</v>
      </c>
      <c r="E74" s="134" t="s">
        <v>258</v>
      </c>
      <c r="F74" s="132">
        <f>G74</f>
        <v>70572</v>
      </c>
      <c r="G74" s="132">
        <f>80330-9758</f>
        <v>70572</v>
      </c>
      <c r="H74" s="132"/>
      <c r="I74" s="134"/>
      <c r="J74" s="134"/>
      <c r="K74" s="136"/>
      <c r="L74" s="190" t="s">
        <v>148</v>
      </c>
    </row>
    <row r="75" spans="1:80" s="101" customFormat="1" ht="27" customHeight="1" thickBot="1">
      <c r="A75" s="413" t="s">
        <v>259</v>
      </c>
      <c r="B75" s="414"/>
      <c r="C75" s="414"/>
      <c r="D75" s="414"/>
      <c r="E75" s="415"/>
      <c r="F75" s="185">
        <f>F74</f>
        <v>70572</v>
      </c>
      <c r="G75" s="185">
        <f>G74</f>
        <v>70572</v>
      </c>
      <c r="H75" s="185">
        <f>H74</f>
        <v>0</v>
      </c>
      <c r="I75" s="185"/>
      <c r="J75" s="185"/>
      <c r="K75" s="186"/>
      <c r="L75" s="189"/>
    </row>
    <row r="76" spans="1:80" s="98" customFormat="1" ht="30" customHeight="1" thickBot="1">
      <c r="A76" s="129" t="s">
        <v>265</v>
      </c>
      <c r="B76" s="130">
        <v>750</v>
      </c>
      <c r="C76" s="130">
        <v>75019</v>
      </c>
      <c r="D76" s="130">
        <v>6060</v>
      </c>
      <c r="E76" s="137" t="s">
        <v>261</v>
      </c>
      <c r="F76" s="132">
        <f>SUM(G76:H76)</f>
        <v>31980</v>
      </c>
      <c r="G76" s="132">
        <f>50000-15000-3020</f>
        <v>31980</v>
      </c>
      <c r="H76" s="132"/>
      <c r="I76" s="142"/>
      <c r="J76" s="142"/>
      <c r="K76" s="144"/>
      <c r="L76" s="191"/>
    </row>
    <row r="77" spans="1:80" s="106" customFormat="1" ht="27" customHeight="1" thickBot="1">
      <c r="A77" s="413" t="s">
        <v>262</v>
      </c>
      <c r="B77" s="414"/>
      <c r="C77" s="414"/>
      <c r="D77" s="414"/>
      <c r="E77" s="415"/>
      <c r="F77" s="185">
        <f>SUM(F76:F76)</f>
        <v>31980</v>
      </c>
      <c r="G77" s="185">
        <f>SUM(G76:G76)</f>
        <v>31980</v>
      </c>
      <c r="H77" s="185"/>
      <c r="I77" s="192"/>
      <c r="J77" s="192"/>
      <c r="K77" s="186"/>
      <c r="L77" s="189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</row>
    <row r="78" spans="1:80" s="98" customFormat="1" ht="51" customHeight="1" thickBot="1">
      <c r="A78" s="130" t="s">
        <v>268</v>
      </c>
      <c r="B78" s="130">
        <v>750</v>
      </c>
      <c r="C78" s="130">
        <v>75020</v>
      </c>
      <c r="D78" s="130">
        <v>6050</v>
      </c>
      <c r="E78" s="137" t="s">
        <v>264</v>
      </c>
      <c r="F78" s="132">
        <f>SUM(G78:H78)</f>
        <v>280000</v>
      </c>
      <c r="G78" s="132">
        <f>200000+80000</f>
        <v>280000</v>
      </c>
      <c r="H78" s="132"/>
      <c r="I78" s="134"/>
      <c r="J78" s="134"/>
      <c r="K78" s="144"/>
      <c r="L78" s="190" t="s">
        <v>148</v>
      </c>
    </row>
    <row r="79" spans="1:80" s="101" customFormat="1" ht="30.75" customHeight="1" thickBot="1">
      <c r="A79" s="194" t="s">
        <v>272</v>
      </c>
      <c r="B79" s="130">
        <v>750</v>
      </c>
      <c r="C79" s="130">
        <v>75020</v>
      </c>
      <c r="D79" s="130">
        <v>6060</v>
      </c>
      <c r="E79" s="195" t="s">
        <v>266</v>
      </c>
      <c r="F79" s="132">
        <f>G79</f>
        <v>50000</v>
      </c>
      <c r="G79" s="132">
        <v>50000</v>
      </c>
      <c r="H79" s="132"/>
      <c r="I79" s="134"/>
      <c r="J79" s="134"/>
      <c r="K79" s="193"/>
      <c r="L79" s="196"/>
    </row>
    <row r="80" spans="1:80" s="103" customFormat="1" ht="27" customHeight="1" thickBot="1">
      <c r="A80" s="413" t="s">
        <v>267</v>
      </c>
      <c r="B80" s="414"/>
      <c r="C80" s="414"/>
      <c r="D80" s="414"/>
      <c r="E80" s="415"/>
      <c r="F80" s="185">
        <f>SUM(F78:F79)</f>
        <v>330000</v>
      </c>
      <c r="G80" s="185">
        <f>SUM(G78:G79)</f>
        <v>330000</v>
      </c>
      <c r="H80" s="185"/>
      <c r="I80" s="192"/>
      <c r="J80" s="192"/>
      <c r="K80" s="186"/>
      <c r="L80" s="197"/>
    </row>
    <row r="81" spans="1:80" s="101" customFormat="1" ht="38.25" customHeight="1" thickBot="1">
      <c r="A81" s="130" t="s">
        <v>275</v>
      </c>
      <c r="B81" s="130">
        <v>752</v>
      </c>
      <c r="C81" s="130">
        <v>75295</v>
      </c>
      <c r="D81" s="130">
        <v>6060</v>
      </c>
      <c r="E81" s="137" t="s">
        <v>269</v>
      </c>
      <c r="F81" s="132">
        <v>17685</v>
      </c>
      <c r="G81" s="132"/>
      <c r="H81" s="132"/>
      <c r="I81" s="134"/>
      <c r="J81" s="135" t="s">
        <v>270</v>
      </c>
      <c r="K81" s="136"/>
      <c r="L81" s="198"/>
    </row>
    <row r="82" spans="1:80" s="103" customFormat="1" ht="27" customHeight="1" thickBot="1">
      <c r="A82" s="413" t="s">
        <v>271</v>
      </c>
      <c r="B82" s="414"/>
      <c r="C82" s="414"/>
      <c r="D82" s="414"/>
      <c r="E82" s="415"/>
      <c r="F82" s="185">
        <f>SUM(F81)</f>
        <v>17685</v>
      </c>
      <c r="G82" s="185">
        <f>SUM(G81)</f>
        <v>0</v>
      </c>
      <c r="H82" s="185"/>
      <c r="I82" s="192"/>
      <c r="J82" s="185">
        <v>17685</v>
      </c>
      <c r="K82" s="186"/>
      <c r="L82" s="197"/>
    </row>
    <row r="83" spans="1:80" s="103" customFormat="1" ht="48.75" customHeight="1" thickBot="1">
      <c r="A83" s="129" t="s">
        <v>278</v>
      </c>
      <c r="B83" s="130">
        <v>754</v>
      </c>
      <c r="C83" s="130">
        <v>75404</v>
      </c>
      <c r="D83" s="130">
        <v>6170</v>
      </c>
      <c r="E83" s="134" t="s">
        <v>273</v>
      </c>
      <c r="F83" s="132">
        <f>SUM(G83:H83)</f>
        <v>50000</v>
      </c>
      <c r="G83" s="132">
        <v>50000</v>
      </c>
      <c r="H83" s="132"/>
      <c r="I83" s="134"/>
      <c r="J83" s="134"/>
      <c r="K83" s="136"/>
      <c r="L83" s="198"/>
    </row>
    <row r="84" spans="1:80" s="101" customFormat="1" ht="48.75" customHeight="1" thickBot="1">
      <c r="A84" s="129" t="s">
        <v>281</v>
      </c>
      <c r="B84" s="130">
        <v>754</v>
      </c>
      <c r="C84" s="130">
        <v>75404</v>
      </c>
      <c r="D84" s="130">
        <v>6170</v>
      </c>
      <c r="E84" s="134" t="s">
        <v>337</v>
      </c>
      <c r="F84" s="132">
        <f>SUM(G84:H84)</f>
        <v>16000</v>
      </c>
      <c r="G84" s="132">
        <v>16000</v>
      </c>
      <c r="H84" s="132"/>
      <c r="I84" s="134"/>
      <c r="J84" s="134"/>
      <c r="K84" s="136"/>
      <c r="L84" s="198"/>
    </row>
    <row r="85" spans="1:80" s="103" customFormat="1" ht="27" customHeight="1" thickBot="1">
      <c r="A85" s="413" t="s">
        <v>274</v>
      </c>
      <c r="B85" s="414"/>
      <c r="C85" s="414"/>
      <c r="D85" s="414"/>
      <c r="E85" s="415"/>
      <c r="F85" s="185">
        <f>SUM(F83:F84)</f>
        <v>66000</v>
      </c>
      <c r="G85" s="185">
        <f>SUM(G83:G84)</f>
        <v>66000</v>
      </c>
      <c r="H85" s="185"/>
      <c r="I85" s="192"/>
      <c r="J85" s="192"/>
      <c r="K85" s="186"/>
      <c r="L85" s="197"/>
    </row>
    <row r="86" spans="1:80" s="103" customFormat="1" ht="42.75" customHeight="1" thickBot="1">
      <c r="A86" s="130" t="s">
        <v>284</v>
      </c>
      <c r="B86" s="130">
        <v>754</v>
      </c>
      <c r="C86" s="130">
        <v>75410</v>
      </c>
      <c r="D86" s="130">
        <v>6170</v>
      </c>
      <c r="E86" s="137" t="s">
        <v>276</v>
      </c>
      <c r="F86" s="199">
        <f>G86</f>
        <v>200000</v>
      </c>
      <c r="G86" s="199">
        <v>200000</v>
      </c>
      <c r="H86" s="200"/>
      <c r="I86" s="137"/>
      <c r="J86" s="137"/>
      <c r="K86" s="136"/>
      <c r="L86" s="201"/>
    </row>
    <row r="87" spans="1:80" s="101" customFormat="1" ht="27" customHeight="1" thickBot="1">
      <c r="A87" s="413" t="s">
        <v>277</v>
      </c>
      <c r="B87" s="414"/>
      <c r="C87" s="414"/>
      <c r="D87" s="414"/>
      <c r="E87" s="415"/>
      <c r="F87" s="185">
        <f>SUM(F86)</f>
        <v>200000</v>
      </c>
      <c r="G87" s="185">
        <f>SUM(G86)</f>
        <v>200000</v>
      </c>
      <c r="H87" s="185"/>
      <c r="I87" s="192"/>
      <c r="J87" s="192"/>
      <c r="K87" s="186"/>
      <c r="L87" s="202"/>
    </row>
    <row r="88" spans="1:80" s="203" customFormat="1" ht="31.5" customHeight="1" thickBot="1">
      <c r="A88" s="130" t="s">
        <v>287</v>
      </c>
      <c r="B88" s="130">
        <v>758</v>
      </c>
      <c r="C88" s="130">
        <v>75818</v>
      </c>
      <c r="D88" s="130">
        <v>6800</v>
      </c>
      <c r="E88" s="137" t="s">
        <v>279</v>
      </c>
      <c r="F88" s="132">
        <f>G88</f>
        <v>299950</v>
      </c>
      <c r="G88" s="132">
        <f>395570-271-16266-14083-26000-39000</f>
        <v>299950</v>
      </c>
      <c r="H88" s="132"/>
      <c r="I88" s="134"/>
      <c r="J88" s="134"/>
      <c r="K88" s="136"/>
      <c r="L88" s="198"/>
    </row>
    <row r="89" spans="1:80" s="101" customFormat="1" ht="27" customHeight="1" thickBot="1">
      <c r="A89" s="413" t="s">
        <v>280</v>
      </c>
      <c r="B89" s="414"/>
      <c r="C89" s="414"/>
      <c r="D89" s="414"/>
      <c r="E89" s="415"/>
      <c r="F89" s="185">
        <f>SUM(F88)</f>
        <v>299950</v>
      </c>
      <c r="G89" s="185">
        <f>SUM(G88)</f>
        <v>299950</v>
      </c>
      <c r="H89" s="185"/>
      <c r="I89" s="192"/>
      <c r="J89" s="192"/>
      <c r="K89" s="186"/>
      <c r="L89" s="113"/>
    </row>
    <row r="90" spans="1:80" s="100" customFormat="1" ht="31.5" customHeight="1" thickBot="1">
      <c r="A90" s="129" t="s">
        <v>289</v>
      </c>
      <c r="B90" s="130">
        <v>801</v>
      </c>
      <c r="C90" s="130">
        <v>80115</v>
      </c>
      <c r="D90" s="130">
        <v>6050</v>
      </c>
      <c r="E90" s="134" t="s">
        <v>282</v>
      </c>
      <c r="F90" s="132">
        <f>SUM(G90:H90)</f>
        <v>4000000</v>
      </c>
      <c r="G90" s="132">
        <v>300000</v>
      </c>
      <c r="H90" s="132">
        <f>3500000+200000</f>
        <v>3700000</v>
      </c>
      <c r="I90" s="134"/>
      <c r="J90" s="135"/>
      <c r="K90" s="136"/>
      <c r="L90" s="209" t="s">
        <v>148</v>
      </c>
    </row>
    <row r="91" spans="1:80" s="103" customFormat="1" ht="27" customHeight="1" thickBot="1">
      <c r="A91" s="413" t="s">
        <v>283</v>
      </c>
      <c r="B91" s="414"/>
      <c r="C91" s="414"/>
      <c r="D91" s="414"/>
      <c r="E91" s="415"/>
      <c r="F91" s="185">
        <f>SUM(F90:F90)</f>
        <v>4000000</v>
      </c>
      <c r="G91" s="185">
        <f>SUM(G90:G90)</f>
        <v>300000</v>
      </c>
      <c r="H91" s="185">
        <f>SUM(H90:H90)</f>
        <v>3700000</v>
      </c>
      <c r="I91" s="185"/>
      <c r="J91" s="185"/>
      <c r="K91" s="186"/>
      <c r="L91" s="197"/>
    </row>
    <row r="92" spans="1:80" s="98" customFormat="1" ht="33" customHeight="1" thickBot="1">
      <c r="A92" s="129" t="s">
        <v>292</v>
      </c>
      <c r="B92" s="130">
        <v>801</v>
      </c>
      <c r="C92" s="130">
        <v>80120</v>
      </c>
      <c r="D92" s="130">
        <v>6050</v>
      </c>
      <c r="E92" s="134" t="s">
        <v>285</v>
      </c>
      <c r="F92" s="132">
        <f>SUM(G92:H92)</f>
        <v>1890000</v>
      </c>
      <c r="G92" s="132">
        <f>1443866+10000-910000</f>
        <v>543866</v>
      </c>
      <c r="H92" s="132">
        <f>1556134-200000-10000</f>
        <v>1346134</v>
      </c>
      <c r="I92" s="134"/>
      <c r="J92" s="134"/>
      <c r="K92" s="136"/>
      <c r="L92" s="209" t="s">
        <v>148</v>
      </c>
    </row>
    <row r="93" spans="1:80" s="114" customFormat="1" ht="27" customHeight="1" thickBot="1">
      <c r="A93" s="413" t="s">
        <v>286</v>
      </c>
      <c r="B93" s="414"/>
      <c r="C93" s="414"/>
      <c r="D93" s="414"/>
      <c r="E93" s="415"/>
      <c r="F93" s="185">
        <f>SUM(F92:F92)</f>
        <v>1890000</v>
      </c>
      <c r="G93" s="185">
        <f>SUM(G92:G92)</f>
        <v>543866</v>
      </c>
      <c r="H93" s="185">
        <f>SUM(H92:H92)</f>
        <v>1346134</v>
      </c>
      <c r="I93" s="192"/>
      <c r="J93" s="192"/>
      <c r="K93" s="186"/>
      <c r="L93" s="20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</row>
    <row r="94" spans="1:80" s="112" customFormat="1" ht="41.25" customHeight="1" thickBot="1">
      <c r="A94" s="384" t="s">
        <v>294</v>
      </c>
      <c r="B94" s="374">
        <v>851</v>
      </c>
      <c r="C94" s="374">
        <v>85111</v>
      </c>
      <c r="D94" s="374">
        <v>6010</v>
      </c>
      <c r="E94" s="383" t="s">
        <v>288</v>
      </c>
      <c r="F94" s="382">
        <f>SUM(G94:H94)</f>
        <v>4058450</v>
      </c>
      <c r="G94" s="382">
        <f>3700000-3450+361900</f>
        <v>4058450</v>
      </c>
      <c r="H94" s="385"/>
      <c r="I94" s="378"/>
      <c r="J94" s="378"/>
      <c r="K94" s="386"/>
      <c r="L94" s="205"/>
    </row>
    <row r="95" spans="1:80" s="98" customFormat="1" ht="38.25" customHeight="1" thickBot="1">
      <c r="A95" s="204" t="s">
        <v>298</v>
      </c>
      <c r="B95" s="130">
        <v>851</v>
      </c>
      <c r="C95" s="130">
        <v>85111</v>
      </c>
      <c r="D95" s="130">
        <v>6230</v>
      </c>
      <c r="E95" s="134" t="s">
        <v>290</v>
      </c>
      <c r="F95" s="132">
        <f>SUM(G95:H95)</f>
        <v>140000</v>
      </c>
      <c r="G95" s="132">
        <v>140000</v>
      </c>
      <c r="H95" s="167"/>
      <c r="I95" s="142"/>
      <c r="J95" s="142"/>
      <c r="K95" s="144"/>
      <c r="L95" s="206"/>
    </row>
    <row r="96" spans="1:80" s="114" customFormat="1" ht="27" customHeight="1" thickBot="1">
      <c r="A96" s="413" t="s">
        <v>291</v>
      </c>
      <c r="B96" s="414"/>
      <c r="C96" s="414"/>
      <c r="D96" s="414"/>
      <c r="E96" s="415"/>
      <c r="F96" s="185">
        <f>SUM(F94:F95)</f>
        <v>4198450</v>
      </c>
      <c r="G96" s="185">
        <f>SUM(G94:G95)</f>
        <v>4198450</v>
      </c>
      <c r="H96" s="185">
        <f>SUM(H94:H94)</f>
        <v>0</v>
      </c>
      <c r="I96" s="192"/>
      <c r="J96" s="192"/>
      <c r="K96" s="186"/>
      <c r="L96" s="20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</row>
    <row r="97" spans="1:80" s="98" customFormat="1" ht="40.5" customHeight="1" thickBot="1">
      <c r="A97" s="129" t="s">
        <v>301</v>
      </c>
      <c r="B97" s="130">
        <v>852</v>
      </c>
      <c r="C97" s="130">
        <v>85202</v>
      </c>
      <c r="D97" s="130">
        <v>6050</v>
      </c>
      <c r="E97" s="137" t="s">
        <v>293</v>
      </c>
      <c r="F97" s="132">
        <f>SUM(G97:H97)</f>
        <v>0</v>
      </c>
      <c r="G97" s="132">
        <f>50000-50000</f>
        <v>0</v>
      </c>
      <c r="H97" s="167"/>
      <c r="I97" s="142"/>
      <c r="J97" s="142"/>
      <c r="K97" s="144"/>
      <c r="L97" s="207"/>
    </row>
    <row r="98" spans="1:80" s="115" customFormat="1" ht="38.25" customHeight="1" thickBot="1">
      <c r="A98" s="188" t="s">
        <v>336</v>
      </c>
      <c r="B98" s="180">
        <v>852</v>
      </c>
      <c r="C98" s="180">
        <v>85202</v>
      </c>
      <c r="D98" s="180">
        <v>6050</v>
      </c>
      <c r="E98" s="156" t="s">
        <v>295</v>
      </c>
      <c r="F98" s="173">
        <f>SUM(G98:H98)</f>
        <v>50000</v>
      </c>
      <c r="G98" s="173">
        <v>50000</v>
      </c>
      <c r="H98" s="182"/>
      <c r="I98" s="183"/>
      <c r="J98" s="183"/>
      <c r="K98" s="208" t="s">
        <v>296</v>
      </c>
      <c r="L98" s="209" t="s">
        <v>148</v>
      </c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8"/>
      <c r="CA98" s="98"/>
      <c r="CB98" s="98"/>
    </row>
    <row r="99" spans="1:80" s="112" customFormat="1" ht="27" customHeight="1" thickBot="1">
      <c r="A99" s="413" t="s">
        <v>297</v>
      </c>
      <c r="B99" s="414"/>
      <c r="C99" s="414"/>
      <c r="D99" s="414"/>
      <c r="E99" s="415"/>
      <c r="F99" s="185">
        <f>SUM(F97:F98)</f>
        <v>50000</v>
      </c>
      <c r="G99" s="185">
        <f>SUM(G97:G98)</f>
        <v>50000</v>
      </c>
      <c r="H99" s="185"/>
      <c r="I99" s="192"/>
      <c r="J99" s="192"/>
      <c r="K99" s="186"/>
      <c r="L99" s="202"/>
    </row>
    <row r="100" spans="1:80" s="98" customFormat="1" ht="90" customHeight="1" thickBot="1">
      <c r="A100" s="130" t="s">
        <v>363</v>
      </c>
      <c r="B100" s="130">
        <v>853</v>
      </c>
      <c r="C100" s="130">
        <v>85311</v>
      </c>
      <c r="D100" s="130">
        <v>6230</v>
      </c>
      <c r="E100" s="137" t="s">
        <v>373</v>
      </c>
      <c r="F100" s="132">
        <f>G100</f>
        <v>70000</v>
      </c>
      <c r="G100" s="132">
        <v>70000</v>
      </c>
      <c r="H100" s="132"/>
      <c r="I100" s="134"/>
      <c r="J100" s="134"/>
      <c r="K100" s="136"/>
      <c r="L100" s="198"/>
    </row>
    <row r="101" spans="1:80" s="112" customFormat="1" ht="27" customHeight="1" thickBot="1">
      <c r="A101" s="413" t="s">
        <v>342</v>
      </c>
      <c r="B101" s="414"/>
      <c r="C101" s="414"/>
      <c r="D101" s="414"/>
      <c r="E101" s="415"/>
      <c r="F101" s="185">
        <f>F100</f>
        <v>70000</v>
      </c>
      <c r="G101" s="185">
        <f>G100</f>
        <v>70000</v>
      </c>
      <c r="H101" s="185"/>
      <c r="I101" s="192"/>
      <c r="J101" s="192"/>
      <c r="K101" s="186"/>
      <c r="L101" s="202"/>
    </row>
    <row r="102" spans="1:80" s="111" customFormat="1" ht="34.5" customHeight="1" thickBot="1">
      <c r="A102" s="194" t="s">
        <v>364</v>
      </c>
      <c r="B102" s="194">
        <v>854</v>
      </c>
      <c r="C102" s="194">
        <v>85403</v>
      </c>
      <c r="D102" s="194">
        <v>6060</v>
      </c>
      <c r="E102" s="210" t="s">
        <v>299</v>
      </c>
      <c r="F102" s="175">
        <f>G102</f>
        <v>80000</v>
      </c>
      <c r="G102" s="175">
        <v>80000</v>
      </c>
      <c r="H102" s="211"/>
      <c r="I102" s="212"/>
      <c r="J102" s="213"/>
      <c r="K102" s="214"/>
      <c r="L102" s="215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1"/>
      <c r="BN102" s="101"/>
      <c r="BO102" s="101"/>
      <c r="BP102" s="101"/>
      <c r="BQ102" s="101"/>
      <c r="BR102" s="101"/>
      <c r="BS102" s="101"/>
      <c r="BT102" s="101"/>
      <c r="BU102" s="101"/>
      <c r="BV102" s="101"/>
      <c r="BW102" s="101"/>
      <c r="BX102" s="101"/>
      <c r="BY102" s="101"/>
      <c r="BZ102" s="101"/>
      <c r="CA102" s="101"/>
      <c r="CB102" s="101"/>
    </row>
    <row r="103" spans="1:80" s="112" customFormat="1" ht="27" customHeight="1" thickBot="1">
      <c r="A103" s="413" t="s">
        <v>300</v>
      </c>
      <c r="B103" s="414"/>
      <c r="C103" s="414"/>
      <c r="D103" s="414"/>
      <c r="E103" s="415"/>
      <c r="F103" s="185">
        <f>SUM(F102:F102)</f>
        <v>80000</v>
      </c>
      <c r="G103" s="185">
        <f>SUM(G102:G102)</f>
        <v>80000</v>
      </c>
      <c r="H103" s="185"/>
      <c r="I103" s="192"/>
      <c r="J103" s="216"/>
      <c r="K103" s="186"/>
      <c r="L103" s="202"/>
    </row>
    <row r="104" spans="1:80" s="98" customFormat="1" ht="36" customHeight="1" thickBot="1">
      <c r="A104" s="130" t="s">
        <v>369</v>
      </c>
      <c r="B104" s="130">
        <v>854</v>
      </c>
      <c r="C104" s="130">
        <v>85421</v>
      </c>
      <c r="D104" s="130">
        <v>6060</v>
      </c>
      <c r="E104" s="137" t="s">
        <v>302</v>
      </c>
      <c r="F104" s="132">
        <f>G104</f>
        <v>90053</v>
      </c>
      <c r="G104" s="132">
        <f>45053+45000</f>
        <v>90053</v>
      </c>
      <c r="H104" s="132"/>
      <c r="I104" s="134"/>
      <c r="J104" s="217"/>
      <c r="K104" s="136"/>
      <c r="L104" s="218"/>
    </row>
    <row r="105" spans="1:80" s="112" customFormat="1" ht="27" customHeight="1" thickBot="1">
      <c r="A105" s="413" t="s">
        <v>303</v>
      </c>
      <c r="B105" s="414"/>
      <c r="C105" s="414"/>
      <c r="D105" s="414"/>
      <c r="E105" s="415"/>
      <c r="F105" s="185">
        <f>SUM(F104)</f>
        <v>90053</v>
      </c>
      <c r="G105" s="185">
        <f>SUM(G104)</f>
        <v>90053</v>
      </c>
      <c r="H105" s="185"/>
      <c r="I105" s="192"/>
      <c r="J105" s="216"/>
      <c r="K105" s="186"/>
      <c r="L105" s="189"/>
    </row>
    <row r="106" spans="1:80" s="117" customFormat="1" ht="27" customHeight="1" thickBot="1">
      <c r="A106" s="416" t="s">
        <v>304</v>
      </c>
      <c r="B106" s="417"/>
      <c r="C106" s="417"/>
      <c r="D106" s="417"/>
      <c r="E106" s="418"/>
      <c r="F106" s="219">
        <f>F70+F73+F75+F77+F80+F82+F85+F87+F89+F91+F93+F96+F99+F101+F103+F105</f>
        <v>24031174</v>
      </c>
      <c r="G106" s="219">
        <f>G70+G73+G75+G77+G80+G82+G85+G87+G89+G91+G93+G96+G99+G101+G103+G105</f>
        <v>11898355</v>
      </c>
      <c r="H106" s="219">
        <f t="shared" ref="H106:K106" si="2">H70+H73+H75+H77+H80+H82+H85+H87+H89+H91+H93+H96+H99+H101+H103+H105</f>
        <v>5046134</v>
      </c>
      <c r="I106" s="219">
        <f t="shared" si="2"/>
        <v>0</v>
      </c>
      <c r="J106" s="219">
        <f>J70+J73+J75+J77+J80+J82+J85+J87+J89+J91+J93+J96+J99+J101+J103+J105</f>
        <v>7086685</v>
      </c>
      <c r="K106" s="219">
        <f t="shared" si="2"/>
        <v>0</v>
      </c>
      <c r="L106" s="220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</row>
    <row r="107" spans="1:80" s="117" customFormat="1" ht="18" customHeight="1">
      <c r="A107" s="92"/>
      <c r="B107" s="92"/>
      <c r="C107" s="92"/>
      <c r="D107" s="92"/>
      <c r="E107" s="92"/>
      <c r="F107" s="118" t="s">
        <v>305</v>
      </c>
      <c r="G107" s="92"/>
      <c r="H107" s="92"/>
      <c r="I107" s="92"/>
      <c r="J107" s="92"/>
      <c r="K107" s="93"/>
      <c r="L107" s="91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</row>
    <row r="108" spans="1:80" s="112" customFormat="1" ht="27" customHeight="1">
      <c r="A108" s="119" t="s">
        <v>306</v>
      </c>
      <c r="B108" s="120"/>
      <c r="C108" s="120"/>
      <c r="D108" s="120"/>
      <c r="E108" s="92"/>
      <c r="F108" s="120"/>
      <c r="G108" s="121"/>
      <c r="H108" s="120"/>
      <c r="I108" s="120"/>
      <c r="J108" s="120"/>
      <c r="K108" s="122"/>
      <c r="L108" s="91"/>
    </row>
    <row r="109" spans="1:80" s="106" customFormat="1" ht="20.25" customHeight="1">
      <c r="A109" s="119" t="s">
        <v>307</v>
      </c>
      <c r="B109" s="120"/>
      <c r="C109" s="120"/>
      <c r="D109" s="120"/>
      <c r="E109" s="92"/>
      <c r="F109" s="120"/>
      <c r="G109" s="121"/>
      <c r="H109" s="120"/>
      <c r="I109" s="120"/>
      <c r="J109" s="120"/>
      <c r="K109" s="122"/>
      <c r="L109" s="9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</row>
    <row r="110" spans="1:80" s="112" customFormat="1" ht="21" customHeight="1">
      <c r="A110" s="119" t="s">
        <v>308</v>
      </c>
      <c r="B110" s="120"/>
      <c r="C110" s="120"/>
      <c r="D110" s="120"/>
      <c r="E110" s="92"/>
      <c r="F110" s="121"/>
      <c r="G110" s="121"/>
      <c r="H110" s="120"/>
      <c r="I110" s="120"/>
      <c r="J110" s="120"/>
      <c r="K110" s="122"/>
      <c r="L110" s="91"/>
    </row>
    <row r="111" spans="1:80" s="112" customFormat="1" ht="27" customHeight="1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3"/>
      <c r="L111" s="90"/>
    </row>
    <row r="112" spans="1:80" s="101" customFormat="1" ht="28.5" customHeight="1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3"/>
      <c r="L112" s="90"/>
    </row>
    <row r="113" spans="1:80" s="112" customFormat="1" ht="30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9"/>
      <c r="L113" s="90"/>
    </row>
    <row r="114" spans="1:80" s="99" customFormat="1" ht="27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9"/>
      <c r="L114" s="90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98"/>
      <c r="BD114" s="98"/>
      <c r="BE114" s="98"/>
      <c r="BF114" s="98"/>
      <c r="BG114" s="98"/>
      <c r="BH114" s="98"/>
      <c r="BI114" s="98"/>
      <c r="BJ114" s="98"/>
      <c r="BK114" s="98"/>
      <c r="BL114" s="98"/>
      <c r="BM114" s="98"/>
      <c r="BN114" s="98"/>
      <c r="BO114" s="98"/>
      <c r="BP114" s="98"/>
      <c r="BQ114" s="98"/>
      <c r="BR114" s="98"/>
      <c r="BS114" s="98"/>
      <c r="BT114" s="98"/>
      <c r="BU114" s="98"/>
      <c r="BV114" s="98"/>
      <c r="BW114" s="98"/>
      <c r="BX114" s="98"/>
      <c r="BY114" s="98"/>
      <c r="BZ114" s="98"/>
      <c r="CA114" s="98"/>
      <c r="CB114" s="98"/>
    </row>
    <row r="116" spans="1:80" s="123" customFormat="1" ht="12.7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9"/>
      <c r="L116" s="90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7"/>
      <c r="AV116" s="97"/>
      <c r="AW116" s="97"/>
      <c r="AX116" s="97"/>
      <c r="AY116" s="97"/>
      <c r="AZ116" s="97"/>
      <c r="BA116" s="97"/>
      <c r="BB116" s="97"/>
      <c r="BC116" s="97"/>
      <c r="BD116" s="97"/>
      <c r="BE116" s="97"/>
      <c r="BF116" s="97"/>
      <c r="BG116" s="97"/>
      <c r="BH116" s="97"/>
      <c r="BI116" s="97"/>
      <c r="BJ116" s="97"/>
      <c r="BK116" s="97"/>
      <c r="BL116" s="97"/>
      <c r="BM116" s="97"/>
      <c r="BN116" s="97"/>
      <c r="BO116" s="97"/>
      <c r="BP116" s="97"/>
      <c r="BQ116" s="97"/>
      <c r="BR116" s="97"/>
      <c r="BS116" s="97"/>
      <c r="BT116" s="97"/>
      <c r="BU116" s="97"/>
      <c r="BV116" s="97"/>
      <c r="BW116" s="97"/>
      <c r="BX116" s="97"/>
      <c r="BY116" s="97"/>
      <c r="BZ116" s="97"/>
      <c r="CA116" s="97"/>
      <c r="CB116" s="97"/>
    </row>
    <row r="117" spans="1:80" s="123" customFormat="1" ht="12.7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9"/>
      <c r="L117" s="90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  <c r="AR117" s="97"/>
      <c r="AS117" s="97"/>
      <c r="AT117" s="97"/>
      <c r="AU117" s="97"/>
      <c r="AV117" s="97"/>
      <c r="AW117" s="97"/>
      <c r="AX117" s="97"/>
      <c r="AY117" s="97"/>
      <c r="AZ117" s="97"/>
      <c r="BA117" s="97"/>
      <c r="BB117" s="97"/>
      <c r="BC117" s="97"/>
      <c r="BD117" s="97"/>
      <c r="BE117" s="97"/>
      <c r="BF117" s="97"/>
      <c r="BG117" s="97"/>
      <c r="BH117" s="97"/>
      <c r="BI117" s="97"/>
      <c r="BJ117" s="97"/>
      <c r="BK117" s="97"/>
      <c r="BL117" s="97"/>
      <c r="BM117" s="97"/>
      <c r="BN117" s="97"/>
      <c r="BO117" s="97"/>
      <c r="BP117" s="97"/>
      <c r="BQ117" s="97"/>
      <c r="BR117" s="97"/>
      <c r="BS117" s="97"/>
      <c r="BT117" s="97"/>
      <c r="BU117" s="97"/>
      <c r="BV117" s="97"/>
      <c r="BW117" s="97"/>
      <c r="BX117" s="97"/>
      <c r="BY117" s="97"/>
      <c r="BZ117" s="97"/>
      <c r="CA117" s="97"/>
      <c r="CB117" s="97"/>
    </row>
    <row r="118" spans="1:80" s="123" customFormat="1" ht="12.7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9"/>
      <c r="L118" s="90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  <c r="AR118" s="97"/>
      <c r="AS118" s="97"/>
      <c r="AT118" s="97"/>
      <c r="AU118" s="97"/>
      <c r="AV118" s="97"/>
      <c r="AW118" s="97"/>
      <c r="AX118" s="97"/>
      <c r="AY118" s="97"/>
      <c r="AZ118" s="97"/>
      <c r="BA118" s="97"/>
      <c r="BB118" s="97"/>
      <c r="BC118" s="97"/>
      <c r="BD118" s="97"/>
      <c r="BE118" s="97"/>
      <c r="BF118" s="97"/>
      <c r="BG118" s="97"/>
      <c r="BH118" s="97"/>
      <c r="BI118" s="97"/>
      <c r="BJ118" s="97"/>
      <c r="BK118" s="97"/>
      <c r="BL118" s="97"/>
      <c r="BM118" s="97"/>
      <c r="BN118" s="97"/>
      <c r="BO118" s="97"/>
      <c r="BP118" s="97"/>
      <c r="BQ118" s="97"/>
      <c r="BR118" s="97"/>
      <c r="BS118" s="97"/>
      <c r="BT118" s="97"/>
      <c r="BU118" s="97"/>
      <c r="BV118" s="97"/>
      <c r="BW118" s="97"/>
      <c r="BX118" s="97"/>
      <c r="BY118" s="97"/>
      <c r="BZ118" s="97"/>
      <c r="CA118" s="97"/>
      <c r="CB118" s="97"/>
    </row>
  </sheetData>
  <sheetProtection algorithmName="SHA-512" hashValue="TdvBuJKPr44Rg4BQFkxqPzs160r1ekrQBvjuoKqZ56smIeyQJd7LwoMgh8XiHgeqEuRZq0f5cEl9pkYHIVHlwA==" saltValue="wuYoIr7Jyv6sOXYxYXZqfA==" spinCount="100000" sheet="1" objects="1" scenarios="1"/>
  <mergeCells count="36">
    <mergeCell ref="A103:E103"/>
    <mergeCell ref="A105:E105"/>
    <mergeCell ref="A106:E106"/>
    <mergeCell ref="A89:E89"/>
    <mergeCell ref="A91:E91"/>
    <mergeCell ref="A93:E93"/>
    <mergeCell ref="A96:E96"/>
    <mergeCell ref="A99:E99"/>
    <mergeCell ref="A101:E101"/>
    <mergeCell ref="A87:E87"/>
    <mergeCell ref="A50:E50"/>
    <mergeCell ref="A54:E54"/>
    <mergeCell ref="A58:E58"/>
    <mergeCell ref="A67:E67"/>
    <mergeCell ref="A70:E70"/>
    <mergeCell ref="A73:E73"/>
    <mergeCell ref="A75:E75"/>
    <mergeCell ref="A77:E77"/>
    <mergeCell ref="A80:E80"/>
    <mergeCell ref="A82:E82"/>
    <mergeCell ref="A85:E85"/>
    <mergeCell ref="L4:L5"/>
    <mergeCell ref="A7:E7"/>
    <mergeCell ref="A12:E12"/>
    <mergeCell ref="A21:E21"/>
    <mergeCell ref="A31:E31"/>
    <mergeCell ref="A43:E43"/>
    <mergeCell ref="A2:K2"/>
    <mergeCell ref="A4:A5"/>
    <mergeCell ref="B4:B5"/>
    <mergeCell ref="C4:C5"/>
    <mergeCell ref="D4:D5"/>
    <mergeCell ref="E4:E5"/>
    <mergeCell ref="F4:F5"/>
    <mergeCell ref="G4:J4"/>
    <mergeCell ref="K4:K5"/>
  </mergeCells>
  <pageMargins left="0.51181102362204722" right="0.51181102362204722" top="0.74803149606299213" bottom="0.74803149606299213" header="0.31496062992125984" footer="0.31496062992125984"/>
  <pageSetup paperSize="9" scale="80" orientation="landscape" horizontalDpi="4294967294" verticalDpi="0" r:id="rId1"/>
  <headerFooter differentOddEven="1" differentFirst="1">
    <oddFooter>&amp;C&amp;P</oddFooter>
    <evenFooter>&amp;C&amp;P</evenFooter>
    <firstHeader>&amp;RTabela Nr 2a
do uchwały Nr ................
Rady Powiatu w Otwocku
z dnia ...............................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50"/>
  </sheetPr>
  <dimension ref="A3:D26"/>
  <sheetViews>
    <sheetView showGridLines="0" workbookViewId="0">
      <selection activeCell="E24" sqref="E24"/>
    </sheetView>
  </sheetViews>
  <sheetFormatPr defaultColWidth="9.33203125" defaultRowHeight="12.75"/>
  <cols>
    <col min="1" max="1" width="5.83203125" style="3" customWidth="1"/>
    <col min="2" max="2" width="62.83203125" style="3" customWidth="1"/>
    <col min="3" max="4" width="18.83203125" style="3" customWidth="1"/>
    <col min="5" max="16384" width="9.33203125" style="3"/>
  </cols>
  <sheetData>
    <row r="3" spans="1:4" s="2" customFormat="1" ht="15" customHeight="1">
      <c r="A3" s="419" t="s">
        <v>107</v>
      </c>
      <c r="B3" s="419"/>
      <c r="C3" s="419"/>
      <c r="D3" s="419"/>
    </row>
    <row r="4" spans="1:4">
      <c r="D4" s="4"/>
    </row>
    <row r="5" spans="1:4" ht="54" customHeight="1">
      <c r="A5" s="5" t="s">
        <v>53</v>
      </c>
      <c r="B5" s="5" t="s">
        <v>58</v>
      </c>
      <c r="C5" s="6" t="s">
        <v>59</v>
      </c>
      <c r="D5" s="6" t="s">
        <v>60</v>
      </c>
    </row>
    <row r="6" spans="1:4" s="25" customFormat="1" ht="16.5" customHeight="1">
      <c r="A6" s="41">
        <v>1</v>
      </c>
      <c r="B6" s="41">
        <v>2</v>
      </c>
      <c r="C6" s="41">
        <v>3</v>
      </c>
      <c r="D6" s="42">
        <v>4</v>
      </c>
    </row>
    <row r="7" spans="1:4" s="9" customFormat="1" ht="24.75" customHeight="1">
      <c r="A7" s="7" t="s">
        <v>54</v>
      </c>
      <c r="B7" s="8" t="s">
        <v>61</v>
      </c>
      <c r="C7" s="7"/>
      <c r="D7" s="221">
        <f>SUM(D8:D9)</f>
        <v>152372870.55000001</v>
      </c>
    </row>
    <row r="8" spans="1:4" s="12" customFormat="1" ht="24.75" customHeight="1">
      <c r="A8" s="10"/>
      <c r="B8" s="11" t="s">
        <v>62</v>
      </c>
      <c r="C8" s="10"/>
      <c r="D8" s="222">
        <v>139146848.55000001</v>
      </c>
    </row>
    <row r="9" spans="1:4" s="12" customFormat="1" ht="24.75" customHeight="1">
      <c r="A9" s="10"/>
      <c r="B9" s="11" t="s">
        <v>63</v>
      </c>
      <c r="C9" s="10"/>
      <c r="D9" s="223">
        <v>13226022</v>
      </c>
    </row>
    <row r="10" spans="1:4" s="9" customFormat="1" ht="24.75" customHeight="1">
      <c r="A10" s="7" t="s">
        <v>55</v>
      </c>
      <c r="B10" s="8" t="s">
        <v>64</v>
      </c>
      <c r="C10" s="7"/>
      <c r="D10" s="224">
        <f>SUM(D11,D12)</f>
        <v>157587461.55000001</v>
      </c>
    </row>
    <row r="11" spans="1:4" s="12" customFormat="1" ht="24.75" customHeight="1">
      <c r="A11" s="10"/>
      <c r="B11" s="11" t="s">
        <v>87</v>
      </c>
      <c r="C11" s="10"/>
      <c r="D11" s="225">
        <v>133556287.55</v>
      </c>
    </row>
    <row r="12" spans="1:4" s="12" customFormat="1" ht="24.75" customHeight="1">
      <c r="A12" s="10"/>
      <c r="B12" s="11" t="s">
        <v>65</v>
      </c>
      <c r="C12" s="10"/>
      <c r="D12" s="226">
        <v>24031174</v>
      </c>
    </row>
    <row r="13" spans="1:4" s="9" customFormat="1" ht="24.75" customHeight="1">
      <c r="A13" s="7" t="s">
        <v>56</v>
      </c>
      <c r="B13" s="8" t="s">
        <v>66</v>
      </c>
      <c r="C13" s="13"/>
      <c r="D13" s="221">
        <f>D7-D10</f>
        <v>-5214591</v>
      </c>
    </row>
    <row r="14" spans="1:4" ht="24.75" customHeight="1">
      <c r="A14" s="420" t="s">
        <v>67</v>
      </c>
      <c r="B14" s="421"/>
      <c r="C14" s="14"/>
      <c r="D14" s="228">
        <f>SUM(D15:D18)</f>
        <v>11002861</v>
      </c>
    </row>
    <row r="15" spans="1:4" ht="24.75" customHeight="1">
      <c r="A15" s="15" t="s">
        <v>54</v>
      </c>
      <c r="B15" s="20" t="s">
        <v>84</v>
      </c>
      <c r="C15" s="15" t="s">
        <v>69</v>
      </c>
      <c r="D15" s="227">
        <f>3044404+168457</f>
        <v>3212861</v>
      </c>
    </row>
    <row r="16" spans="1:4" ht="32.25" customHeight="1">
      <c r="A16" s="15" t="s">
        <v>55</v>
      </c>
      <c r="B16" s="58" t="s">
        <v>100</v>
      </c>
      <c r="C16" s="15" t="s">
        <v>101</v>
      </c>
      <c r="D16" s="227">
        <v>0</v>
      </c>
    </row>
    <row r="17" spans="1:4" ht="24.75" customHeight="1">
      <c r="A17" s="15" t="s">
        <v>56</v>
      </c>
      <c r="B17" s="16" t="s">
        <v>82</v>
      </c>
      <c r="C17" s="15" t="s">
        <v>68</v>
      </c>
      <c r="D17" s="227">
        <v>7790000</v>
      </c>
    </row>
    <row r="18" spans="1:4" ht="24.75" customHeight="1">
      <c r="A18" s="15" t="s">
        <v>57</v>
      </c>
      <c r="B18" s="18" t="s">
        <v>83</v>
      </c>
      <c r="C18" s="15" t="s">
        <v>68</v>
      </c>
      <c r="D18" s="19">
        <v>0</v>
      </c>
    </row>
    <row r="19" spans="1:4" ht="24.75" customHeight="1">
      <c r="A19" s="420" t="s">
        <v>70</v>
      </c>
      <c r="B19" s="421"/>
      <c r="C19" s="21"/>
      <c r="D19" s="228">
        <f>SUM(D20:D22)</f>
        <v>5788270</v>
      </c>
    </row>
    <row r="20" spans="1:4" s="59" customFormat="1" ht="24.75" customHeight="1">
      <c r="A20" s="15" t="s">
        <v>54</v>
      </c>
      <c r="B20" s="18" t="s">
        <v>103</v>
      </c>
      <c r="C20" s="15" t="s">
        <v>102</v>
      </c>
      <c r="D20" s="227">
        <v>0</v>
      </c>
    </row>
    <row r="21" spans="1:4" ht="24.75" customHeight="1">
      <c r="A21" s="15" t="s">
        <v>55</v>
      </c>
      <c r="B21" s="18" t="s">
        <v>85</v>
      </c>
      <c r="C21" s="15" t="s">
        <v>71</v>
      </c>
      <c r="D21" s="227">
        <v>5788270</v>
      </c>
    </row>
    <row r="22" spans="1:4" ht="24.75" customHeight="1">
      <c r="A22" s="15" t="s">
        <v>56</v>
      </c>
      <c r="B22" s="18" t="s">
        <v>86</v>
      </c>
      <c r="C22" s="15" t="s">
        <v>71</v>
      </c>
      <c r="D22" s="17">
        <v>0</v>
      </c>
    </row>
    <row r="23" spans="1:4" ht="21.75" customHeight="1">
      <c r="A23" s="22"/>
      <c r="B23" s="23"/>
      <c r="C23" s="22"/>
      <c r="D23" s="24"/>
    </row>
    <row r="24" spans="1:4" ht="24.75" customHeight="1"/>
    <row r="25" spans="1:4" ht="24.75" customHeight="1"/>
    <row r="26" spans="1:4" ht="24.75" customHeight="1"/>
  </sheetData>
  <sheetProtection algorithmName="SHA-512" hashValue="i7OrFawLS0TnLLhP3bJ3C6j4AlFsViHetBkiPuh46dN3mPHGUr63cDGqXg7N93hzULBpkWnqT3E1o6y0mAbJ8w==" saltValue="OaQKvM+iHek3Dtefl48pEw==" spinCount="100000" sheet="1" objects="1" scenarios="1" formatColumns="0" formatRows="0"/>
  <mergeCells count="3">
    <mergeCell ref="A3:D3"/>
    <mergeCell ref="A14:B14"/>
    <mergeCell ref="A19:B19"/>
  </mergeCells>
  <printOptions horizontalCentered="1"/>
  <pageMargins left="0.27559055118110237" right="0.42" top="1.66" bottom="0.59055118110236227" header="0.87" footer="0.51181102362204722"/>
  <pageSetup paperSize="9" orientation="portrait" horizontalDpi="4294967295" verticalDpi="300" r:id="rId1"/>
  <headerFooter alignWithMargins="0">
    <oddHeader>&amp;R&amp;10Tabela Nr 3 
do uchwały Nr ...............
Rady Powiatu w Otwocku
z dnia 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99"/>
  <sheetViews>
    <sheetView zoomScaleNormal="100" workbookViewId="0">
      <pane ySplit="5" topLeftCell="A39" activePane="bottomLeft" state="frozen"/>
      <selection activeCell="C11" sqref="C11:I13"/>
      <selection pane="bottomLeft" activeCell="G55" sqref="G55"/>
    </sheetView>
  </sheetViews>
  <sheetFormatPr defaultRowHeight="12"/>
  <cols>
    <col min="1" max="1" width="4.1640625" style="323" customWidth="1"/>
    <col min="2" max="2" width="45.1640625" style="323" customWidth="1"/>
    <col min="3" max="3" width="15" style="324" customWidth="1"/>
    <col min="4" max="4" width="13.6640625" style="323" customWidth="1"/>
    <col min="5" max="5" width="13" style="323" customWidth="1"/>
    <col min="6" max="6" width="11.1640625" style="323" customWidth="1"/>
    <col min="7" max="7" width="12.5" style="323" customWidth="1"/>
    <col min="8" max="8" width="11.6640625" style="323" customWidth="1"/>
    <col min="9" max="9" width="13.6640625" style="323" customWidth="1"/>
    <col min="10" max="243" width="9.33203125" style="323"/>
    <col min="244" max="244" width="4.83203125" style="323" customWidth="1"/>
    <col min="245" max="245" width="27.33203125" style="323" customWidth="1"/>
    <col min="246" max="247" width="15.5" style="323" customWidth="1"/>
    <col min="248" max="248" width="13.6640625" style="323" customWidth="1"/>
    <col min="249" max="249" width="12.33203125" style="323" customWidth="1"/>
    <col min="250" max="250" width="13" style="323" bestFit="1" customWidth="1"/>
    <col min="251" max="251" width="11.33203125" style="323" customWidth="1"/>
    <col min="252" max="252" width="12.33203125" style="323" customWidth="1"/>
    <col min="253" max="253" width="10.33203125" style="323" customWidth="1"/>
    <col min="254" max="254" width="10.1640625" style="323" customWidth="1"/>
    <col min="255" max="255" width="13" style="323" customWidth="1"/>
    <col min="256" max="256" width="12.5" style="323" customWidth="1"/>
    <col min="257" max="257" width="11.6640625" style="323" customWidth="1"/>
    <col min="258" max="258" width="11.33203125" style="323" customWidth="1"/>
    <col min="259" max="259" width="10.33203125" style="323" customWidth="1"/>
    <col min="260" max="260" width="12" style="323" customWidth="1"/>
    <col min="261" max="499" width="9.33203125" style="323"/>
    <col min="500" max="500" width="4.83203125" style="323" customWidth="1"/>
    <col min="501" max="501" width="27.33203125" style="323" customWidth="1"/>
    <col min="502" max="503" width="15.5" style="323" customWidth="1"/>
    <col min="504" max="504" width="13.6640625" style="323" customWidth="1"/>
    <col min="505" max="505" width="12.33203125" style="323" customWidth="1"/>
    <col min="506" max="506" width="13" style="323" bestFit="1" customWidth="1"/>
    <col min="507" max="507" width="11.33203125" style="323" customWidth="1"/>
    <col min="508" max="508" width="12.33203125" style="323" customWidth="1"/>
    <col min="509" max="509" width="10.33203125" style="323" customWidth="1"/>
    <col min="510" max="510" width="10.1640625" style="323" customWidth="1"/>
    <col min="511" max="511" width="13" style="323" customWidth="1"/>
    <col min="512" max="512" width="12.5" style="323" customWidth="1"/>
    <col min="513" max="513" width="11.6640625" style="323" customWidth="1"/>
    <col min="514" max="514" width="11.33203125" style="323" customWidth="1"/>
    <col min="515" max="515" width="10.33203125" style="323" customWidth="1"/>
    <col min="516" max="516" width="12" style="323" customWidth="1"/>
    <col min="517" max="755" width="9.33203125" style="323"/>
    <col min="756" max="756" width="4.83203125" style="323" customWidth="1"/>
    <col min="757" max="757" width="27.33203125" style="323" customWidth="1"/>
    <col min="758" max="759" width="15.5" style="323" customWidth="1"/>
    <col min="760" max="760" width="13.6640625" style="323" customWidth="1"/>
    <col min="761" max="761" width="12.33203125" style="323" customWidth="1"/>
    <col min="762" max="762" width="13" style="323" bestFit="1" customWidth="1"/>
    <col min="763" max="763" width="11.33203125" style="323" customWidth="1"/>
    <col min="764" max="764" width="12.33203125" style="323" customWidth="1"/>
    <col min="765" max="765" width="10.33203125" style="323" customWidth="1"/>
    <col min="766" max="766" width="10.1640625" style="323" customWidth="1"/>
    <col min="767" max="767" width="13" style="323" customWidth="1"/>
    <col min="768" max="768" width="12.5" style="323" customWidth="1"/>
    <col min="769" max="769" width="11.6640625" style="323" customWidth="1"/>
    <col min="770" max="770" width="11.33203125" style="323" customWidth="1"/>
    <col min="771" max="771" width="10.33203125" style="323" customWidth="1"/>
    <col min="772" max="772" width="12" style="323" customWidth="1"/>
    <col min="773" max="1011" width="9.33203125" style="323"/>
    <col min="1012" max="1012" width="4.83203125" style="323" customWidth="1"/>
    <col min="1013" max="1013" width="27.33203125" style="323" customWidth="1"/>
    <col min="1014" max="1015" width="15.5" style="323" customWidth="1"/>
    <col min="1016" max="1016" width="13.6640625" style="323" customWidth="1"/>
    <col min="1017" max="1017" width="12.33203125" style="323" customWidth="1"/>
    <col min="1018" max="1018" width="13" style="323" bestFit="1" customWidth="1"/>
    <col min="1019" max="1019" width="11.33203125" style="323" customWidth="1"/>
    <col min="1020" max="1020" width="12.33203125" style="323" customWidth="1"/>
    <col min="1021" max="1021" width="10.33203125" style="323" customWidth="1"/>
    <col min="1022" max="1022" width="10.1640625" style="323" customWidth="1"/>
    <col min="1023" max="1023" width="13" style="323" customWidth="1"/>
    <col min="1024" max="1024" width="12.5" style="323" customWidth="1"/>
    <col min="1025" max="1025" width="11.6640625" style="323" customWidth="1"/>
    <col min="1026" max="1026" width="11.33203125" style="323" customWidth="1"/>
    <col min="1027" max="1027" width="10.33203125" style="323" customWidth="1"/>
    <col min="1028" max="1028" width="12" style="323" customWidth="1"/>
    <col min="1029" max="1267" width="9.33203125" style="323"/>
    <col min="1268" max="1268" width="4.83203125" style="323" customWidth="1"/>
    <col min="1269" max="1269" width="27.33203125" style="323" customWidth="1"/>
    <col min="1270" max="1271" width="15.5" style="323" customWidth="1"/>
    <col min="1272" max="1272" width="13.6640625" style="323" customWidth="1"/>
    <col min="1273" max="1273" width="12.33203125" style="323" customWidth="1"/>
    <col min="1274" max="1274" width="13" style="323" bestFit="1" customWidth="1"/>
    <col min="1275" max="1275" width="11.33203125" style="323" customWidth="1"/>
    <col min="1276" max="1276" width="12.33203125" style="323" customWidth="1"/>
    <col min="1277" max="1277" width="10.33203125" style="323" customWidth="1"/>
    <col min="1278" max="1278" width="10.1640625" style="323" customWidth="1"/>
    <col min="1279" max="1279" width="13" style="323" customWidth="1"/>
    <col min="1280" max="1280" width="12.5" style="323" customWidth="1"/>
    <col min="1281" max="1281" width="11.6640625" style="323" customWidth="1"/>
    <col min="1282" max="1282" width="11.33203125" style="323" customWidth="1"/>
    <col min="1283" max="1283" width="10.33203125" style="323" customWidth="1"/>
    <col min="1284" max="1284" width="12" style="323" customWidth="1"/>
    <col min="1285" max="1523" width="9.33203125" style="323"/>
    <col min="1524" max="1524" width="4.83203125" style="323" customWidth="1"/>
    <col min="1525" max="1525" width="27.33203125" style="323" customWidth="1"/>
    <col min="1526" max="1527" width="15.5" style="323" customWidth="1"/>
    <col min="1528" max="1528" width="13.6640625" style="323" customWidth="1"/>
    <col min="1529" max="1529" width="12.33203125" style="323" customWidth="1"/>
    <col min="1530" max="1530" width="13" style="323" bestFit="1" customWidth="1"/>
    <col min="1531" max="1531" width="11.33203125" style="323" customWidth="1"/>
    <col min="1532" max="1532" width="12.33203125" style="323" customWidth="1"/>
    <col min="1533" max="1533" width="10.33203125" style="323" customWidth="1"/>
    <col min="1534" max="1534" width="10.1640625" style="323" customWidth="1"/>
    <col min="1535" max="1535" width="13" style="323" customWidth="1"/>
    <col min="1536" max="1536" width="12.5" style="323" customWidth="1"/>
    <col min="1537" max="1537" width="11.6640625" style="323" customWidth="1"/>
    <col min="1538" max="1538" width="11.33203125" style="323" customWidth="1"/>
    <col min="1539" max="1539" width="10.33203125" style="323" customWidth="1"/>
    <col min="1540" max="1540" width="12" style="323" customWidth="1"/>
    <col min="1541" max="1779" width="9.33203125" style="323"/>
    <col min="1780" max="1780" width="4.83203125" style="323" customWidth="1"/>
    <col min="1781" max="1781" width="27.33203125" style="323" customWidth="1"/>
    <col min="1782" max="1783" width="15.5" style="323" customWidth="1"/>
    <col min="1784" max="1784" width="13.6640625" style="323" customWidth="1"/>
    <col min="1785" max="1785" width="12.33203125" style="323" customWidth="1"/>
    <col min="1786" max="1786" width="13" style="323" bestFit="1" customWidth="1"/>
    <col min="1787" max="1787" width="11.33203125" style="323" customWidth="1"/>
    <col min="1788" max="1788" width="12.33203125" style="323" customWidth="1"/>
    <col min="1789" max="1789" width="10.33203125" style="323" customWidth="1"/>
    <col min="1790" max="1790" width="10.1640625" style="323" customWidth="1"/>
    <col min="1791" max="1791" width="13" style="323" customWidth="1"/>
    <col min="1792" max="1792" width="12.5" style="323" customWidth="1"/>
    <col min="1793" max="1793" width="11.6640625" style="323" customWidth="1"/>
    <col min="1794" max="1794" width="11.33203125" style="323" customWidth="1"/>
    <col min="1795" max="1795" width="10.33203125" style="323" customWidth="1"/>
    <col min="1796" max="1796" width="12" style="323" customWidth="1"/>
    <col min="1797" max="2035" width="9.33203125" style="323"/>
    <col min="2036" max="2036" width="4.83203125" style="323" customWidth="1"/>
    <col min="2037" max="2037" width="27.33203125" style="323" customWidth="1"/>
    <col min="2038" max="2039" width="15.5" style="323" customWidth="1"/>
    <col min="2040" max="2040" width="13.6640625" style="323" customWidth="1"/>
    <col min="2041" max="2041" width="12.33203125" style="323" customWidth="1"/>
    <col min="2042" max="2042" width="13" style="323" bestFit="1" customWidth="1"/>
    <col min="2043" max="2043" width="11.33203125" style="323" customWidth="1"/>
    <col min="2044" max="2044" width="12.33203125" style="323" customWidth="1"/>
    <col min="2045" max="2045" width="10.33203125" style="323" customWidth="1"/>
    <col min="2046" max="2046" width="10.1640625" style="323" customWidth="1"/>
    <col min="2047" max="2047" width="13" style="323" customWidth="1"/>
    <col min="2048" max="2048" width="12.5" style="323" customWidth="1"/>
    <col min="2049" max="2049" width="11.6640625" style="323" customWidth="1"/>
    <col min="2050" max="2050" width="11.33203125" style="323" customWidth="1"/>
    <col min="2051" max="2051" width="10.33203125" style="323" customWidth="1"/>
    <col min="2052" max="2052" width="12" style="323" customWidth="1"/>
    <col min="2053" max="2291" width="9.33203125" style="323"/>
    <col min="2292" max="2292" width="4.83203125" style="323" customWidth="1"/>
    <col min="2293" max="2293" width="27.33203125" style="323" customWidth="1"/>
    <col min="2294" max="2295" width="15.5" style="323" customWidth="1"/>
    <col min="2296" max="2296" width="13.6640625" style="323" customWidth="1"/>
    <col min="2297" max="2297" width="12.33203125" style="323" customWidth="1"/>
    <col min="2298" max="2298" width="13" style="323" bestFit="1" customWidth="1"/>
    <col min="2299" max="2299" width="11.33203125" style="323" customWidth="1"/>
    <col min="2300" max="2300" width="12.33203125" style="323" customWidth="1"/>
    <col min="2301" max="2301" width="10.33203125" style="323" customWidth="1"/>
    <col min="2302" max="2302" width="10.1640625" style="323" customWidth="1"/>
    <col min="2303" max="2303" width="13" style="323" customWidth="1"/>
    <col min="2304" max="2304" width="12.5" style="323" customWidth="1"/>
    <col min="2305" max="2305" width="11.6640625" style="323" customWidth="1"/>
    <col min="2306" max="2306" width="11.33203125" style="323" customWidth="1"/>
    <col min="2307" max="2307" width="10.33203125" style="323" customWidth="1"/>
    <col min="2308" max="2308" width="12" style="323" customWidth="1"/>
    <col min="2309" max="2547" width="9.33203125" style="323"/>
    <col min="2548" max="2548" width="4.83203125" style="323" customWidth="1"/>
    <col min="2549" max="2549" width="27.33203125" style="323" customWidth="1"/>
    <col min="2550" max="2551" width="15.5" style="323" customWidth="1"/>
    <col min="2552" max="2552" width="13.6640625" style="323" customWidth="1"/>
    <col min="2553" max="2553" width="12.33203125" style="323" customWidth="1"/>
    <col min="2554" max="2554" width="13" style="323" bestFit="1" customWidth="1"/>
    <col min="2555" max="2555" width="11.33203125" style="323" customWidth="1"/>
    <col min="2556" max="2556" width="12.33203125" style="323" customWidth="1"/>
    <col min="2557" max="2557" width="10.33203125" style="323" customWidth="1"/>
    <col min="2558" max="2558" width="10.1640625" style="323" customWidth="1"/>
    <col min="2559" max="2559" width="13" style="323" customWidth="1"/>
    <col min="2560" max="2560" width="12.5" style="323" customWidth="1"/>
    <col min="2561" max="2561" width="11.6640625" style="323" customWidth="1"/>
    <col min="2562" max="2562" width="11.33203125" style="323" customWidth="1"/>
    <col min="2563" max="2563" width="10.33203125" style="323" customWidth="1"/>
    <col min="2564" max="2564" width="12" style="323" customWidth="1"/>
    <col min="2565" max="2803" width="9.33203125" style="323"/>
    <col min="2804" max="2804" width="4.83203125" style="323" customWidth="1"/>
    <col min="2805" max="2805" width="27.33203125" style="323" customWidth="1"/>
    <col min="2806" max="2807" width="15.5" style="323" customWidth="1"/>
    <col min="2808" max="2808" width="13.6640625" style="323" customWidth="1"/>
    <col min="2809" max="2809" width="12.33203125" style="323" customWidth="1"/>
    <col min="2810" max="2810" width="13" style="323" bestFit="1" customWidth="1"/>
    <col min="2811" max="2811" width="11.33203125" style="323" customWidth="1"/>
    <col min="2812" max="2812" width="12.33203125" style="323" customWidth="1"/>
    <col min="2813" max="2813" width="10.33203125" style="323" customWidth="1"/>
    <col min="2814" max="2814" width="10.1640625" style="323" customWidth="1"/>
    <col min="2815" max="2815" width="13" style="323" customWidth="1"/>
    <col min="2816" max="2816" width="12.5" style="323" customWidth="1"/>
    <col min="2817" max="2817" width="11.6640625" style="323" customWidth="1"/>
    <col min="2818" max="2818" width="11.33203125" style="323" customWidth="1"/>
    <col min="2819" max="2819" width="10.33203125" style="323" customWidth="1"/>
    <col min="2820" max="2820" width="12" style="323" customWidth="1"/>
    <col min="2821" max="3059" width="9.33203125" style="323"/>
    <col min="3060" max="3060" width="4.83203125" style="323" customWidth="1"/>
    <col min="3061" max="3061" width="27.33203125" style="323" customWidth="1"/>
    <col min="3062" max="3063" width="15.5" style="323" customWidth="1"/>
    <col min="3064" max="3064" width="13.6640625" style="323" customWidth="1"/>
    <col min="3065" max="3065" width="12.33203125" style="323" customWidth="1"/>
    <col min="3066" max="3066" width="13" style="323" bestFit="1" customWidth="1"/>
    <col min="3067" max="3067" width="11.33203125" style="323" customWidth="1"/>
    <col min="3068" max="3068" width="12.33203125" style="323" customWidth="1"/>
    <col min="3069" max="3069" width="10.33203125" style="323" customWidth="1"/>
    <col min="3070" max="3070" width="10.1640625" style="323" customWidth="1"/>
    <col min="3071" max="3071" width="13" style="323" customWidth="1"/>
    <col min="3072" max="3072" width="12.5" style="323" customWidth="1"/>
    <col min="3073" max="3073" width="11.6640625" style="323" customWidth="1"/>
    <col min="3074" max="3074" width="11.33203125" style="323" customWidth="1"/>
    <col min="3075" max="3075" width="10.33203125" style="323" customWidth="1"/>
    <col min="3076" max="3076" width="12" style="323" customWidth="1"/>
    <col min="3077" max="3315" width="9.33203125" style="323"/>
    <col min="3316" max="3316" width="4.83203125" style="323" customWidth="1"/>
    <col min="3317" max="3317" width="27.33203125" style="323" customWidth="1"/>
    <col min="3318" max="3319" width="15.5" style="323" customWidth="1"/>
    <col min="3320" max="3320" width="13.6640625" style="323" customWidth="1"/>
    <col min="3321" max="3321" width="12.33203125" style="323" customWidth="1"/>
    <col min="3322" max="3322" width="13" style="323" bestFit="1" customWidth="1"/>
    <col min="3323" max="3323" width="11.33203125" style="323" customWidth="1"/>
    <col min="3324" max="3324" width="12.33203125" style="323" customWidth="1"/>
    <col min="3325" max="3325" width="10.33203125" style="323" customWidth="1"/>
    <col min="3326" max="3326" width="10.1640625" style="323" customWidth="1"/>
    <col min="3327" max="3327" width="13" style="323" customWidth="1"/>
    <col min="3328" max="3328" width="12.5" style="323" customWidth="1"/>
    <col min="3329" max="3329" width="11.6640625" style="323" customWidth="1"/>
    <col min="3330" max="3330" width="11.33203125" style="323" customWidth="1"/>
    <col min="3331" max="3331" width="10.33203125" style="323" customWidth="1"/>
    <col min="3332" max="3332" width="12" style="323" customWidth="1"/>
    <col min="3333" max="3571" width="9.33203125" style="323"/>
    <col min="3572" max="3572" width="4.83203125" style="323" customWidth="1"/>
    <col min="3573" max="3573" width="27.33203125" style="323" customWidth="1"/>
    <col min="3574" max="3575" width="15.5" style="323" customWidth="1"/>
    <col min="3576" max="3576" width="13.6640625" style="323" customWidth="1"/>
    <col min="3577" max="3577" width="12.33203125" style="323" customWidth="1"/>
    <col min="3578" max="3578" width="13" style="323" bestFit="1" customWidth="1"/>
    <col min="3579" max="3579" width="11.33203125" style="323" customWidth="1"/>
    <col min="3580" max="3580" width="12.33203125" style="323" customWidth="1"/>
    <col min="3581" max="3581" width="10.33203125" style="323" customWidth="1"/>
    <col min="3582" max="3582" width="10.1640625" style="323" customWidth="1"/>
    <col min="3583" max="3583" width="13" style="323" customWidth="1"/>
    <col min="3584" max="3584" width="12.5" style="323" customWidth="1"/>
    <col min="3585" max="3585" width="11.6640625" style="323" customWidth="1"/>
    <col min="3586" max="3586" width="11.33203125" style="323" customWidth="1"/>
    <col min="3587" max="3587" width="10.33203125" style="323" customWidth="1"/>
    <col min="3588" max="3588" width="12" style="323" customWidth="1"/>
    <col min="3589" max="3827" width="9.33203125" style="323"/>
    <col min="3828" max="3828" width="4.83203125" style="323" customWidth="1"/>
    <col min="3829" max="3829" width="27.33203125" style="323" customWidth="1"/>
    <col min="3830" max="3831" width="15.5" style="323" customWidth="1"/>
    <col min="3832" max="3832" width="13.6640625" style="323" customWidth="1"/>
    <col min="3833" max="3833" width="12.33203125" style="323" customWidth="1"/>
    <col min="3834" max="3834" width="13" style="323" bestFit="1" customWidth="1"/>
    <col min="3835" max="3835" width="11.33203125" style="323" customWidth="1"/>
    <col min="3836" max="3836" width="12.33203125" style="323" customWidth="1"/>
    <col min="3837" max="3837" width="10.33203125" style="323" customWidth="1"/>
    <col min="3838" max="3838" width="10.1640625" style="323" customWidth="1"/>
    <col min="3839" max="3839" width="13" style="323" customWidth="1"/>
    <col min="3840" max="3840" width="12.5" style="323" customWidth="1"/>
    <col min="3841" max="3841" width="11.6640625" style="323" customWidth="1"/>
    <col min="3842" max="3842" width="11.33203125" style="323" customWidth="1"/>
    <col min="3843" max="3843" width="10.33203125" style="323" customWidth="1"/>
    <col min="3844" max="3844" width="12" style="323" customWidth="1"/>
    <col min="3845" max="4083" width="9.33203125" style="323"/>
    <col min="4084" max="4084" width="4.83203125" style="323" customWidth="1"/>
    <col min="4085" max="4085" width="27.33203125" style="323" customWidth="1"/>
    <col min="4086" max="4087" width="15.5" style="323" customWidth="1"/>
    <col min="4088" max="4088" width="13.6640625" style="323" customWidth="1"/>
    <col min="4089" max="4089" width="12.33203125" style="323" customWidth="1"/>
    <col min="4090" max="4090" width="13" style="323" bestFit="1" customWidth="1"/>
    <col min="4091" max="4091" width="11.33203125" style="323" customWidth="1"/>
    <col min="4092" max="4092" width="12.33203125" style="323" customWidth="1"/>
    <col min="4093" max="4093" width="10.33203125" style="323" customWidth="1"/>
    <col min="4094" max="4094" width="10.1640625" style="323" customWidth="1"/>
    <col min="4095" max="4095" width="13" style="323" customWidth="1"/>
    <col min="4096" max="4096" width="12.5" style="323" customWidth="1"/>
    <col min="4097" max="4097" width="11.6640625" style="323" customWidth="1"/>
    <col min="4098" max="4098" width="11.33203125" style="323" customWidth="1"/>
    <col min="4099" max="4099" width="10.33203125" style="323" customWidth="1"/>
    <col min="4100" max="4100" width="12" style="323" customWidth="1"/>
    <col min="4101" max="4339" width="9.33203125" style="323"/>
    <col min="4340" max="4340" width="4.83203125" style="323" customWidth="1"/>
    <col min="4341" max="4341" width="27.33203125" style="323" customWidth="1"/>
    <col min="4342" max="4343" width="15.5" style="323" customWidth="1"/>
    <col min="4344" max="4344" width="13.6640625" style="323" customWidth="1"/>
    <col min="4345" max="4345" width="12.33203125" style="323" customWidth="1"/>
    <col min="4346" max="4346" width="13" style="323" bestFit="1" customWidth="1"/>
    <col min="4347" max="4347" width="11.33203125" style="323" customWidth="1"/>
    <col min="4348" max="4348" width="12.33203125" style="323" customWidth="1"/>
    <col min="4349" max="4349" width="10.33203125" style="323" customWidth="1"/>
    <col min="4350" max="4350" width="10.1640625" style="323" customWidth="1"/>
    <col min="4351" max="4351" width="13" style="323" customWidth="1"/>
    <col min="4352" max="4352" width="12.5" style="323" customWidth="1"/>
    <col min="4353" max="4353" width="11.6640625" style="323" customWidth="1"/>
    <col min="4354" max="4354" width="11.33203125" style="323" customWidth="1"/>
    <col min="4355" max="4355" width="10.33203125" style="323" customWidth="1"/>
    <col min="4356" max="4356" width="12" style="323" customWidth="1"/>
    <col min="4357" max="4595" width="9.33203125" style="323"/>
    <col min="4596" max="4596" width="4.83203125" style="323" customWidth="1"/>
    <col min="4597" max="4597" width="27.33203125" style="323" customWidth="1"/>
    <col min="4598" max="4599" width="15.5" style="323" customWidth="1"/>
    <col min="4600" max="4600" width="13.6640625" style="323" customWidth="1"/>
    <col min="4601" max="4601" width="12.33203125" style="323" customWidth="1"/>
    <col min="4602" max="4602" width="13" style="323" bestFit="1" customWidth="1"/>
    <col min="4603" max="4603" width="11.33203125" style="323" customWidth="1"/>
    <col min="4604" max="4604" width="12.33203125" style="323" customWidth="1"/>
    <col min="4605" max="4605" width="10.33203125" style="323" customWidth="1"/>
    <col min="4606" max="4606" width="10.1640625" style="323" customWidth="1"/>
    <col min="4607" max="4607" width="13" style="323" customWidth="1"/>
    <col min="4608" max="4608" width="12.5" style="323" customWidth="1"/>
    <col min="4609" max="4609" width="11.6640625" style="323" customWidth="1"/>
    <col min="4610" max="4610" width="11.33203125" style="323" customWidth="1"/>
    <col min="4611" max="4611" width="10.33203125" style="323" customWidth="1"/>
    <col min="4612" max="4612" width="12" style="323" customWidth="1"/>
    <col min="4613" max="4851" width="9.33203125" style="323"/>
    <col min="4852" max="4852" width="4.83203125" style="323" customWidth="1"/>
    <col min="4853" max="4853" width="27.33203125" style="323" customWidth="1"/>
    <col min="4854" max="4855" width="15.5" style="323" customWidth="1"/>
    <col min="4856" max="4856" width="13.6640625" style="323" customWidth="1"/>
    <col min="4857" max="4857" width="12.33203125" style="323" customWidth="1"/>
    <col min="4858" max="4858" width="13" style="323" bestFit="1" customWidth="1"/>
    <col min="4859" max="4859" width="11.33203125" style="323" customWidth="1"/>
    <col min="4860" max="4860" width="12.33203125" style="323" customWidth="1"/>
    <col min="4861" max="4861" width="10.33203125" style="323" customWidth="1"/>
    <col min="4862" max="4862" width="10.1640625" style="323" customWidth="1"/>
    <col min="4863" max="4863" width="13" style="323" customWidth="1"/>
    <col min="4864" max="4864" width="12.5" style="323" customWidth="1"/>
    <col min="4865" max="4865" width="11.6640625" style="323" customWidth="1"/>
    <col min="4866" max="4866" width="11.33203125" style="323" customWidth="1"/>
    <col min="4867" max="4867" width="10.33203125" style="323" customWidth="1"/>
    <col min="4868" max="4868" width="12" style="323" customWidth="1"/>
    <col min="4869" max="5107" width="9.33203125" style="323"/>
    <col min="5108" max="5108" width="4.83203125" style="323" customWidth="1"/>
    <col min="5109" max="5109" width="27.33203125" style="323" customWidth="1"/>
    <col min="5110" max="5111" width="15.5" style="323" customWidth="1"/>
    <col min="5112" max="5112" width="13.6640625" style="323" customWidth="1"/>
    <col min="5113" max="5113" width="12.33203125" style="323" customWidth="1"/>
    <col min="5114" max="5114" width="13" style="323" bestFit="1" customWidth="1"/>
    <col min="5115" max="5115" width="11.33203125" style="323" customWidth="1"/>
    <col min="5116" max="5116" width="12.33203125" style="323" customWidth="1"/>
    <col min="5117" max="5117" width="10.33203125" style="323" customWidth="1"/>
    <col min="5118" max="5118" width="10.1640625" style="323" customWidth="1"/>
    <col min="5119" max="5119" width="13" style="323" customWidth="1"/>
    <col min="5120" max="5120" width="12.5" style="323" customWidth="1"/>
    <col min="5121" max="5121" width="11.6640625" style="323" customWidth="1"/>
    <col min="5122" max="5122" width="11.33203125" style="323" customWidth="1"/>
    <col min="5123" max="5123" width="10.33203125" style="323" customWidth="1"/>
    <col min="5124" max="5124" width="12" style="323" customWidth="1"/>
    <col min="5125" max="5363" width="9.33203125" style="323"/>
    <col min="5364" max="5364" width="4.83203125" style="323" customWidth="1"/>
    <col min="5365" max="5365" width="27.33203125" style="323" customWidth="1"/>
    <col min="5366" max="5367" width="15.5" style="323" customWidth="1"/>
    <col min="5368" max="5368" width="13.6640625" style="323" customWidth="1"/>
    <col min="5369" max="5369" width="12.33203125" style="323" customWidth="1"/>
    <col min="5370" max="5370" width="13" style="323" bestFit="1" customWidth="1"/>
    <col min="5371" max="5371" width="11.33203125" style="323" customWidth="1"/>
    <col min="5372" max="5372" width="12.33203125" style="323" customWidth="1"/>
    <col min="5373" max="5373" width="10.33203125" style="323" customWidth="1"/>
    <col min="5374" max="5374" width="10.1640625" style="323" customWidth="1"/>
    <col min="5375" max="5375" width="13" style="323" customWidth="1"/>
    <col min="5376" max="5376" width="12.5" style="323" customWidth="1"/>
    <col min="5377" max="5377" width="11.6640625" style="323" customWidth="1"/>
    <col min="5378" max="5378" width="11.33203125" style="323" customWidth="1"/>
    <col min="5379" max="5379" width="10.33203125" style="323" customWidth="1"/>
    <col min="5380" max="5380" width="12" style="323" customWidth="1"/>
    <col min="5381" max="5619" width="9.33203125" style="323"/>
    <col min="5620" max="5620" width="4.83203125" style="323" customWidth="1"/>
    <col min="5621" max="5621" width="27.33203125" style="323" customWidth="1"/>
    <col min="5622" max="5623" width="15.5" style="323" customWidth="1"/>
    <col min="5624" max="5624" width="13.6640625" style="323" customWidth="1"/>
    <col min="5625" max="5625" width="12.33203125" style="323" customWidth="1"/>
    <col min="5626" max="5626" width="13" style="323" bestFit="1" customWidth="1"/>
    <col min="5627" max="5627" width="11.33203125" style="323" customWidth="1"/>
    <col min="5628" max="5628" width="12.33203125" style="323" customWidth="1"/>
    <col min="5629" max="5629" width="10.33203125" style="323" customWidth="1"/>
    <col min="5630" max="5630" width="10.1640625" style="323" customWidth="1"/>
    <col min="5631" max="5631" width="13" style="323" customWidth="1"/>
    <col min="5632" max="5632" width="12.5" style="323" customWidth="1"/>
    <col min="5633" max="5633" width="11.6640625" style="323" customWidth="1"/>
    <col min="5634" max="5634" width="11.33203125" style="323" customWidth="1"/>
    <col min="5635" max="5635" width="10.33203125" style="323" customWidth="1"/>
    <col min="5636" max="5636" width="12" style="323" customWidth="1"/>
    <col min="5637" max="5875" width="9.33203125" style="323"/>
    <col min="5876" max="5876" width="4.83203125" style="323" customWidth="1"/>
    <col min="5877" max="5877" width="27.33203125" style="323" customWidth="1"/>
    <col min="5878" max="5879" width="15.5" style="323" customWidth="1"/>
    <col min="5880" max="5880" width="13.6640625" style="323" customWidth="1"/>
    <col min="5881" max="5881" width="12.33203125" style="323" customWidth="1"/>
    <col min="5882" max="5882" width="13" style="323" bestFit="1" customWidth="1"/>
    <col min="5883" max="5883" width="11.33203125" style="323" customWidth="1"/>
    <col min="5884" max="5884" width="12.33203125" style="323" customWidth="1"/>
    <col min="5885" max="5885" width="10.33203125" style="323" customWidth="1"/>
    <col min="5886" max="5886" width="10.1640625" style="323" customWidth="1"/>
    <col min="5887" max="5887" width="13" style="323" customWidth="1"/>
    <col min="5888" max="5888" width="12.5" style="323" customWidth="1"/>
    <col min="5889" max="5889" width="11.6640625" style="323" customWidth="1"/>
    <col min="5890" max="5890" width="11.33203125" style="323" customWidth="1"/>
    <col min="5891" max="5891" width="10.33203125" style="323" customWidth="1"/>
    <col min="5892" max="5892" width="12" style="323" customWidth="1"/>
    <col min="5893" max="6131" width="9.33203125" style="323"/>
    <col min="6132" max="6132" width="4.83203125" style="323" customWidth="1"/>
    <col min="6133" max="6133" width="27.33203125" style="323" customWidth="1"/>
    <col min="6134" max="6135" width="15.5" style="323" customWidth="1"/>
    <col min="6136" max="6136" width="13.6640625" style="323" customWidth="1"/>
    <col min="6137" max="6137" width="12.33203125" style="323" customWidth="1"/>
    <col min="6138" max="6138" width="13" style="323" bestFit="1" customWidth="1"/>
    <col min="6139" max="6139" width="11.33203125" style="323" customWidth="1"/>
    <col min="6140" max="6140" width="12.33203125" style="323" customWidth="1"/>
    <col min="6141" max="6141" width="10.33203125" style="323" customWidth="1"/>
    <col min="6142" max="6142" width="10.1640625" style="323" customWidth="1"/>
    <col min="6143" max="6143" width="13" style="323" customWidth="1"/>
    <col min="6144" max="6144" width="12.5" style="323" customWidth="1"/>
    <col min="6145" max="6145" width="11.6640625" style="323" customWidth="1"/>
    <col min="6146" max="6146" width="11.33203125" style="323" customWidth="1"/>
    <col min="6147" max="6147" width="10.33203125" style="323" customWidth="1"/>
    <col min="6148" max="6148" width="12" style="323" customWidth="1"/>
    <col min="6149" max="6387" width="9.33203125" style="323"/>
    <col min="6388" max="6388" width="4.83203125" style="323" customWidth="1"/>
    <col min="6389" max="6389" width="27.33203125" style="323" customWidth="1"/>
    <col min="6390" max="6391" width="15.5" style="323" customWidth="1"/>
    <col min="6392" max="6392" width="13.6640625" style="323" customWidth="1"/>
    <col min="6393" max="6393" width="12.33203125" style="323" customWidth="1"/>
    <col min="6394" max="6394" width="13" style="323" bestFit="1" customWidth="1"/>
    <col min="6395" max="6395" width="11.33203125" style="323" customWidth="1"/>
    <col min="6396" max="6396" width="12.33203125" style="323" customWidth="1"/>
    <col min="6397" max="6397" width="10.33203125" style="323" customWidth="1"/>
    <col min="6398" max="6398" width="10.1640625" style="323" customWidth="1"/>
    <col min="6399" max="6399" width="13" style="323" customWidth="1"/>
    <col min="6400" max="6400" width="12.5" style="323" customWidth="1"/>
    <col min="6401" max="6401" width="11.6640625" style="323" customWidth="1"/>
    <col min="6402" max="6402" width="11.33203125" style="323" customWidth="1"/>
    <col min="6403" max="6403" width="10.33203125" style="323" customWidth="1"/>
    <col min="6404" max="6404" width="12" style="323" customWidth="1"/>
    <col min="6405" max="6643" width="9.33203125" style="323"/>
    <col min="6644" max="6644" width="4.83203125" style="323" customWidth="1"/>
    <col min="6645" max="6645" width="27.33203125" style="323" customWidth="1"/>
    <col min="6646" max="6647" width="15.5" style="323" customWidth="1"/>
    <col min="6648" max="6648" width="13.6640625" style="323" customWidth="1"/>
    <col min="6649" max="6649" width="12.33203125" style="323" customWidth="1"/>
    <col min="6650" max="6650" width="13" style="323" bestFit="1" customWidth="1"/>
    <col min="6651" max="6651" width="11.33203125" style="323" customWidth="1"/>
    <col min="6652" max="6652" width="12.33203125" style="323" customWidth="1"/>
    <col min="6653" max="6653" width="10.33203125" style="323" customWidth="1"/>
    <col min="6654" max="6654" width="10.1640625" style="323" customWidth="1"/>
    <col min="6655" max="6655" width="13" style="323" customWidth="1"/>
    <col min="6656" max="6656" width="12.5" style="323" customWidth="1"/>
    <col min="6657" max="6657" width="11.6640625" style="323" customWidth="1"/>
    <col min="6658" max="6658" width="11.33203125" style="323" customWidth="1"/>
    <col min="6659" max="6659" width="10.33203125" style="323" customWidth="1"/>
    <col min="6660" max="6660" width="12" style="323" customWidth="1"/>
    <col min="6661" max="6899" width="9.33203125" style="323"/>
    <col min="6900" max="6900" width="4.83203125" style="323" customWidth="1"/>
    <col min="6901" max="6901" width="27.33203125" style="323" customWidth="1"/>
    <col min="6902" max="6903" width="15.5" style="323" customWidth="1"/>
    <col min="6904" max="6904" width="13.6640625" style="323" customWidth="1"/>
    <col min="6905" max="6905" width="12.33203125" style="323" customWidth="1"/>
    <col min="6906" max="6906" width="13" style="323" bestFit="1" customWidth="1"/>
    <col min="6907" max="6907" width="11.33203125" style="323" customWidth="1"/>
    <col min="6908" max="6908" width="12.33203125" style="323" customWidth="1"/>
    <col min="6909" max="6909" width="10.33203125" style="323" customWidth="1"/>
    <col min="6910" max="6910" width="10.1640625" style="323" customWidth="1"/>
    <col min="6911" max="6911" width="13" style="323" customWidth="1"/>
    <col min="6912" max="6912" width="12.5" style="323" customWidth="1"/>
    <col min="6913" max="6913" width="11.6640625" style="323" customWidth="1"/>
    <col min="6914" max="6914" width="11.33203125" style="323" customWidth="1"/>
    <col min="6915" max="6915" width="10.33203125" style="323" customWidth="1"/>
    <col min="6916" max="6916" width="12" style="323" customWidth="1"/>
    <col min="6917" max="7155" width="9.33203125" style="323"/>
    <col min="7156" max="7156" width="4.83203125" style="323" customWidth="1"/>
    <col min="7157" max="7157" width="27.33203125" style="323" customWidth="1"/>
    <col min="7158" max="7159" width="15.5" style="323" customWidth="1"/>
    <col min="7160" max="7160" width="13.6640625" style="323" customWidth="1"/>
    <col min="7161" max="7161" width="12.33203125" style="323" customWidth="1"/>
    <col min="7162" max="7162" width="13" style="323" bestFit="1" customWidth="1"/>
    <col min="7163" max="7163" width="11.33203125" style="323" customWidth="1"/>
    <col min="7164" max="7164" width="12.33203125" style="323" customWidth="1"/>
    <col min="7165" max="7165" width="10.33203125" style="323" customWidth="1"/>
    <col min="7166" max="7166" width="10.1640625" style="323" customWidth="1"/>
    <col min="7167" max="7167" width="13" style="323" customWidth="1"/>
    <col min="7168" max="7168" width="12.5" style="323" customWidth="1"/>
    <col min="7169" max="7169" width="11.6640625" style="323" customWidth="1"/>
    <col min="7170" max="7170" width="11.33203125" style="323" customWidth="1"/>
    <col min="7171" max="7171" width="10.33203125" style="323" customWidth="1"/>
    <col min="7172" max="7172" width="12" style="323" customWidth="1"/>
    <col min="7173" max="7411" width="9.33203125" style="323"/>
    <col min="7412" max="7412" width="4.83203125" style="323" customWidth="1"/>
    <col min="7413" max="7413" width="27.33203125" style="323" customWidth="1"/>
    <col min="7414" max="7415" width="15.5" style="323" customWidth="1"/>
    <col min="7416" max="7416" width="13.6640625" style="323" customWidth="1"/>
    <col min="7417" max="7417" width="12.33203125" style="323" customWidth="1"/>
    <col min="7418" max="7418" width="13" style="323" bestFit="1" customWidth="1"/>
    <col min="7419" max="7419" width="11.33203125" style="323" customWidth="1"/>
    <col min="7420" max="7420" width="12.33203125" style="323" customWidth="1"/>
    <col min="7421" max="7421" width="10.33203125" style="323" customWidth="1"/>
    <col min="7422" max="7422" width="10.1640625" style="323" customWidth="1"/>
    <col min="7423" max="7423" width="13" style="323" customWidth="1"/>
    <col min="7424" max="7424" width="12.5" style="323" customWidth="1"/>
    <col min="7425" max="7425" width="11.6640625" style="323" customWidth="1"/>
    <col min="7426" max="7426" width="11.33203125" style="323" customWidth="1"/>
    <col min="7427" max="7427" width="10.33203125" style="323" customWidth="1"/>
    <col min="7428" max="7428" width="12" style="323" customWidth="1"/>
    <col min="7429" max="7667" width="9.33203125" style="323"/>
    <col min="7668" max="7668" width="4.83203125" style="323" customWidth="1"/>
    <col min="7669" max="7669" width="27.33203125" style="323" customWidth="1"/>
    <col min="7670" max="7671" width="15.5" style="323" customWidth="1"/>
    <col min="7672" max="7672" width="13.6640625" style="323" customWidth="1"/>
    <col min="7673" max="7673" width="12.33203125" style="323" customWidth="1"/>
    <col min="7674" max="7674" width="13" style="323" bestFit="1" customWidth="1"/>
    <col min="7675" max="7675" width="11.33203125" style="323" customWidth="1"/>
    <col min="7676" max="7676" width="12.33203125" style="323" customWidth="1"/>
    <col min="7677" max="7677" width="10.33203125" style="323" customWidth="1"/>
    <col min="7678" max="7678" width="10.1640625" style="323" customWidth="1"/>
    <col min="7679" max="7679" width="13" style="323" customWidth="1"/>
    <col min="7680" max="7680" width="12.5" style="323" customWidth="1"/>
    <col min="7681" max="7681" width="11.6640625" style="323" customWidth="1"/>
    <col min="7682" max="7682" width="11.33203125" style="323" customWidth="1"/>
    <col min="7683" max="7683" width="10.33203125" style="323" customWidth="1"/>
    <col min="7684" max="7684" width="12" style="323" customWidth="1"/>
    <col min="7685" max="7923" width="9.33203125" style="323"/>
    <col min="7924" max="7924" width="4.83203125" style="323" customWidth="1"/>
    <col min="7925" max="7925" width="27.33203125" style="323" customWidth="1"/>
    <col min="7926" max="7927" width="15.5" style="323" customWidth="1"/>
    <col min="7928" max="7928" width="13.6640625" style="323" customWidth="1"/>
    <col min="7929" max="7929" width="12.33203125" style="323" customWidth="1"/>
    <col min="7930" max="7930" width="13" style="323" bestFit="1" customWidth="1"/>
    <col min="7931" max="7931" width="11.33203125" style="323" customWidth="1"/>
    <col min="7932" max="7932" width="12.33203125" style="323" customWidth="1"/>
    <col min="7933" max="7933" width="10.33203125" style="323" customWidth="1"/>
    <col min="7934" max="7934" width="10.1640625" style="323" customWidth="1"/>
    <col min="7935" max="7935" width="13" style="323" customWidth="1"/>
    <col min="7936" max="7936" width="12.5" style="323" customWidth="1"/>
    <col min="7937" max="7937" width="11.6640625" style="323" customWidth="1"/>
    <col min="7938" max="7938" width="11.33203125" style="323" customWidth="1"/>
    <col min="7939" max="7939" width="10.33203125" style="323" customWidth="1"/>
    <col min="7940" max="7940" width="12" style="323" customWidth="1"/>
    <col min="7941" max="8179" width="9.33203125" style="323"/>
    <col min="8180" max="8180" width="4.83203125" style="323" customWidth="1"/>
    <col min="8181" max="8181" width="27.33203125" style="323" customWidth="1"/>
    <col min="8182" max="8183" width="15.5" style="323" customWidth="1"/>
    <col min="8184" max="8184" width="13.6640625" style="323" customWidth="1"/>
    <col min="8185" max="8185" width="12.33203125" style="323" customWidth="1"/>
    <col min="8186" max="8186" width="13" style="323" bestFit="1" customWidth="1"/>
    <col min="8187" max="8187" width="11.33203125" style="323" customWidth="1"/>
    <col min="8188" max="8188" width="12.33203125" style="323" customWidth="1"/>
    <col min="8189" max="8189" width="10.33203125" style="323" customWidth="1"/>
    <col min="8190" max="8190" width="10.1640625" style="323" customWidth="1"/>
    <col min="8191" max="8191" width="13" style="323" customWidth="1"/>
    <col min="8192" max="8192" width="12.5" style="323" customWidth="1"/>
    <col min="8193" max="8193" width="11.6640625" style="323" customWidth="1"/>
    <col min="8194" max="8194" width="11.33203125" style="323" customWidth="1"/>
    <col min="8195" max="8195" width="10.33203125" style="323" customWidth="1"/>
    <col min="8196" max="8196" width="12" style="323" customWidth="1"/>
    <col min="8197" max="8435" width="9.33203125" style="323"/>
    <col min="8436" max="8436" width="4.83203125" style="323" customWidth="1"/>
    <col min="8437" max="8437" width="27.33203125" style="323" customWidth="1"/>
    <col min="8438" max="8439" width="15.5" style="323" customWidth="1"/>
    <col min="8440" max="8440" width="13.6640625" style="323" customWidth="1"/>
    <col min="8441" max="8441" width="12.33203125" style="323" customWidth="1"/>
    <col min="8442" max="8442" width="13" style="323" bestFit="1" customWidth="1"/>
    <col min="8443" max="8443" width="11.33203125" style="323" customWidth="1"/>
    <col min="8444" max="8444" width="12.33203125" style="323" customWidth="1"/>
    <col min="8445" max="8445" width="10.33203125" style="323" customWidth="1"/>
    <col min="8446" max="8446" width="10.1640625" style="323" customWidth="1"/>
    <col min="8447" max="8447" width="13" style="323" customWidth="1"/>
    <col min="8448" max="8448" width="12.5" style="323" customWidth="1"/>
    <col min="8449" max="8449" width="11.6640625" style="323" customWidth="1"/>
    <col min="8450" max="8450" width="11.33203125" style="323" customWidth="1"/>
    <col min="8451" max="8451" width="10.33203125" style="323" customWidth="1"/>
    <col min="8452" max="8452" width="12" style="323" customWidth="1"/>
    <col min="8453" max="8691" width="9.33203125" style="323"/>
    <col min="8692" max="8692" width="4.83203125" style="323" customWidth="1"/>
    <col min="8693" max="8693" width="27.33203125" style="323" customWidth="1"/>
    <col min="8694" max="8695" width="15.5" style="323" customWidth="1"/>
    <col min="8696" max="8696" width="13.6640625" style="323" customWidth="1"/>
    <col min="8697" max="8697" width="12.33203125" style="323" customWidth="1"/>
    <col min="8698" max="8698" width="13" style="323" bestFit="1" customWidth="1"/>
    <col min="8699" max="8699" width="11.33203125" style="323" customWidth="1"/>
    <col min="8700" max="8700" width="12.33203125" style="323" customWidth="1"/>
    <col min="8701" max="8701" width="10.33203125" style="323" customWidth="1"/>
    <col min="8702" max="8702" width="10.1640625" style="323" customWidth="1"/>
    <col min="8703" max="8703" width="13" style="323" customWidth="1"/>
    <col min="8704" max="8704" width="12.5" style="323" customWidth="1"/>
    <col min="8705" max="8705" width="11.6640625" style="323" customWidth="1"/>
    <col min="8706" max="8706" width="11.33203125" style="323" customWidth="1"/>
    <col min="8707" max="8707" width="10.33203125" style="323" customWidth="1"/>
    <col min="8708" max="8708" width="12" style="323" customWidth="1"/>
    <col min="8709" max="8947" width="9.33203125" style="323"/>
    <col min="8948" max="8948" width="4.83203125" style="323" customWidth="1"/>
    <col min="8949" max="8949" width="27.33203125" style="323" customWidth="1"/>
    <col min="8950" max="8951" width="15.5" style="323" customWidth="1"/>
    <col min="8952" max="8952" width="13.6640625" style="323" customWidth="1"/>
    <col min="8953" max="8953" width="12.33203125" style="323" customWidth="1"/>
    <col min="8954" max="8954" width="13" style="323" bestFit="1" customWidth="1"/>
    <col min="8955" max="8955" width="11.33203125" style="323" customWidth="1"/>
    <col min="8956" max="8956" width="12.33203125" style="323" customWidth="1"/>
    <col min="8957" max="8957" width="10.33203125" style="323" customWidth="1"/>
    <col min="8958" max="8958" width="10.1640625" style="323" customWidth="1"/>
    <col min="8959" max="8959" width="13" style="323" customWidth="1"/>
    <col min="8960" max="8960" width="12.5" style="323" customWidth="1"/>
    <col min="8961" max="8961" width="11.6640625" style="323" customWidth="1"/>
    <col min="8962" max="8962" width="11.33203125" style="323" customWidth="1"/>
    <col min="8963" max="8963" width="10.33203125" style="323" customWidth="1"/>
    <col min="8964" max="8964" width="12" style="323" customWidth="1"/>
    <col min="8965" max="9203" width="9.33203125" style="323"/>
    <col min="9204" max="9204" width="4.83203125" style="323" customWidth="1"/>
    <col min="9205" max="9205" width="27.33203125" style="323" customWidth="1"/>
    <col min="9206" max="9207" width="15.5" style="323" customWidth="1"/>
    <col min="9208" max="9208" width="13.6640625" style="323" customWidth="1"/>
    <col min="9209" max="9209" width="12.33203125" style="323" customWidth="1"/>
    <col min="9210" max="9210" width="13" style="323" bestFit="1" customWidth="1"/>
    <col min="9211" max="9211" width="11.33203125" style="323" customWidth="1"/>
    <col min="9212" max="9212" width="12.33203125" style="323" customWidth="1"/>
    <col min="9213" max="9213" width="10.33203125" style="323" customWidth="1"/>
    <col min="9214" max="9214" width="10.1640625" style="323" customWidth="1"/>
    <col min="9215" max="9215" width="13" style="323" customWidth="1"/>
    <col min="9216" max="9216" width="12.5" style="323" customWidth="1"/>
    <col min="9217" max="9217" width="11.6640625" style="323" customWidth="1"/>
    <col min="9218" max="9218" width="11.33203125" style="323" customWidth="1"/>
    <col min="9219" max="9219" width="10.33203125" style="323" customWidth="1"/>
    <col min="9220" max="9220" width="12" style="323" customWidth="1"/>
    <col min="9221" max="9459" width="9.33203125" style="323"/>
    <col min="9460" max="9460" width="4.83203125" style="323" customWidth="1"/>
    <col min="9461" max="9461" width="27.33203125" style="323" customWidth="1"/>
    <col min="9462" max="9463" width="15.5" style="323" customWidth="1"/>
    <col min="9464" max="9464" width="13.6640625" style="323" customWidth="1"/>
    <col min="9465" max="9465" width="12.33203125" style="323" customWidth="1"/>
    <col min="9466" max="9466" width="13" style="323" bestFit="1" customWidth="1"/>
    <col min="9467" max="9467" width="11.33203125" style="323" customWidth="1"/>
    <col min="9468" max="9468" width="12.33203125" style="323" customWidth="1"/>
    <col min="9469" max="9469" width="10.33203125" style="323" customWidth="1"/>
    <col min="9470" max="9470" width="10.1640625" style="323" customWidth="1"/>
    <col min="9471" max="9471" width="13" style="323" customWidth="1"/>
    <col min="9472" max="9472" width="12.5" style="323" customWidth="1"/>
    <col min="9473" max="9473" width="11.6640625" style="323" customWidth="1"/>
    <col min="9474" max="9474" width="11.33203125" style="323" customWidth="1"/>
    <col min="9475" max="9475" width="10.33203125" style="323" customWidth="1"/>
    <col min="9476" max="9476" width="12" style="323" customWidth="1"/>
    <col min="9477" max="9715" width="9.33203125" style="323"/>
    <col min="9716" max="9716" width="4.83203125" style="323" customWidth="1"/>
    <col min="9717" max="9717" width="27.33203125" style="323" customWidth="1"/>
    <col min="9718" max="9719" width="15.5" style="323" customWidth="1"/>
    <col min="9720" max="9720" width="13.6640625" style="323" customWidth="1"/>
    <col min="9721" max="9721" width="12.33203125" style="323" customWidth="1"/>
    <col min="9722" max="9722" width="13" style="323" bestFit="1" customWidth="1"/>
    <col min="9723" max="9723" width="11.33203125" style="323" customWidth="1"/>
    <col min="9724" max="9724" width="12.33203125" style="323" customWidth="1"/>
    <col min="9725" max="9725" width="10.33203125" style="323" customWidth="1"/>
    <col min="9726" max="9726" width="10.1640625" style="323" customWidth="1"/>
    <col min="9727" max="9727" width="13" style="323" customWidth="1"/>
    <col min="9728" max="9728" width="12.5" style="323" customWidth="1"/>
    <col min="9729" max="9729" width="11.6640625" style="323" customWidth="1"/>
    <col min="9730" max="9730" width="11.33203125" style="323" customWidth="1"/>
    <col min="9731" max="9731" width="10.33203125" style="323" customWidth="1"/>
    <col min="9732" max="9732" width="12" style="323" customWidth="1"/>
    <col min="9733" max="9971" width="9.33203125" style="323"/>
    <col min="9972" max="9972" width="4.83203125" style="323" customWidth="1"/>
    <col min="9973" max="9973" width="27.33203125" style="323" customWidth="1"/>
    <col min="9974" max="9975" width="15.5" style="323" customWidth="1"/>
    <col min="9976" max="9976" width="13.6640625" style="323" customWidth="1"/>
    <col min="9977" max="9977" width="12.33203125" style="323" customWidth="1"/>
    <col min="9978" max="9978" width="13" style="323" bestFit="1" customWidth="1"/>
    <col min="9979" max="9979" width="11.33203125" style="323" customWidth="1"/>
    <col min="9980" max="9980" width="12.33203125" style="323" customWidth="1"/>
    <col min="9981" max="9981" width="10.33203125" style="323" customWidth="1"/>
    <col min="9982" max="9982" width="10.1640625" style="323" customWidth="1"/>
    <col min="9983" max="9983" width="13" style="323" customWidth="1"/>
    <col min="9984" max="9984" width="12.5" style="323" customWidth="1"/>
    <col min="9985" max="9985" width="11.6640625" style="323" customWidth="1"/>
    <col min="9986" max="9986" width="11.33203125" style="323" customWidth="1"/>
    <col min="9987" max="9987" width="10.33203125" style="323" customWidth="1"/>
    <col min="9988" max="9988" width="12" style="323" customWidth="1"/>
    <col min="9989" max="10227" width="9.33203125" style="323"/>
    <col min="10228" max="10228" width="4.83203125" style="323" customWidth="1"/>
    <col min="10229" max="10229" width="27.33203125" style="323" customWidth="1"/>
    <col min="10230" max="10231" width="15.5" style="323" customWidth="1"/>
    <col min="10232" max="10232" width="13.6640625" style="323" customWidth="1"/>
    <col min="10233" max="10233" width="12.33203125" style="323" customWidth="1"/>
    <col min="10234" max="10234" width="13" style="323" bestFit="1" customWidth="1"/>
    <col min="10235" max="10235" width="11.33203125" style="323" customWidth="1"/>
    <col min="10236" max="10236" width="12.33203125" style="323" customWidth="1"/>
    <col min="10237" max="10237" width="10.33203125" style="323" customWidth="1"/>
    <col min="10238" max="10238" width="10.1640625" style="323" customWidth="1"/>
    <col min="10239" max="10239" width="13" style="323" customWidth="1"/>
    <col min="10240" max="10240" width="12.5" style="323" customWidth="1"/>
    <col min="10241" max="10241" width="11.6640625" style="323" customWidth="1"/>
    <col min="10242" max="10242" width="11.33203125" style="323" customWidth="1"/>
    <col min="10243" max="10243" width="10.33203125" style="323" customWidth="1"/>
    <col min="10244" max="10244" width="12" style="323" customWidth="1"/>
    <col min="10245" max="10483" width="9.33203125" style="323"/>
    <col min="10484" max="10484" width="4.83203125" style="323" customWidth="1"/>
    <col min="10485" max="10485" width="27.33203125" style="323" customWidth="1"/>
    <col min="10486" max="10487" width="15.5" style="323" customWidth="1"/>
    <col min="10488" max="10488" width="13.6640625" style="323" customWidth="1"/>
    <col min="10489" max="10489" width="12.33203125" style="323" customWidth="1"/>
    <col min="10490" max="10490" width="13" style="323" bestFit="1" customWidth="1"/>
    <col min="10491" max="10491" width="11.33203125" style="323" customWidth="1"/>
    <col min="10492" max="10492" width="12.33203125" style="323" customWidth="1"/>
    <col min="10493" max="10493" width="10.33203125" style="323" customWidth="1"/>
    <col min="10494" max="10494" width="10.1640625" style="323" customWidth="1"/>
    <col min="10495" max="10495" width="13" style="323" customWidth="1"/>
    <col min="10496" max="10496" width="12.5" style="323" customWidth="1"/>
    <col min="10497" max="10497" width="11.6640625" style="323" customWidth="1"/>
    <col min="10498" max="10498" width="11.33203125" style="323" customWidth="1"/>
    <col min="10499" max="10499" width="10.33203125" style="323" customWidth="1"/>
    <col min="10500" max="10500" width="12" style="323" customWidth="1"/>
    <col min="10501" max="10739" width="9.33203125" style="323"/>
    <col min="10740" max="10740" width="4.83203125" style="323" customWidth="1"/>
    <col min="10741" max="10741" width="27.33203125" style="323" customWidth="1"/>
    <col min="10742" max="10743" width="15.5" style="323" customWidth="1"/>
    <col min="10744" max="10744" width="13.6640625" style="323" customWidth="1"/>
    <col min="10745" max="10745" width="12.33203125" style="323" customWidth="1"/>
    <col min="10746" max="10746" width="13" style="323" bestFit="1" customWidth="1"/>
    <col min="10747" max="10747" width="11.33203125" style="323" customWidth="1"/>
    <col min="10748" max="10748" width="12.33203125" style="323" customWidth="1"/>
    <col min="10749" max="10749" width="10.33203125" style="323" customWidth="1"/>
    <col min="10750" max="10750" width="10.1640625" style="323" customWidth="1"/>
    <col min="10751" max="10751" width="13" style="323" customWidth="1"/>
    <col min="10752" max="10752" width="12.5" style="323" customWidth="1"/>
    <col min="10753" max="10753" width="11.6640625" style="323" customWidth="1"/>
    <col min="10754" max="10754" width="11.33203125" style="323" customWidth="1"/>
    <col min="10755" max="10755" width="10.33203125" style="323" customWidth="1"/>
    <col min="10756" max="10756" width="12" style="323" customWidth="1"/>
    <col min="10757" max="10995" width="9.33203125" style="323"/>
    <col min="10996" max="10996" width="4.83203125" style="323" customWidth="1"/>
    <col min="10997" max="10997" width="27.33203125" style="323" customWidth="1"/>
    <col min="10998" max="10999" width="15.5" style="323" customWidth="1"/>
    <col min="11000" max="11000" width="13.6640625" style="323" customWidth="1"/>
    <col min="11001" max="11001" width="12.33203125" style="323" customWidth="1"/>
    <col min="11002" max="11002" width="13" style="323" bestFit="1" customWidth="1"/>
    <col min="11003" max="11003" width="11.33203125" style="323" customWidth="1"/>
    <col min="11004" max="11004" width="12.33203125" style="323" customWidth="1"/>
    <col min="11005" max="11005" width="10.33203125" style="323" customWidth="1"/>
    <col min="11006" max="11006" width="10.1640625" style="323" customWidth="1"/>
    <col min="11007" max="11007" width="13" style="323" customWidth="1"/>
    <col min="11008" max="11008" width="12.5" style="323" customWidth="1"/>
    <col min="11009" max="11009" width="11.6640625" style="323" customWidth="1"/>
    <col min="11010" max="11010" width="11.33203125" style="323" customWidth="1"/>
    <col min="11011" max="11011" width="10.33203125" style="323" customWidth="1"/>
    <col min="11012" max="11012" width="12" style="323" customWidth="1"/>
    <col min="11013" max="11251" width="9.33203125" style="323"/>
    <col min="11252" max="11252" width="4.83203125" style="323" customWidth="1"/>
    <col min="11253" max="11253" width="27.33203125" style="323" customWidth="1"/>
    <col min="11254" max="11255" width="15.5" style="323" customWidth="1"/>
    <col min="11256" max="11256" width="13.6640625" style="323" customWidth="1"/>
    <col min="11257" max="11257" width="12.33203125" style="323" customWidth="1"/>
    <col min="11258" max="11258" width="13" style="323" bestFit="1" customWidth="1"/>
    <col min="11259" max="11259" width="11.33203125" style="323" customWidth="1"/>
    <col min="11260" max="11260" width="12.33203125" style="323" customWidth="1"/>
    <col min="11261" max="11261" width="10.33203125" style="323" customWidth="1"/>
    <col min="11262" max="11262" width="10.1640625" style="323" customWidth="1"/>
    <col min="11263" max="11263" width="13" style="323" customWidth="1"/>
    <col min="11264" max="11264" width="12.5" style="323" customWidth="1"/>
    <col min="11265" max="11265" width="11.6640625" style="323" customWidth="1"/>
    <col min="11266" max="11266" width="11.33203125" style="323" customWidth="1"/>
    <col min="11267" max="11267" width="10.33203125" style="323" customWidth="1"/>
    <col min="11268" max="11268" width="12" style="323" customWidth="1"/>
    <col min="11269" max="11507" width="9.33203125" style="323"/>
    <col min="11508" max="11508" width="4.83203125" style="323" customWidth="1"/>
    <col min="11509" max="11509" width="27.33203125" style="323" customWidth="1"/>
    <col min="11510" max="11511" width="15.5" style="323" customWidth="1"/>
    <col min="11512" max="11512" width="13.6640625" style="323" customWidth="1"/>
    <col min="11513" max="11513" width="12.33203125" style="323" customWidth="1"/>
    <col min="11514" max="11514" width="13" style="323" bestFit="1" customWidth="1"/>
    <col min="11515" max="11515" width="11.33203125" style="323" customWidth="1"/>
    <col min="11516" max="11516" width="12.33203125" style="323" customWidth="1"/>
    <col min="11517" max="11517" width="10.33203125" style="323" customWidth="1"/>
    <col min="11518" max="11518" width="10.1640625" style="323" customWidth="1"/>
    <col min="11519" max="11519" width="13" style="323" customWidth="1"/>
    <col min="11520" max="11520" width="12.5" style="323" customWidth="1"/>
    <col min="11521" max="11521" width="11.6640625" style="323" customWidth="1"/>
    <col min="11522" max="11522" width="11.33203125" style="323" customWidth="1"/>
    <col min="11523" max="11523" width="10.33203125" style="323" customWidth="1"/>
    <col min="11524" max="11524" width="12" style="323" customWidth="1"/>
    <col min="11525" max="11763" width="9.33203125" style="323"/>
    <col min="11764" max="11764" width="4.83203125" style="323" customWidth="1"/>
    <col min="11765" max="11765" width="27.33203125" style="323" customWidth="1"/>
    <col min="11766" max="11767" width="15.5" style="323" customWidth="1"/>
    <col min="11768" max="11768" width="13.6640625" style="323" customWidth="1"/>
    <col min="11769" max="11769" width="12.33203125" style="323" customWidth="1"/>
    <col min="11770" max="11770" width="13" style="323" bestFit="1" customWidth="1"/>
    <col min="11771" max="11771" width="11.33203125" style="323" customWidth="1"/>
    <col min="11772" max="11772" width="12.33203125" style="323" customWidth="1"/>
    <col min="11773" max="11773" width="10.33203125" style="323" customWidth="1"/>
    <col min="11774" max="11774" width="10.1640625" style="323" customWidth="1"/>
    <col min="11775" max="11775" width="13" style="323" customWidth="1"/>
    <col min="11776" max="11776" width="12.5" style="323" customWidth="1"/>
    <col min="11777" max="11777" width="11.6640625" style="323" customWidth="1"/>
    <col min="11778" max="11778" width="11.33203125" style="323" customWidth="1"/>
    <col min="11779" max="11779" width="10.33203125" style="323" customWidth="1"/>
    <col min="11780" max="11780" width="12" style="323" customWidth="1"/>
    <col min="11781" max="12019" width="9.33203125" style="323"/>
    <col min="12020" max="12020" width="4.83203125" style="323" customWidth="1"/>
    <col min="12021" max="12021" width="27.33203125" style="323" customWidth="1"/>
    <col min="12022" max="12023" width="15.5" style="323" customWidth="1"/>
    <col min="12024" max="12024" width="13.6640625" style="323" customWidth="1"/>
    <col min="12025" max="12025" width="12.33203125" style="323" customWidth="1"/>
    <col min="12026" max="12026" width="13" style="323" bestFit="1" customWidth="1"/>
    <col min="12027" max="12027" width="11.33203125" style="323" customWidth="1"/>
    <col min="12028" max="12028" width="12.33203125" style="323" customWidth="1"/>
    <col min="12029" max="12029" width="10.33203125" style="323" customWidth="1"/>
    <col min="12030" max="12030" width="10.1640625" style="323" customWidth="1"/>
    <col min="12031" max="12031" width="13" style="323" customWidth="1"/>
    <col min="12032" max="12032" width="12.5" style="323" customWidth="1"/>
    <col min="12033" max="12033" width="11.6640625" style="323" customWidth="1"/>
    <col min="12034" max="12034" width="11.33203125" style="323" customWidth="1"/>
    <col min="12035" max="12035" width="10.33203125" style="323" customWidth="1"/>
    <col min="12036" max="12036" width="12" style="323" customWidth="1"/>
    <col min="12037" max="12275" width="9.33203125" style="323"/>
    <col min="12276" max="12276" width="4.83203125" style="323" customWidth="1"/>
    <col min="12277" max="12277" width="27.33203125" style="323" customWidth="1"/>
    <col min="12278" max="12279" width="15.5" style="323" customWidth="1"/>
    <col min="12280" max="12280" width="13.6640625" style="323" customWidth="1"/>
    <col min="12281" max="12281" width="12.33203125" style="323" customWidth="1"/>
    <col min="12282" max="12282" width="13" style="323" bestFit="1" customWidth="1"/>
    <col min="12283" max="12283" width="11.33203125" style="323" customWidth="1"/>
    <col min="12284" max="12284" width="12.33203125" style="323" customWidth="1"/>
    <col min="12285" max="12285" width="10.33203125" style="323" customWidth="1"/>
    <col min="12286" max="12286" width="10.1640625" style="323" customWidth="1"/>
    <col min="12287" max="12287" width="13" style="323" customWidth="1"/>
    <col min="12288" max="12288" width="12.5" style="323" customWidth="1"/>
    <col min="12289" max="12289" width="11.6640625" style="323" customWidth="1"/>
    <col min="12290" max="12290" width="11.33203125" style="323" customWidth="1"/>
    <col min="12291" max="12291" width="10.33203125" style="323" customWidth="1"/>
    <col min="12292" max="12292" width="12" style="323" customWidth="1"/>
    <col min="12293" max="12531" width="9.33203125" style="323"/>
    <col min="12532" max="12532" width="4.83203125" style="323" customWidth="1"/>
    <col min="12533" max="12533" width="27.33203125" style="323" customWidth="1"/>
    <col min="12534" max="12535" width="15.5" style="323" customWidth="1"/>
    <col min="12536" max="12536" width="13.6640625" style="323" customWidth="1"/>
    <col min="12537" max="12537" width="12.33203125" style="323" customWidth="1"/>
    <col min="12538" max="12538" width="13" style="323" bestFit="1" customWidth="1"/>
    <col min="12539" max="12539" width="11.33203125" style="323" customWidth="1"/>
    <col min="12540" max="12540" width="12.33203125" style="323" customWidth="1"/>
    <col min="12541" max="12541" width="10.33203125" style="323" customWidth="1"/>
    <col min="12542" max="12542" width="10.1640625" style="323" customWidth="1"/>
    <col min="12543" max="12543" width="13" style="323" customWidth="1"/>
    <col min="12544" max="12544" width="12.5" style="323" customWidth="1"/>
    <col min="12545" max="12545" width="11.6640625" style="323" customWidth="1"/>
    <col min="12546" max="12546" width="11.33203125" style="323" customWidth="1"/>
    <col min="12547" max="12547" width="10.33203125" style="323" customWidth="1"/>
    <col min="12548" max="12548" width="12" style="323" customWidth="1"/>
    <col min="12549" max="12787" width="9.33203125" style="323"/>
    <col min="12788" max="12788" width="4.83203125" style="323" customWidth="1"/>
    <col min="12789" max="12789" width="27.33203125" style="323" customWidth="1"/>
    <col min="12790" max="12791" width="15.5" style="323" customWidth="1"/>
    <col min="12792" max="12792" width="13.6640625" style="323" customWidth="1"/>
    <col min="12793" max="12793" width="12.33203125" style="323" customWidth="1"/>
    <col min="12794" max="12794" width="13" style="323" bestFit="1" customWidth="1"/>
    <col min="12795" max="12795" width="11.33203125" style="323" customWidth="1"/>
    <col min="12796" max="12796" width="12.33203125" style="323" customWidth="1"/>
    <col min="12797" max="12797" width="10.33203125" style="323" customWidth="1"/>
    <col min="12798" max="12798" width="10.1640625" style="323" customWidth="1"/>
    <col min="12799" max="12799" width="13" style="323" customWidth="1"/>
    <col min="12800" max="12800" width="12.5" style="323" customWidth="1"/>
    <col min="12801" max="12801" width="11.6640625" style="323" customWidth="1"/>
    <col min="12802" max="12802" width="11.33203125" style="323" customWidth="1"/>
    <col min="12803" max="12803" width="10.33203125" style="323" customWidth="1"/>
    <col min="12804" max="12804" width="12" style="323" customWidth="1"/>
    <col min="12805" max="13043" width="9.33203125" style="323"/>
    <col min="13044" max="13044" width="4.83203125" style="323" customWidth="1"/>
    <col min="13045" max="13045" width="27.33203125" style="323" customWidth="1"/>
    <col min="13046" max="13047" width="15.5" style="323" customWidth="1"/>
    <col min="13048" max="13048" width="13.6640625" style="323" customWidth="1"/>
    <col min="13049" max="13049" width="12.33203125" style="323" customWidth="1"/>
    <col min="13050" max="13050" width="13" style="323" bestFit="1" customWidth="1"/>
    <col min="13051" max="13051" width="11.33203125" style="323" customWidth="1"/>
    <col min="13052" max="13052" width="12.33203125" style="323" customWidth="1"/>
    <col min="13053" max="13053" width="10.33203125" style="323" customWidth="1"/>
    <col min="13054" max="13054" width="10.1640625" style="323" customWidth="1"/>
    <col min="13055" max="13055" width="13" style="323" customWidth="1"/>
    <col min="13056" max="13056" width="12.5" style="323" customWidth="1"/>
    <col min="13057" max="13057" width="11.6640625" style="323" customWidth="1"/>
    <col min="13058" max="13058" width="11.33203125" style="323" customWidth="1"/>
    <col min="13059" max="13059" width="10.33203125" style="323" customWidth="1"/>
    <col min="13060" max="13060" width="12" style="323" customWidth="1"/>
    <col min="13061" max="13299" width="9.33203125" style="323"/>
    <col min="13300" max="13300" width="4.83203125" style="323" customWidth="1"/>
    <col min="13301" max="13301" width="27.33203125" style="323" customWidth="1"/>
    <col min="13302" max="13303" width="15.5" style="323" customWidth="1"/>
    <col min="13304" max="13304" width="13.6640625" style="323" customWidth="1"/>
    <col min="13305" max="13305" width="12.33203125" style="323" customWidth="1"/>
    <col min="13306" max="13306" width="13" style="323" bestFit="1" customWidth="1"/>
    <col min="13307" max="13307" width="11.33203125" style="323" customWidth="1"/>
    <col min="13308" max="13308" width="12.33203125" style="323" customWidth="1"/>
    <col min="13309" max="13309" width="10.33203125" style="323" customWidth="1"/>
    <col min="13310" max="13310" width="10.1640625" style="323" customWidth="1"/>
    <col min="13311" max="13311" width="13" style="323" customWidth="1"/>
    <col min="13312" max="13312" width="12.5" style="323" customWidth="1"/>
    <col min="13313" max="13313" width="11.6640625" style="323" customWidth="1"/>
    <col min="13314" max="13314" width="11.33203125" style="323" customWidth="1"/>
    <col min="13315" max="13315" width="10.33203125" style="323" customWidth="1"/>
    <col min="13316" max="13316" width="12" style="323" customWidth="1"/>
    <col min="13317" max="13555" width="9.33203125" style="323"/>
    <col min="13556" max="13556" width="4.83203125" style="323" customWidth="1"/>
    <col min="13557" max="13557" width="27.33203125" style="323" customWidth="1"/>
    <col min="13558" max="13559" width="15.5" style="323" customWidth="1"/>
    <col min="13560" max="13560" width="13.6640625" style="323" customWidth="1"/>
    <col min="13561" max="13561" width="12.33203125" style="323" customWidth="1"/>
    <col min="13562" max="13562" width="13" style="323" bestFit="1" customWidth="1"/>
    <col min="13563" max="13563" width="11.33203125" style="323" customWidth="1"/>
    <col min="13564" max="13564" width="12.33203125" style="323" customWidth="1"/>
    <col min="13565" max="13565" width="10.33203125" style="323" customWidth="1"/>
    <col min="13566" max="13566" width="10.1640625" style="323" customWidth="1"/>
    <col min="13567" max="13567" width="13" style="323" customWidth="1"/>
    <col min="13568" max="13568" width="12.5" style="323" customWidth="1"/>
    <col min="13569" max="13569" width="11.6640625" style="323" customWidth="1"/>
    <col min="13570" max="13570" width="11.33203125" style="323" customWidth="1"/>
    <col min="13571" max="13571" width="10.33203125" style="323" customWidth="1"/>
    <col min="13572" max="13572" width="12" style="323" customWidth="1"/>
    <col min="13573" max="13811" width="9.33203125" style="323"/>
    <col min="13812" max="13812" width="4.83203125" style="323" customWidth="1"/>
    <col min="13813" max="13813" width="27.33203125" style="323" customWidth="1"/>
    <col min="13814" max="13815" width="15.5" style="323" customWidth="1"/>
    <col min="13816" max="13816" width="13.6640625" style="323" customWidth="1"/>
    <col min="13817" max="13817" width="12.33203125" style="323" customWidth="1"/>
    <col min="13818" max="13818" width="13" style="323" bestFit="1" customWidth="1"/>
    <col min="13819" max="13819" width="11.33203125" style="323" customWidth="1"/>
    <col min="13820" max="13820" width="12.33203125" style="323" customWidth="1"/>
    <col min="13821" max="13821" width="10.33203125" style="323" customWidth="1"/>
    <col min="13822" max="13822" width="10.1640625" style="323" customWidth="1"/>
    <col min="13823" max="13823" width="13" style="323" customWidth="1"/>
    <col min="13824" max="13824" width="12.5" style="323" customWidth="1"/>
    <col min="13825" max="13825" width="11.6640625" style="323" customWidth="1"/>
    <col min="13826" max="13826" width="11.33203125" style="323" customWidth="1"/>
    <col min="13827" max="13827" width="10.33203125" style="323" customWidth="1"/>
    <col min="13828" max="13828" width="12" style="323" customWidth="1"/>
    <col min="13829" max="14067" width="9.33203125" style="323"/>
    <col min="14068" max="14068" width="4.83203125" style="323" customWidth="1"/>
    <col min="14069" max="14069" width="27.33203125" style="323" customWidth="1"/>
    <col min="14070" max="14071" width="15.5" style="323" customWidth="1"/>
    <col min="14072" max="14072" width="13.6640625" style="323" customWidth="1"/>
    <col min="14073" max="14073" width="12.33203125" style="323" customWidth="1"/>
    <col min="14074" max="14074" width="13" style="323" bestFit="1" customWidth="1"/>
    <col min="14075" max="14075" width="11.33203125" style="323" customWidth="1"/>
    <col min="14076" max="14076" width="12.33203125" style="323" customWidth="1"/>
    <col min="14077" max="14077" width="10.33203125" style="323" customWidth="1"/>
    <col min="14078" max="14078" width="10.1640625" style="323" customWidth="1"/>
    <col min="14079" max="14079" width="13" style="323" customWidth="1"/>
    <col min="14080" max="14080" width="12.5" style="323" customWidth="1"/>
    <col min="14081" max="14081" width="11.6640625" style="323" customWidth="1"/>
    <col min="14082" max="14082" width="11.33203125" style="323" customWidth="1"/>
    <col min="14083" max="14083" width="10.33203125" style="323" customWidth="1"/>
    <col min="14084" max="14084" width="12" style="323" customWidth="1"/>
    <col min="14085" max="14323" width="9.33203125" style="323"/>
    <col min="14324" max="14324" width="4.83203125" style="323" customWidth="1"/>
    <col min="14325" max="14325" width="27.33203125" style="323" customWidth="1"/>
    <col min="14326" max="14327" width="15.5" style="323" customWidth="1"/>
    <col min="14328" max="14328" width="13.6640625" style="323" customWidth="1"/>
    <col min="14329" max="14329" width="12.33203125" style="323" customWidth="1"/>
    <col min="14330" max="14330" width="13" style="323" bestFit="1" customWidth="1"/>
    <col min="14331" max="14331" width="11.33203125" style="323" customWidth="1"/>
    <col min="14332" max="14332" width="12.33203125" style="323" customWidth="1"/>
    <col min="14333" max="14333" width="10.33203125" style="323" customWidth="1"/>
    <col min="14334" max="14334" width="10.1640625" style="323" customWidth="1"/>
    <col min="14335" max="14335" width="13" style="323" customWidth="1"/>
    <col min="14336" max="14336" width="12.5" style="323" customWidth="1"/>
    <col min="14337" max="14337" width="11.6640625" style="323" customWidth="1"/>
    <col min="14338" max="14338" width="11.33203125" style="323" customWidth="1"/>
    <col min="14339" max="14339" width="10.33203125" style="323" customWidth="1"/>
    <col min="14340" max="14340" width="12" style="323" customWidth="1"/>
    <col min="14341" max="14579" width="9.33203125" style="323"/>
    <col min="14580" max="14580" width="4.83203125" style="323" customWidth="1"/>
    <col min="14581" max="14581" width="27.33203125" style="323" customWidth="1"/>
    <col min="14582" max="14583" width="15.5" style="323" customWidth="1"/>
    <col min="14584" max="14584" width="13.6640625" style="323" customWidth="1"/>
    <col min="14585" max="14585" width="12.33203125" style="323" customWidth="1"/>
    <col min="14586" max="14586" width="13" style="323" bestFit="1" customWidth="1"/>
    <col min="14587" max="14587" width="11.33203125" style="323" customWidth="1"/>
    <col min="14588" max="14588" width="12.33203125" style="323" customWidth="1"/>
    <col min="14589" max="14589" width="10.33203125" style="323" customWidth="1"/>
    <col min="14590" max="14590" width="10.1640625" style="323" customWidth="1"/>
    <col min="14591" max="14591" width="13" style="323" customWidth="1"/>
    <col min="14592" max="14592" width="12.5" style="323" customWidth="1"/>
    <col min="14593" max="14593" width="11.6640625" style="323" customWidth="1"/>
    <col min="14594" max="14594" width="11.33203125" style="323" customWidth="1"/>
    <col min="14595" max="14595" width="10.33203125" style="323" customWidth="1"/>
    <col min="14596" max="14596" width="12" style="323" customWidth="1"/>
    <col min="14597" max="14835" width="9.33203125" style="323"/>
    <col min="14836" max="14836" width="4.83203125" style="323" customWidth="1"/>
    <col min="14837" max="14837" width="27.33203125" style="323" customWidth="1"/>
    <col min="14838" max="14839" width="15.5" style="323" customWidth="1"/>
    <col min="14840" max="14840" width="13.6640625" style="323" customWidth="1"/>
    <col min="14841" max="14841" width="12.33203125" style="323" customWidth="1"/>
    <col min="14842" max="14842" width="13" style="323" bestFit="1" customWidth="1"/>
    <col min="14843" max="14843" width="11.33203125" style="323" customWidth="1"/>
    <col min="14844" max="14844" width="12.33203125" style="323" customWidth="1"/>
    <col min="14845" max="14845" width="10.33203125" style="323" customWidth="1"/>
    <col min="14846" max="14846" width="10.1640625" style="323" customWidth="1"/>
    <col min="14847" max="14847" width="13" style="323" customWidth="1"/>
    <col min="14848" max="14848" width="12.5" style="323" customWidth="1"/>
    <col min="14849" max="14849" width="11.6640625" style="323" customWidth="1"/>
    <col min="14850" max="14850" width="11.33203125" style="323" customWidth="1"/>
    <col min="14851" max="14851" width="10.33203125" style="323" customWidth="1"/>
    <col min="14852" max="14852" width="12" style="323" customWidth="1"/>
    <col min="14853" max="15091" width="9.33203125" style="323"/>
    <col min="15092" max="15092" width="4.83203125" style="323" customWidth="1"/>
    <col min="15093" max="15093" width="27.33203125" style="323" customWidth="1"/>
    <col min="15094" max="15095" width="15.5" style="323" customWidth="1"/>
    <col min="15096" max="15096" width="13.6640625" style="323" customWidth="1"/>
    <col min="15097" max="15097" width="12.33203125" style="323" customWidth="1"/>
    <col min="15098" max="15098" width="13" style="323" bestFit="1" customWidth="1"/>
    <col min="15099" max="15099" width="11.33203125" style="323" customWidth="1"/>
    <col min="15100" max="15100" width="12.33203125" style="323" customWidth="1"/>
    <col min="15101" max="15101" width="10.33203125" style="323" customWidth="1"/>
    <col min="15102" max="15102" width="10.1640625" style="323" customWidth="1"/>
    <col min="15103" max="15103" width="13" style="323" customWidth="1"/>
    <col min="15104" max="15104" width="12.5" style="323" customWidth="1"/>
    <col min="15105" max="15105" width="11.6640625" style="323" customWidth="1"/>
    <col min="15106" max="15106" width="11.33203125" style="323" customWidth="1"/>
    <col min="15107" max="15107" width="10.33203125" style="323" customWidth="1"/>
    <col min="15108" max="15108" width="12" style="323" customWidth="1"/>
    <col min="15109" max="15347" width="9.33203125" style="323"/>
    <col min="15348" max="15348" width="4.83203125" style="323" customWidth="1"/>
    <col min="15349" max="15349" width="27.33203125" style="323" customWidth="1"/>
    <col min="15350" max="15351" width="15.5" style="323" customWidth="1"/>
    <col min="15352" max="15352" width="13.6640625" style="323" customWidth="1"/>
    <col min="15353" max="15353" width="12.33203125" style="323" customWidth="1"/>
    <col min="15354" max="15354" width="13" style="323" bestFit="1" customWidth="1"/>
    <col min="15355" max="15355" width="11.33203125" style="323" customWidth="1"/>
    <col min="15356" max="15356" width="12.33203125" style="323" customWidth="1"/>
    <col min="15357" max="15357" width="10.33203125" style="323" customWidth="1"/>
    <col min="15358" max="15358" width="10.1640625" style="323" customWidth="1"/>
    <col min="15359" max="15359" width="13" style="323" customWidth="1"/>
    <col min="15360" max="15360" width="12.5" style="323" customWidth="1"/>
    <col min="15361" max="15361" width="11.6640625" style="323" customWidth="1"/>
    <col min="15362" max="15362" width="11.33203125" style="323" customWidth="1"/>
    <col min="15363" max="15363" width="10.33203125" style="323" customWidth="1"/>
    <col min="15364" max="15364" width="12" style="323" customWidth="1"/>
    <col min="15365" max="15603" width="9.33203125" style="323"/>
    <col min="15604" max="15604" width="4.83203125" style="323" customWidth="1"/>
    <col min="15605" max="15605" width="27.33203125" style="323" customWidth="1"/>
    <col min="15606" max="15607" width="15.5" style="323" customWidth="1"/>
    <col min="15608" max="15608" width="13.6640625" style="323" customWidth="1"/>
    <col min="15609" max="15609" width="12.33203125" style="323" customWidth="1"/>
    <col min="15610" max="15610" width="13" style="323" bestFit="1" customWidth="1"/>
    <col min="15611" max="15611" width="11.33203125" style="323" customWidth="1"/>
    <col min="15612" max="15612" width="12.33203125" style="323" customWidth="1"/>
    <col min="15613" max="15613" width="10.33203125" style="323" customWidth="1"/>
    <col min="15614" max="15614" width="10.1640625" style="323" customWidth="1"/>
    <col min="15615" max="15615" width="13" style="323" customWidth="1"/>
    <col min="15616" max="15616" width="12.5" style="323" customWidth="1"/>
    <col min="15617" max="15617" width="11.6640625" style="323" customWidth="1"/>
    <col min="15618" max="15618" width="11.33203125" style="323" customWidth="1"/>
    <col min="15619" max="15619" width="10.33203125" style="323" customWidth="1"/>
    <col min="15620" max="15620" width="12" style="323" customWidth="1"/>
    <col min="15621" max="15859" width="9.33203125" style="323"/>
    <col min="15860" max="15860" width="4.83203125" style="323" customWidth="1"/>
    <col min="15861" max="15861" width="27.33203125" style="323" customWidth="1"/>
    <col min="15862" max="15863" width="15.5" style="323" customWidth="1"/>
    <col min="15864" max="15864" width="13.6640625" style="323" customWidth="1"/>
    <col min="15865" max="15865" width="12.33203125" style="323" customWidth="1"/>
    <col min="15866" max="15866" width="13" style="323" bestFit="1" customWidth="1"/>
    <col min="15867" max="15867" width="11.33203125" style="323" customWidth="1"/>
    <col min="15868" max="15868" width="12.33203125" style="323" customWidth="1"/>
    <col min="15869" max="15869" width="10.33203125" style="323" customWidth="1"/>
    <col min="15870" max="15870" width="10.1640625" style="323" customWidth="1"/>
    <col min="15871" max="15871" width="13" style="323" customWidth="1"/>
    <col min="15872" max="15872" width="12.5" style="323" customWidth="1"/>
    <col min="15873" max="15873" width="11.6640625" style="323" customWidth="1"/>
    <col min="15874" max="15874" width="11.33203125" style="323" customWidth="1"/>
    <col min="15875" max="15875" width="10.33203125" style="323" customWidth="1"/>
    <col min="15876" max="15876" width="12" style="323" customWidth="1"/>
    <col min="15877" max="16115" width="9.33203125" style="323"/>
    <col min="16116" max="16116" width="4.83203125" style="323" customWidth="1"/>
    <col min="16117" max="16117" width="27.33203125" style="323" customWidth="1"/>
    <col min="16118" max="16119" width="15.5" style="323" customWidth="1"/>
    <col min="16120" max="16120" width="13.6640625" style="323" customWidth="1"/>
    <col min="16121" max="16121" width="12.33203125" style="323" customWidth="1"/>
    <col min="16122" max="16122" width="13" style="323" bestFit="1" customWidth="1"/>
    <col min="16123" max="16123" width="11.33203125" style="323" customWidth="1"/>
    <col min="16124" max="16124" width="12.33203125" style="323" customWidth="1"/>
    <col min="16125" max="16125" width="10.33203125" style="323" customWidth="1"/>
    <col min="16126" max="16126" width="10.1640625" style="323" customWidth="1"/>
    <col min="16127" max="16127" width="13" style="323" customWidth="1"/>
    <col min="16128" max="16128" width="12.5" style="323" customWidth="1"/>
    <col min="16129" max="16129" width="11.6640625" style="323" customWidth="1"/>
    <col min="16130" max="16130" width="11.33203125" style="323" customWidth="1"/>
    <col min="16131" max="16131" width="10.33203125" style="323" customWidth="1"/>
    <col min="16132" max="16132" width="12" style="323" customWidth="1"/>
    <col min="16133" max="16384" width="9.33203125" style="323"/>
  </cols>
  <sheetData>
    <row r="1" spans="1:11" ht="11.25" customHeight="1"/>
    <row r="2" spans="1:11" ht="35.25" customHeight="1">
      <c r="A2" s="426" t="s">
        <v>374</v>
      </c>
      <c r="B2" s="426"/>
      <c r="C2" s="426"/>
      <c r="D2" s="426"/>
      <c r="E2" s="426"/>
      <c r="F2" s="426"/>
      <c r="G2" s="426"/>
      <c r="H2" s="426"/>
      <c r="I2" s="426"/>
      <c r="K2" s="325"/>
    </row>
    <row r="3" spans="1:11" ht="9.75" customHeight="1">
      <c r="A3" s="326"/>
      <c r="B3" s="326"/>
      <c r="C3" s="326"/>
      <c r="D3" s="326"/>
      <c r="E3" s="326"/>
      <c r="F3" s="326"/>
      <c r="G3" s="326"/>
      <c r="H3" s="326"/>
    </row>
    <row r="4" spans="1:11" s="327" customFormat="1" ht="19.5" customHeight="1">
      <c r="A4" s="427" t="s">
        <v>53</v>
      </c>
      <c r="B4" s="429" t="s">
        <v>375</v>
      </c>
      <c r="C4" s="429" t="s">
        <v>59</v>
      </c>
      <c r="D4" s="429" t="s">
        <v>376</v>
      </c>
      <c r="E4" s="430" t="s">
        <v>377</v>
      </c>
      <c r="F4" s="430"/>
      <c r="G4" s="430"/>
      <c r="H4" s="429" t="s">
        <v>378</v>
      </c>
      <c r="I4" s="429" t="s">
        <v>379</v>
      </c>
    </row>
    <row r="5" spans="1:11" ht="51" customHeight="1">
      <c r="A5" s="428"/>
      <c r="B5" s="429"/>
      <c r="C5" s="429"/>
      <c r="D5" s="429"/>
      <c r="E5" s="328" t="s">
        <v>380</v>
      </c>
      <c r="F5" s="328" t="s">
        <v>381</v>
      </c>
      <c r="G5" s="328" t="s">
        <v>382</v>
      </c>
      <c r="H5" s="429"/>
      <c r="I5" s="429"/>
    </row>
    <row r="6" spans="1:11" s="25" customFormat="1" ht="14.25" customHeight="1">
      <c r="A6" s="329">
        <v>1</v>
      </c>
      <c r="B6" s="329">
        <v>2</v>
      </c>
      <c r="C6" s="329">
        <v>3</v>
      </c>
      <c r="D6" s="329">
        <v>4</v>
      </c>
      <c r="E6" s="329">
        <v>5</v>
      </c>
      <c r="F6" s="329">
        <v>6</v>
      </c>
      <c r="G6" s="329">
        <v>7</v>
      </c>
      <c r="H6" s="329">
        <v>8</v>
      </c>
      <c r="I6" s="329">
        <v>9</v>
      </c>
    </row>
    <row r="7" spans="1:11" s="327" customFormat="1" ht="36" customHeight="1">
      <c r="A7" s="422" t="s">
        <v>54</v>
      </c>
      <c r="B7" s="330" t="s">
        <v>383</v>
      </c>
      <c r="C7" s="425" t="s">
        <v>384</v>
      </c>
      <c r="D7" s="425"/>
      <c r="E7" s="425"/>
      <c r="F7" s="425"/>
      <c r="G7" s="425"/>
      <c r="H7" s="425"/>
      <c r="I7" s="425"/>
    </row>
    <row r="8" spans="1:11" s="327" customFormat="1" ht="51" customHeight="1">
      <c r="A8" s="423"/>
      <c r="B8" s="330" t="s">
        <v>258</v>
      </c>
      <c r="C8" s="425"/>
      <c r="D8" s="425"/>
      <c r="E8" s="425"/>
      <c r="F8" s="425"/>
      <c r="G8" s="425"/>
      <c r="H8" s="425"/>
      <c r="I8" s="425"/>
    </row>
    <row r="9" spans="1:11" s="327" customFormat="1" ht="18.95" customHeight="1">
      <c r="A9" s="423"/>
      <c r="B9" s="331" t="s">
        <v>385</v>
      </c>
      <c r="C9" s="431">
        <v>71095</v>
      </c>
      <c r="D9" s="332">
        <f>SUM(E9:I9)</f>
        <v>204170.41</v>
      </c>
      <c r="E9" s="333">
        <v>204170.41</v>
      </c>
      <c r="F9" s="333">
        <v>0</v>
      </c>
      <c r="G9" s="333">
        <v>0</v>
      </c>
      <c r="H9" s="333">
        <v>0</v>
      </c>
      <c r="I9" s="333">
        <v>0</v>
      </c>
    </row>
    <row r="10" spans="1:11" s="337" customFormat="1" ht="18.95" customHeight="1">
      <c r="A10" s="423"/>
      <c r="B10" s="334" t="s">
        <v>386</v>
      </c>
      <c r="C10" s="432"/>
      <c r="D10" s="335">
        <f>SUM(E10:I10)</f>
        <v>70572</v>
      </c>
      <c r="E10" s="336">
        <f>80330-9758</f>
        <v>70572</v>
      </c>
      <c r="F10" s="336">
        <v>0</v>
      </c>
      <c r="G10" s="336">
        <v>0</v>
      </c>
      <c r="H10" s="336">
        <v>0</v>
      </c>
      <c r="I10" s="336">
        <v>0</v>
      </c>
    </row>
    <row r="11" spans="1:11" s="327" customFormat="1" ht="21.75" customHeight="1">
      <c r="A11" s="425" t="s">
        <v>55</v>
      </c>
      <c r="B11" s="330" t="s">
        <v>387</v>
      </c>
      <c r="C11" s="425" t="s">
        <v>388</v>
      </c>
      <c r="D11" s="425"/>
      <c r="E11" s="425"/>
      <c r="F11" s="425"/>
      <c r="G11" s="425"/>
      <c r="H11" s="425"/>
      <c r="I11" s="425"/>
    </row>
    <row r="12" spans="1:11" s="327" customFormat="1" ht="18.95" customHeight="1">
      <c r="A12" s="425"/>
      <c r="B12" s="330" t="s">
        <v>389</v>
      </c>
      <c r="C12" s="425"/>
      <c r="D12" s="425"/>
      <c r="E12" s="425"/>
      <c r="F12" s="425"/>
      <c r="G12" s="425"/>
      <c r="H12" s="425"/>
      <c r="I12" s="425"/>
    </row>
    <row r="13" spans="1:11" s="327" customFormat="1" ht="18.95" customHeight="1">
      <c r="A13" s="425"/>
      <c r="B13" s="330" t="s">
        <v>390</v>
      </c>
      <c r="C13" s="425"/>
      <c r="D13" s="425"/>
      <c r="E13" s="425"/>
      <c r="F13" s="425"/>
      <c r="G13" s="425"/>
      <c r="H13" s="425"/>
      <c r="I13" s="425"/>
    </row>
    <row r="14" spans="1:11" s="337" customFormat="1" ht="18.95" customHeight="1">
      <c r="A14" s="425"/>
      <c r="B14" s="334" t="s">
        <v>386</v>
      </c>
      <c r="C14" s="338">
        <v>80115</v>
      </c>
      <c r="D14" s="335">
        <f>SUM(E14:I14)</f>
        <v>508745</v>
      </c>
      <c r="E14" s="336">
        <v>0</v>
      </c>
      <c r="F14" s="336">
        <v>0</v>
      </c>
      <c r="G14" s="336">
        <v>0</v>
      </c>
      <c r="H14" s="336">
        <v>0</v>
      </c>
      <c r="I14" s="336">
        <v>508745</v>
      </c>
    </row>
    <row r="15" spans="1:11" s="337" customFormat="1" ht="22.5" customHeight="1">
      <c r="A15" s="422" t="s">
        <v>56</v>
      </c>
      <c r="B15" s="330" t="s">
        <v>387</v>
      </c>
      <c r="C15" s="425" t="s">
        <v>391</v>
      </c>
      <c r="D15" s="425"/>
      <c r="E15" s="425"/>
      <c r="F15" s="425"/>
      <c r="G15" s="425"/>
      <c r="H15" s="425"/>
      <c r="I15" s="425"/>
    </row>
    <row r="16" spans="1:11" s="337" customFormat="1" ht="36" customHeight="1">
      <c r="A16" s="423"/>
      <c r="B16" s="330" t="s">
        <v>392</v>
      </c>
      <c r="C16" s="425"/>
      <c r="D16" s="425"/>
      <c r="E16" s="425"/>
      <c r="F16" s="425"/>
      <c r="G16" s="425"/>
      <c r="H16" s="425"/>
      <c r="I16" s="425"/>
    </row>
    <row r="17" spans="1:9" s="337" customFormat="1" ht="25.5" customHeight="1">
      <c r="A17" s="423"/>
      <c r="B17" s="339" t="s">
        <v>393</v>
      </c>
      <c r="C17" s="425"/>
      <c r="D17" s="425"/>
      <c r="E17" s="425"/>
      <c r="F17" s="425"/>
      <c r="G17" s="425"/>
      <c r="H17" s="425"/>
      <c r="I17" s="425"/>
    </row>
    <row r="18" spans="1:9" s="337" customFormat="1" ht="18.95" customHeight="1">
      <c r="A18" s="424"/>
      <c r="B18" s="334" t="s">
        <v>386</v>
      </c>
      <c r="C18" s="338">
        <v>80120</v>
      </c>
      <c r="D18" s="335">
        <f>SUM(E18:I18)</f>
        <v>96210</v>
      </c>
      <c r="E18" s="336">
        <v>0</v>
      </c>
      <c r="F18" s="336">
        <v>0</v>
      </c>
      <c r="G18" s="336">
        <v>0</v>
      </c>
      <c r="H18" s="336">
        <f>4395+1099</f>
        <v>5494</v>
      </c>
      <c r="I18" s="336">
        <f>72573+18143</f>
        <v>90716</v>
      </c>
    </row>
    <row r="19" spans="1:9" s="327" customFormat="1" ht="18.95" customHeight="1">
      <c r="A19" s="425" t="s">
        <v>57</v>
      </c>
      <c r="B19" s="330" t="s">
        <v>387</v>
      </c>
      <c r="C19" s="425" t="s">
        <v>394</v>
      </c>
      <c r="D19" s="425"/>
      <c r="E19" s="425"/>
      <c r="F19" s="425"/>
      <c r="G19" s="425"/>
      <c r="H19" s="425"/>
      <c r="I19" s="425"/>
    </row>
    <row r="20" spans="1:9" s="327" customFormat="1" ht="40.5" customHeight="1">
      <c r="A20" s="425"/>
      <c r="B20" s="330" t="s">
        <v>395</v>
      </c>
      <c r="C20" s="425"/>
      <c r="D20" s="425"/>
      <c r="E20" s="425"/>
      <c r="F20" s="425"/>
      <c r="G20" s="425"/>
      <c r="H20" s="425"/>
      <c r="I20" s="425"/>
    </row>
    <row r="21" spans="1:9" s="327" customFormat="1" ht="66.75" customHeight="1">
      <c r="A21" s="425"/>
      <c r="B21" s="330" t="s">
        <v>396</v>
      </c>
      <c r="C21" s="425"/>
      <c r="D21" s="425"/>
      <c r="E21" s="425"/>
      <c r="F21" s="425"/>
      <c r="G21" s="425"/>
      <c r="H21" s="425"/>
      <c r="I21" s="425"/>
    </row>
    <row r="22" spans="1:9" s="341" customFormat="1" ht="18.95" customHeight="1">
      <c r="A22" s="425"/>
      <c r="B22" s="340" t="s">
        <v>385</v>
      </c>
      <c r="C22" s="433">
        <v>85295</v>
      </c>
      <c r="D22" s="332">
        <f>SUM(E22:I22)</f>
        <v>298639.65000000002</v>
      </c>
      <c r="E22" s="333">
        <v>70481.91</v>
      </c>
      <c r="F22" s="333">
        <v>0</v>
      </c>
      <c r="G22" s="333">
        <v>0</v>
      </c>
      <c r="H22" s="333">
        <v>31154.93</v>
      </c>
      <c r="I22" s="333">
        <v>197002.81</v>
      </c>
    </row>
    <row r="23" spans="1:9" s="337" customFormat="1" ht="18.95" customHeight="1">
      <c r="A23" s="425"/>
      <c r="B23" s="334" t="s">
        <v>386</v>
      </c>
      <c r="C23" s="434"/>
      <c r="D23" s="335">
        <f>SUM(E23:I23)</f>
        <v>1300894</v>
      </c>
      <c r="E23" s="336">
        <f>70591+109</f>
        <v>70700</v>
      </c>
      <c r="F23" s="336">
        <v>0</v>
      </c>
      <c r="G23" s="336">
        <v>0</v>
      </c>
      <c r="H23" s="336">
        <f>151879+13433-16641</f>
        <v>148671</v>
      </c>
      <c r="I23" s="336">
        <f>960362+85008+36153</f>
        <v>1081523</v>
      </c>
    </row>
    <row r="24" spans="1:9" s="327" customFormat="1" ht="18.95" customHeight="1">
      <c r="A24" s="422" t="s">
        <v>137</v>
      </c>
      <c r="B24" s="330" t="s">
        <v>387</v>
      </c>
      <c r="C24" s="425" t="s">
        <v>394</v>
      </c>
      <c r="D24" s="425"/>
      <c r="E24" s="425"/>
      <c r="F24" s="425"/>
      <c r="G24" s="425"/>
      <c r="H24" s="425"/>
      <c r="I24" s="425"/>
    </row>
    <row r="25" spans="1:9" s="327" customFormat="1" ht="42.75" customHeight="1">
      <c r="A25" s="423"/>
      <c r="B25" s="330" t="s">
        <v>395</v>
      </c>
      <c r="C25" s="425"/>
      <c r="D25" s="425"/>
      <c r="E25" s="425"/>
      <c r="F25" s="425"/>
      <c r="G25" s="425"/>
      <c r="H25" s="425"/>
      <c r="I25" s="425"/>
    </row>
    <row r="26" spans="1:9" s="327" customFormat="1" ht="28.9" customHeight="1">
      <c r="A26" s="423"/>
      <c r="B26" s="330" t="s">
        <v>397</v>
      </c>
      <c r="C26" s="425"/>
      <c r="D26" s="425"/>
      <c r="E26" s="425"/>
      <c r="F26" s="425"/>
      <c r="G26" s="425"/>
      <c r="H26" s="425"/>
      <c r="I26" s="425"/>
    </row>
    <row r="27" spans="1:9" s="327" customFormat="1" ht="18.95" customHeight="1">
      <c r="A27" s="423"/>
      <c r="B27" s="340" t="s">
        <v>385</v>
      </c>
      <c r="C27" s="435">
        <v>85295</v>
      </c>
      <c r="D27" s="332">
        <f>SUM(E27:I27)</f>
        <v>236559.01</v>
      </c>
      <c r="E27" s="333">
        <v>0</v>
      </c>
      <c r="F27" s="333">
        <v>0</v>
      </c>
      <c r="G27" s="333">
        <v>0</v>
      </c>
      <c r="H27" s="333">
        <v>0</v>
      </c>
      <c r="I27" s="333">
        <v>236559.01</v>
      </c>
    </row>
    <row r="28" spans="1:9" s="337" customFormat="1" ht="18.95" customHeight="1">
      <c r="A28" s="423"/>
      <c r="B28" s="334" t="s">
        <v>386</v>
      </c>
      <c r="C28" s="435"/>
      <c r="D28" s="335">
        <f>SUM(E28:I28)</f>
        <v>262755</v>
      </c>
      <c r="E28" s="336">
        <v>0</v>
      </c>
      <c r="F28" s="336">
        <v>0</v>
      </c>
      <c r="G28" s="336">
        <v>0</v>
      </c>
      <c r="H28" s="336">
        <v>0</v>
      </c>
      <c r="I28" s="336">
        <f>239726+23029</f>
        <v>262755</v>
      </c>
    </row>
    <row r="29" spans="1:9" s="327" customFormat="1" ht="18.95" customHeight="1">
      <c r="A29" s="422" t="s">
        <v>138</v>
      </c>
      <c r="B29" s="330" t="s">
        <v>387</v>
      </c>
      <c r="C29" s="425" t="s">
        <v>388</v>
      </c>
      <c r="D29" s="425"/>
      <c r="E29" s="425"/>
      <c r="F29" s="425"/>
      <c r="G29" s="425"/>
      <c r="H29" s="425"/>
      <c r="I29" s="425"/>
    </row>
    <row r="30" spans="1:9" s="327" customFormat="1" ht="30.75" customHeight="1">
      <c r="A30" s="423"/>
      <c r="B30" s="330" t="s">
        <v>398</v>
      </c>
      <c r="C30" s="425"/>
      <c r="D30" s="425"/>
      <c r="E30" s="425"/>
      <c r="F30" s="425"/>
      <c r="G30" s="425"/>
      <c r="H30" s="425"/>
      <c r="I30" s="425"/>
    </row>
    <row r="31" spans="1:9" s="327" customFormat="1" ht="35.25" customHeight="1">
      <c r="A31" s="423"/>
      <c r="B31" s="330" t="s">
        <v>399</v>
      </c>
      <c r="C31" s="425"/>
      <c r="D31" s="425"/>
      <c r="E31" s="425"/>
      <c r="F31" s="425"/>
      <c r="G31" s="425"/>
      <c r="H31" s="425"/>
      <c r="I31" s="425"/>
    </row>
    <row r="32" spans="1:9" s="327" customFormat="1" ht="20.25" customHeight="1">
      <c r="A32" s="423"/>
      <c r="B32" s="342" t="s">
        <v>385</v>
      </c>
      <c r="C32" s="431">
        <v>80115</v>
      </c>
      <c r="D32" s="343">
        <v>516739</v>
      </c>
      <c r="E32" s="344"/>
      <c r="F32" s="344"/>
      <c r="G32" s="344"/>
      <c r="H32" s="344"/>
      <c r="I32" s="343">
        <v>516736.72</v>
      </c>
    </row>
    <row r="33" spans="1:9" s="337" customFormat="1" ht="19.5" customHeight="1">
      <c r="A33" s="423"/>
      <c r="B33" s="345" t="s">
        <v>386</v>
      </c>
      <c r="C33" s="432"/>
      <c r="D33" s="346">
        <f>SUM(E33:I33)</f>
        <v>129187</v>
      </c>
      <c r="E33" s="347">
        <v>0</v>
      </c>
      <c r="F33" s="347">
        <v>0</v>
      </c>
      <c r="G33" s="347">
        <v>0</v>
      </c>
      <c r="H33" s="347">
        <v>0</v>
      </c>
      <c r="I33" s="347">
        <f>129185+2</f>
        <v>129187</v>
      </c>
    </row>
    <row r="34" spans="1:9" s="337" customFormat="1" ht="18.95" customHeight="1">
      <c r="A34" s="422" t="s">
        <v>139</v>
      </c>
      <c r="B34" s="330" t="s">
        <v>387</v>
      </c>
      <c r="C34" s="425" t="s">
        <v>388</v>
      </c>
      <c r="D34" s="425"/>
      <c r="E34" s="425"/>
      <c r="F34" s="425"/>
      <c r="G34" s="425"/>
      <c r="H34" s="425"/>
      <c r="I34" s="425"/>
    </row>
    <row r="35" spans="1:9" s="337" customFormat="1" ht="39.75" customHeight="1">
      <c r="A35" s="423"/>
      <c r="B35" s="348" t="s">
        <v>395</v>
      </c>
      <c r="C35" s="425"/>
      <c r="D35" s="425"/>
      <c r="E35" s="425"/>
      <c r="F35" s="425"/>
      <c r="G35" s="425"/>
      <c r="H35" s="425"/>
      <c r="I35" s="425"/>
    </row>
    <row r="36" spans="1:9" s="337" customFormat="1" ht="54.75" customHeight="1">
      <c r="A36" s="423"/>
      <c r="B36" s="349" t="s">
        <v>400</v>
      </c>
      <c r="C36" s="425"/>
      <c r="D36" s="425"/>
      <c r="E36" s="425"/>
      <c r="F36" s="425"/>
      <c r="G36" s="425"/>
      <c r="H36" s="425"/>
      <c r="I36" s="425"/>
    </row>
    <row r="37" spans="1:9" s="337" customFormat="1" ht="18.75" customHeight="1">
      <c r="A37" s="424"/>
      <c r="B37" s="345" t="s">
        <v>386</v>
      </c>
      <c r="C37" s="350">
        <v>80195</v>
      </c>
      <c r="D37" s="346">
        <f>SUM(E37:I37)</f>
        <v>402872</v>
      </c>
      <c r="E37" s="347"/>
      <c r="F37" s="347"/>
      <c r="G37" s="347"/>
      <c r="H37" s="347">
        <v>43998</v>
      </c>
      <c r="I37" s="347">
        <v>358874</v>
      </c>
    </row>
    <row r="38" spans="1:9" s="337" customFormat="1" ht="18.75" customHeight="1">
      <c r="A38" s="422" t="s">
        <v>140</v>
      </c>
      <c r="B38" s="330" t="s">
        <v>387</v>
      </c>
      <c r="C38" s="425" t="s">
        <v>401</v>
      </c>
      <c r="D38" s="425"/>
      <c r="E38" s="425"/>
      <c r="F38" s="425"/>
      <c r="G38" s="425"/>
      <c r="H38" s="425"/>
      <c r="I38" s="425"/>
    </row>
    <row r="39" spans="1:9" s="337" customFormat="1" ht="38.25" customHeight="1">
      <c r="A39" s="423"/>
      <c r="B39" s="330" t="s">
        <v>395</v>
      </c>
      <c r="C39" s="425"/>
      <c r="D39" s="425"/>
      <c r="E39" s="425"/>
      <c r="F39" s="425"/>
      <c r="G39" s="425"/>
      <c r="H39" s="425"/>
      <c r="I39" s="425"/>
    </row>
    <row r="40" spans="1:9" s="337" customFormat="1" ht="33" customHeight="1">
      <c r="A40" s="423"/>
      <c r="B40" s="351" t="s">
        <v>402</v>
      </c>
      <c r="C40" s="425"/>
      <c r="D40" s="425"/>
      <c r="E40" s="425"/>
      <c r="F40" s="425"/>
      <c r="G40" s="425"/>
      <c r="H40" s="425"/>
      <c r="I40" s="425"/>
    </row>
    <row r="41" spans="1:9" s="337" customFormat="1" ht="18.75" customHeight="1">
      <c r="A41" s="424"/>
      <c r="B41" s="345" t="s">
        <v>386</v>
      </c>
      <c r="C41" s="350">
        <v>80195</v>
      </c>
      <c r="D41" s="346">
        <f>SUM(E41:I41)</f>
        <v>526911</v>
      </c>
      <c r="E41" s="347"/>
      <c r="F41" s="347"/>
      <c r="G41" s="347"/>
      <c r="H41" s="347">
        <v>56050</v>
      </c>
      <c r="I41" s="347">
        <v>470861</v>
      </c>
    </row>
    <row r="42" spans="1:9" s="353" customFormat="1" ht="18.75" customHeight="1">
      <c r="A42" s="422" t="s">
        <v>141</v>
      </c>
      <c r="B42" s="330" t="s">
        <v>387</v>
      </c>
      <c r="C42" s="425" t="s">
        <v>394</v>
      </c>
      <c r="D42" s="425"/>
      <c r="E42" s="425"/>
      <c r="F42" s="425"/>
      <c r="G42" s="425"/>
      <c r="H42" s="425"/>
      <c r="I42" s="425"/>
    </row>
    <row r="43" spans="1:9" s="353" customFormat="1" ht="42.75" customHeight="1">
      <c r="A43" s="423"/>
      <c r="B43" s="330" t="s">
        <v>395</v>
      </c>
      <c r="C43" s="425"/>
      <c r="D43" s="425"/>
      <c r="E43" s="425"/>
      <c r="F43" s="425"/>
      <c r="G43" s="425"/>
      <c r="H43" s="425"/>
      <c r="I43" s="425"/>
    </row>
    <row r="44" spans="1:9" s="353" customFormat="1" ht="23.25" customHeight="1">
      <c r="A44" s="423"/>
      <c r="B44" s="367" t="s">
        <v>403</v>
      </c>
      <c r="C44" s="425"/>
      <c r="D44" s="425"/>
      <c r="E44" s="425"/>
      <c r="F44" s="425"/>
      <c r="G44" s="425"/>
      <c r="H44" s="425"/>
      <c r="I44" s="425"/>
    </row>
    <row r="45" spans="1:9" s="337" customFormat="1" ht="18.75" customHeight="1">
      <c r="A45" s="424"/>
      <c r="B45" s="345" t="s">
        <v>386</v>
      </c>
      <c r="C45" s="362" t="s">
        <v>404</v>
      </c>
      <c r="D45" s="346">
        <f>SUM(E45:I45)</f>
        <v>37025</v>
      </c>
      <c r="E45" s="347">
        <v>10680</v>
      </c>
      <c r="F45" s="347"/>
      <c r="G45" s="347"/>
      <c r="H45" s="347"/>
      <c r="I45" s="347">
        <v>26345</v>
      </c>
    </row>
    <row r="46" spans="1:9" s="353" customFormat="1" ht="29.25" customHeight="1">
      <c r="A46" s="445" t="s">
        <v>142</v>
      </c>
      <c r="B46" s="352" t="s">
        <v>387</v>
      </c>
      <c r="C46" s="436" t="s">
        <v>407</v>
      </c>
      <c r="D46" s="437"/>
      <c r="E46" s="437"/>
      <c r="F46" s="437"/>
      <c r="G46" s="437"/>
      <c r="H46" s="437"/>
      <c r="I46" s="438"/>
    </row>
    <row r="47" spans="1:9" s="353" customFormat="1" ht="39" customHeight="1">
      <c r="A47" s="446"/>
      <c r="B47" s="352" t="s">
        <v>395</v>
      </c>
      <c r="C47" s="439"/>
      <c r="D47" s="440"/>
      <c r="E47" s="440"/>
      <c r="F47" s="440"/>
      <c r="G47" s="440"/>
      <c r="H47" s="440"/>
      <c r="I47" s="441"/>
    </row>
    <row r="48" spans="1:9" s="353" customFormat="1" ht="36" customHeight="1">
      <c r="A48" s="446"/>
      <c r="B48" s="354" t="s">
        <v>408</v>
      </c>
      <c r="C48" s="442"/>
      <c r="D48" s="443"/>
      <c r="E48" s="443"/>
      <c r="F48" s="443"/>
      <c r="G48" s="443"/>
      <c r="H48" s="443"/>
      <c r="I48" s="444"/>
    </row>
    <row r="49" spans="1:9" s="353" customFormat="1" ht="18.75" customHeight="1">
      <c r="A49" s="447"/>
      <c r="B49" s="355" t="s">
        <v>386</v>
      </c>
      <c r="C49" s="356">
        <v>80102</v>
      </c>
      <c r="D49" s="357">
        <f>SUM(E49:I49)</f>
        <v>56042</v>
      </c>
      <c r="E49" s="358"/>
      <c r="F49" s="358"/>
      <c r="G49" s="358"/>
      <c r="H49" s="358">
        <v>3200</v>
      </c>
      <c r="I49" s="358">
        <v>52842</v>
      </c>
    </row>
    <row r="50" spans="1:9" s="360" customFormat="1" ht="23.25" customHeight="1">
      <c r="A50" s="430" t="s">
        <v>405</v>
      </c>
      <c r="B50" s="430"/>
      <c r="C50" s="430"/>
      <c r="D50" s="359">
        <f t="shared" ref="D50:I50" si="0">SUM(D10,D14,D18,D23,D28,D33,D37,D41,D45,D49)</f>
        <v>3391213</v>
      </c>
      <c r="E50" s="359">
        <f t="shared" si="0"/>
        <v>151952</v>
      </c>
      <c r="F50" s="359">
        <f t="shared" si="0"/>
        <v>0</v>
      </c>
      <c r="G50" s="359">
        <f t="shared" si="0"/>
        <v>0</v>
      </c>
      <c r="H50" s="359">
        <f t="shared" si="0"/>
        <v>257413</v>
      </c>
      <c r="I50" s="359">
        <f t="shared" si="0"/>
        <v>2981848</v>
      </c>
    </row>
    <row r="51" spans="1:9" ht="15.75" customHeight="1"/>
    <row r="52" spans="1:9" ht="15.75" customHeight="1"/>
    <row r="53" spans="1:9" ht="15.75" customHeight="1">
      <c r="E53" s="361"/>
      <c r="G53" s="361"/>
    </row>
    <row r="54" spans="1:9" ht="15.75" customHeight="1"/>
    <row r="55" spans="1:9" ht="15.75" customHeight="1"/>
    <row r="56" spans="1:9" ht="15.75" customHeight="1"/>
    <row r="57" spans="1:9" ht="15.75" customHeight="1"/>
    <row r="58" spans="1:9" ht="15.75" customHeight="1"/>
    <row r="59" spans="1:9" ht="15.75" customHeight="1"/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sheetProtection algorithmName="SHA-512" hashValue="4+2knGxTaxuJbmK1hSU5JEEFEXT4lab83Tbrs1GxftOC0mELAIDOg19HQuH42eiVLe6hBhmQY+ws3TEZrxEDBw==" saltValue="9pXotMkPd6ddo1malQlMBw==" spinCount="100000" sheet="1" objects="1" scenarios="1" formatColumns="0" formatRows="0"/>
  <mergeCells count="33">
    <mergeCell ref="C42:I44"/>
    <mergeCell ref="A50:C50"/>
    <mergeCell ref="A29:A33"/>
    <mergeCell ref="C29:I31"/>
    <mergeCell ref="C32:C33"/>
    <mergeCell ref="A34:A37"/>
    <mergeCell ref="C34:I36"/>
    <mergeCell ref="A38:A41"/>
    <mergeCell ref="C38:I40"/>
    <mergeCell ref="C46:I48"/>
    <mergeCell ref="A42:A45"/>
    <mergeCell ref="A46:A49"/>
    <mergeCell ref="A19:A23"/>
    <mergeCell ref="C19:I21"/>
    <mergeCell ref="C22:C23"/>
    <mergeCell ref="A24:A28"/>
    <mergeCell ref="C24:I26"/>
    <mergeCell ref="C27:C28"/>
    <mergeCell ref="A15:A18"/>
    <mergeCell ref="C15:I17"/>
    <mergeCell ref="A2:I2"/>
    <mergeCell ref="A4:A5"/>
    <mergeCell ref="B4:B5"/>
    <mergeCell ref="C4:C5"/>
    <mergeCell ref="D4:D5"/>
    <mergeCell ref="E4:G4"/>
    <mergeCell ref="H4:H5"/>
    <mergeCell ref="I4:I5"/>
    <mergeCell ref="A7:A10"/>
    <mergeCell ref="C7:I8"/>
    <mergeCell ref="C9:C10"/>
    <mergeCell ref="A11:A14"/>
    <mergeCell ref="C11:I13"/>
  </mergeCells>
  <pageMargins left="0.55118110236220474" right="0.35433070866141736" top="1.4566929133858268" bottom="0.9055118110236221" header="0.6692913385826772" footer="0.31496062992125984"/>
  <pageSetup paperSize="9" scale="82" fitToHeight="0" orientation="portrait" horizontalDpi="4294967295" verticalDpi="300" r:id="rId1"/>
  <headerFooter differentFirst="1" alignWithMargins="0">
    <oddFooter>&amp;C&amp;P</oddFooter>
    <firstHeader>&amp;R&amp;10Tabela Nr 4
do uchwały  Nr ..............
Rady Powiatu w Otwocku
z dnia ............................</firstHeader>
    <firstFooter>&amp;C&amp;P</firstFooter>
  </headerFooter>
  <rowBreaks count="1" manualBreakCount="1">
    <brk id="33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50"/>
  </sheetPr>
  <dimension ref="A1:F201"/>
  <sheetViews>
    <sheetView zoomScaleNormal="100" workbookViewId="0">
      <pane ySplit="4" topLeftCell="A144" activePane="bottomLeft" state="frozen"/>
      <selection activeCell="C11" sqref="C11:I13"/>
      <selection pane="bottomLeft" activeCell="L178" sqref="L178"/>
    </sheetView>
  </sheetViews>
  <sheetFormatPr defaultColWidth="9.33203125" defaultRowHeight="12"/>
  <cols>
    <col min="1" max="1" width="6.33203125" style="26" customWidth="1"/>
    <col min="2" max="2" width="9.5" style="26" customWidth="1"/>
    <col min="3" max="3" width="10.1640625" style="27" customWidth="1"/>
    <col min="4" max="4" width="61.5" style="28" customWidth="1"/>
    <col min="5" max="6" width="17" style="29" customWidth="1"/>
    <col min="7" max="16384" width="9.33203125" style="30"/>
  </cols>
  <sheetData>
    <row r="1" spans="1:6" ht="12.75" customHeight="1"/>
    <row r="2" spans="1:6" ht="30.75" customHeight="1">
      <c r="A2" s="448" t="s">
        <v>108</v>
      </c>
      <c r="B2" s="448"/>
      <c r="C2" s="448"/>
      <c r="D2" s="448"/>
      <c r="E2" s="448"/>
      <c r="F2" s="448"/>
    </row>
    <row r="3" spans="1:6" ht="9.75" customHeight="1"/>
    <row r="4" spans="1:6" s="27" customFormat="1" ht="25.5" customHeight="1">
      <c r="A4" s="45" t="s">
        <v>0</v>
      </c>
      <c r="B4" s="45" t="s">
        <v>1</v>
      </c>
      <c r="C4" s="46" t="s">
        <v>72</v>
      </c>
      <c r="D4" s="47" t="s">
        <v>73</v>
      </c>
      <c r="E4" s="48" t="s">
        <v>74</v>
      </c>
      <c r="F4" s="48" t="s">
        <v>75</v>
      </c>
    </row>
    <row r="5" spans="1:6" s="31" customFormat="1" ht="17.25" customHeight="1">
      <c r="A5" s="49" t="s">
        <v>2</v>
      </c>
      <c r="B5" s="49"/>
      <c r="C5" s="50"/>
      <c r="D5" s="51" t="s">
        <v>16</v>
      </c>
      <c r="E5" s="52">
        <f>SUM(E6)</f>
        <v>82470</v>
      </c>
      <c r="F5" s="52">
        <f>SUM(F6)</f>
        <v>82470</v>
      </c>
    </row>
    <row r="6" spans="1:6" s="31" customFormat="1" ht="17.25" customHeight="1">
      <c r="A6" s="37"/>
      <c r="B6" s="37" t="s">
        <v>3</v>
      </c>
      <c r="C6" s="38"/>
      <c r="D6" s="39" t="s">
        <v>4</v>
      </c>
      <c r="E6" s="40">
        <f>SUM(E7)</f>
        <v>82470</v>
      </c>
      <c r="F6" s="40">
        <f>SUM(F8)</f>
        <v>82470</v>
      </c>
    </row>
    <row r="7" spans="1:6" s="31" customFormat="1" ht="42" customHeight="1">
      <c r="A7" s="32"/>
      <c r="B7" s="32"/>
      <c r="C7" s="33">
        <v>2110</v>
      </c>
      <c r="D7" s="34" t="s">
        <v>5</v>
      </c>
      <c r="E7" s="35">
        <f>12000+70470</f>
        <v>82470</v>
      </c>
      <c r="F7" s="35"/>
    </row>
    <row r="8" spans="1:6" s="31" customFormat="1" ht="15.75" customHeight="1">
      <c r="A8" s="32"/>
      <c r="B8" s="32"/>
      <c r="C8" s="33">
        <v>4300</v>
      </c>
      <c r="D8" s="34" t="s">
        <v>17</v>
      </c>
      <c r="E8" s="35"/>
      <c r="F8" s="35">
        <f>12000+70470</f>
        <v>82470</v>
      </c>
    </row>
    <row r="9" spans="1:6" s="31" customFormat="1" ht="17.25" customHeight="1">
      <c r="A9" s="49">
        <v>700</v>
      </c>
      <c r="B9" s="49"/>
      <c r="C9" s="50"/>
      <c r="D9" s="51" t="s">
        <v>31</v>
      </c>
      <c r="E9" s="52">
        <f>SUM(E10)</f>
        <v>293494</v>
      </c>
      <c r="F9" s="52">
        <f>SUM(F10)</f>
        <v>293494</v>
      </c>
    </row>
    <row r="10" spans="1:6" s="31" customFormat="1" ht="17.25" customHeight="1">
      <c r="A10" s="37"/>
      <c r="B10" s="37">
        <v>70005</v>
      </c>
      <c r="C10" s="38"/>
      <c r="D10" s="39" t="s">
        <v>32</v>
      </c>
      <c r="E10" s="40">
        <f>SUM(E11)</f>
        <v>293494</v>
      </c>
      <c r="F10" s="40">
        <f>SUM(F11:F26)</f>
        <v>293494</v>
      </c>
    </row>
    <row r="11" spans="1:6" s="68" customFormat="1" ht="42.75" customHeight="1">
      <c r="A11" s="64"/>
      <c r="B11" s="64"/>
      <c r="C11" s="65">
        <v>2110</v>
      </c>
      <c r="D11" s="66" t="s">
        <v>5</v>
      </c>
      <c r="E11" s="397">
        <f>280000+8858+4636</f>
        <v>293494</v>
      </c>
      <c r="F11" s="67"/>
    </row>
    <row r="12" spans="1:6" s="57" customFormat="1" ht="15.75" customHeight="1">
      <c r="A12" s="54"/>
      <c r="B12" s="54"/>
      <c r="C12" s="55">
        <v>4010</v>
      </c>
      <c r="D12" s="60" t="s">
        <v>20</v>
      </c>
      <c r="E12" s="77"/>
      <c r="F12" s="77">
        <v>43900</v>
      </c>
    </row>
    <row r="13" spans="1:6" s="57" customFormat="1" ht="15.75" customHeight="1">
      <c r="A13" s="54"/>
      <c r="B13" s="54"/>
      <c r="C13" s="55">
        <v>4110</v>
      </c>
      <c r="D13" s="60" t="s">
        <v>22</v>
      </c>
      <c r="E13" s="77"/>
      <c r="F13" s="77">
        <f>7540+450+1100</f>
        <v>9090</v>
      </c>
    </row>
    <row r="14" spans="1:6" s="57" customFormat="1" ht="26.25" customHeight="1">
      <c r="A14" s="54"/>
      <c r="B14" s="54"/>
      <c r="C14" s="55">
        <v>4120</v>
      </c>
      <c r="D14" s="60" t="s">
        <v>126</v>
      </c>
      <c r="E14" s="77"/>
      <c r="F14" s="77">
        <f>1070+70+120</f>
        <v>1260</v>
      </c>
    </row>
    <row r="15" spans="1:6" s="57" customFormat="1" ht="15.75" customHeight="1">
      <c r="A15" s="54"/>
      <c r="B15" s="54"/>
      <c r="C15" s="55">
        <v>4170</v>
      </c>
      <c r="D15" s="60" t="s">
        <v>23</v>
      </c>
      <c r="E15" s="77"/>
      <c r="F15" s="77">
        <f>2000+1000+4000+4690</f>
        <v>11690</v>
      </c>
    </row>
    <row r="16" spans="1:6" s="57" customFormat="1" ht="15.75" customHeight="1">
      <c r="A16" s="54"/>
      <c r="B16" s="54"/>
      <c r="C16" s="55">
        <v>4210</v>
      </c>
      <c r="D16" s="60" t="s">
        <v>18</v>
      </c>
      <c r="E16" s="56"/>
      <c r="F16" s="56">
        <f>435-382</f>
        <v>53</v>
      </c>
    </row>
    <row r="17" spans="1:6" s="57" customFormat="1" ht="15.75" customHeight="1">
      <c r="A17" s="54"/>
      <c r="B17" s="54"/>
      <c r="C17" s="55">
        <v>4260</v>
      </c>
      <c r="D17" s="60" t="s">
        <v>24</v>
      </c>
      <c r="E17" s="56"/>
      <c r="F17" s="56">
        <v>0</v>
      </c>
    </row>
    <row r="18" spans="1:6" s="57" customFormat="1" ht="15.75" customHeight="1">
      <c r="A18" s="54"/>
      <c r="B18" s="54"/>
      <c r="C18" s="55">
        <v>4270</v>
      </c>
      <c r="D18" s="60" t="s">
        <v>25</v>
      </c>
      <c r="E18" s="56"/>
      <c r="F18" s="56">
        <f>15000-4690</f>
        <v>10310</v>
      </c>
    </row>
    <row r="19" spans="1:6" s="57" customFormat="1" ht="15.75" customHeight="1">
      <c r="A19" s="54"/>
      <c r="B19" s="54"/>
      <c r="C19" s="55">
        <v>4300</v>
      </c>
      <c r="D19" s="60" t="s">
        <v>17</v>
      </c>
      <c r="E19" s="56"/>
      <c r="F19" s="56">
        <v>49000</v>
      </c>
    </row>
    <row r="20" spans="1:6" s="57" customFormat="1" ht="15.75" customHeight="1">
      <c r="A20" s="54"/>
      <c r="B20" s="54"/>
      <c r="C20" s="55">
        <v>4390</v>
      </c>
      <c r="D20" s="60" t="s">
        <v>33</v>
      </c>
      <c r="E20" s="56"/>
      <c r="F20" s="77">
        <f>30000+12954-4520</f>
        <v>38434</v>
      </c>
    </row>
    <row r="21" spans="1:6" s="57" customFormat="1" ht="15.75" customHeight="1">
      <c r="A21" s="54"/>
      <c r="B21" s="54"/>
      <c r="C21" s="55">
        <v>4430</v>
      </c>
      <c r="D21" s="60" t="s">
        <v>27</v>
      </c>
      <c r="E21" s="56"/>
      <c r="F21" s="77">
        <f>4100-4100</f>
        <v>0</v>
      </c>
    </row>
    <row r="22" spans="1:6" s="57" customFormat="1" ht="15.75" customHeight="1">
      <c r="A22" s="54"/>
      <c r="B22" s="54"/>
      <c r="C22" s="55">
        <v>4480</v>
      </c>
      <c r="D22" s="60" t="s">
        <v>29</v>
      </c>
      <c r="E22" s="56"/>
      <c r="F22" s="77">
        <v>94000</v>
      </c>
    </row>
    <row r="23" spans="1:6" s="57" customFormat="1" ht="15.75" customHeight="1">
      <c r="A23" s="54"/>
      <c r="B23" s="54"/>
      <c r="C23" s="55">
        <v>4520</v>
      </c>
      <c r="D23" s="60" t="s">
        <v>30</v>
      </c>
      <c r="E23" s="56"/>
      <c r="F23" s="77">
        <f>10000-2472</f>
        <v>7528</v>
      </c>
    </row>
    <row r="24" spans="1:6" s="57" customFormat="1" ht="15.75" customHeight="1">
      <c r="A24" s="54"/>
      <c r="B24" s="54"/>
      <c r="C24" s="55">
        <v>4580</v>
      </c>
      <c r="D24" s="60" t="s">
        <v>34</v>
      </c>
      <c r="E24" s="56"/>
      <c r="F24" s="77">
        <v>3955</v>
      </c>
    </row>
    <row r="25" spans="1:6" s="73" customFormat="1" ht="15.75" customHeight="1">
      <c r="A25" s="78"/>
      <c r="B25" s="78"/>
      <c r="C25" s="79">
        <v>4590</v>
      </c>
      <c r="D25" s="84" t="s">
        <v>35</v>
      </c>
      <c r="E25" s="77"/>
      <c r="F25" s="77">
        <f>9000-3000+8858+4636</f>
        <v>19494</v>
      </c>
    </row>
    <row r="26" spans="1:6" s="57" customFormat="1" ht="15.75" customHeight="1">
      <c r="A26" s="54"/>
      <c r="B26" s="54"/>
      <c r="C26" s="55">
        <v>4610</v>
      </c>
      <c r="D26" s="60" t="s">
        <v>36</v>
      </c>
      <c r="E26" s="56"/>
      <c r="F26" s="77">
        <f>10000-4000-1220</f>
        <v>4780</v>
      </c>
    </row>
    <row r="27" spans="1:6" s="31" customFormat="1" ht="17.25" customHeight="1">
      <c r="A27" s="49">
        <v>710</v>
      </c>
      <c r="B27" s="49"/>
      <c r="C27" s="50"/>
      <c r="D27" s="51" t="s">
        <v>37</v>
      </c>
      <c r="E27" s="52">
        <f>SUM(E28,E34)</f>
        <v>1186670</v>
      </c>
      <c r="F27" s="52">
        <f>SUM(F28,F34)</f>
        <v>1186670</v>
      </c>
    </row>
    <row r="28" spans="1:6" s="31" customFormat="1" ht="17.25" customHeight="1">
      <c r="A28" s="37"/>
      <c r="B28" s="37" t="s">
        <v>81</v>
      </c>
      <c r="C28" s="38"/>
      <c r="D28" s="1" t="s">
        <v>80</v>
      </c>
      <c r="E28" s="40">
        <f>SUM(E29)</f>
        <v>344000</v>
      </c>
      <c r="F28" s="40">
        <f>SUM(F30:F33)</f>
        <v>344000</v>
      </c>
    </row>
    <row r="29" spans="1:6" s="31" customFormat="1" ht="42.75" customHeight="1">
      <c r="A29" s="32"/>
      <c r="B29" s="32"/>
      <c r="C29" s="33">
        <v>2110</v>
      </c>
      <c r="D29" s="34" t="s">
        <v>5</v>
      </c>
      <c r="E29" s="35">
        <v>344000</v>
      </c>
      <c r="F29" s="35"/>
    </row>
    <row r="30" spans="1:6" s="57" customFormat="1" ht="15.75" customHeight="1">
      <c r="A30" s="54"/>
      <c r="B30" s="54"/>
      <c r="C30" s="55">
        <v>4010</v>
      </c>
      <c r="D30" s="60" t="s">
        <v>20</v>
      </c>
      <c r="E30" s="56"/>
      <c r="F30" s="77">
        <v>210300</v>
      </c>
    </row>
    <row r="31" spans="1:6" s="57" customFormat="1" ht="15.75" customHeight="1">
      <c r="A31" s="54"/>
      <c r="B31" s="54"/>
      <c r="C31" s="55">
        <v>4110</v>
      </c>
      <c r="D31" s="60" t="s">
        <v>22</v>
      </c>
      <c r="E31" s="56"/>
      <c r="F31" s="77">
        <v>39004</v>
      </c>
    </row>
    <row r="32" spans="1:6" s="57" customFormat="1" ht="29.25" customHeight="1">
      <c r="A32" s="54"/>
      <c r="B32" s="54"/>
      <c r="C32" s="55">
        <v>4120</v>
      </c>
      <c r="D32" s="60" t="s">
        <v>126</v>
      </c>
      <c r="E32" s="56"/>
      <c r="F32" s="77">
        <v>5600</v>
      </c>
    </row>
    <row r="33" spans="1:6" s="57" customFormat="1" ht="15.75" customHeight="1">
      <c r="A33" s="54"/>
      <c r="B33" s="54"/>
      <c r="C33" s="55">
        <v>4300</v>
      </c>
      <c r="D33" s="60" t="s">
        <v>17</v>
      </c>
      <c r="E33" s="56"/>
      <c r="F33" s="56">
        <v>89096</v>
      </c>
    </row>
    <row r="34" spans="1:6" s="31" customFormat="1" ht="17.25" customHeight="1">
      <c r="A34" s="37"/>
      <c r="B34" s="37">
        <v>71015</v>
      </c>
      <c r="C34" s="38"/>
      <c r="D34" s="39" t="s">
        <v>39</v>
      </c>
      <c r="E34" s="40">
        <f>SUM(E35:E35)</f>
        <v>842670</v>
      </c>
      <c r="F34" s="40">
        <f>SUM(F36:F55)</f>
        <v>842670</v>
      </c>
    </row>
    <row r="35" spans="1:6" s="31" customFormat="1" ht="42.75" customHeight="1">
      <c r="A35" s="32"/>
      <c r="B35" s="32"/>
      <c r="C35" s="33">
        <v>2110</v>
      </c>
      <c r="D35" s="34" t="s">
        <v>5</v>
      </c>
      <c r="E35" s="67">
        <f>808000+10757+23913</f>
        <v>842670</v>
      </c>
      <c r="F35" s="67"/>
    </row>
    <row r="36" spans="1:6" s="31" customFormat="1" ht="15.75" customHeight="1">
      <c r="A36" s="32"/>
      <c r="B36" s="32"/>
      <c r="C36" s="33">
        <v>3020</v>
      </c>
      <c r="D36" s="34" t="s">
        <v>19</v>
      </c>
      <c r="E36" s="67"/>
      <c r="F36" s="67">
        <v>450</v>
      </c>
    </row>
    <row r="37" spans="1:6" s="31" customFormat="1" ht="15.75" customHeight="1">
      <c r="A37" s="32"/>
      <c r="B37" s="32"/>
      <c r="C37" s="33">
        <v>4010</v>
      </c>
      <c r="D37" s="34" t="s">
        <v>20</v>
      </c>
      <c r="E37" s="67"/>
      <c r="F37" s="67">
        <f>111305+4459</f>
        <v>115764</v>
      </c>
    </row>
    <row r="38" spans="1:6" s="31" customFormat="1" ht="15.75" customHeight="1">
      <c r="A38" s="32"/>
      <c r="B38" s="32"/>
      <c r="C38" s="33">
        <v>4020</v>
      </c>
      <c r="D38" s="34" t="s">
        <v>40</v>
      </c>
      <c r="E38" s="67"/>
      <c r="F38" s="67">
        <f>401462+10757+18990</f>
        <v>431209</v>
      </c>
    </row>
    <row r="39" spans="1:6" s="31" customFormat="1" ht="15.75" customHeight="1">
      <c r="A39" s="32"/>
      <c r="B39" s="32"/>
      <c r="C39" s="33">
        <v>4040</v>
      </c>
      <c r="D39" s="34" t="s">
        <v>21</v>
      </c>
      <c r="E39" s="67"/>
      <c r="F39" s="67">
        <v>33372</v>
      </c>
    </row>
    <row r="40" spans="1:6" s="31" customFormat="1" ht="15.75" customHeight="1">
      <c r="A40" s="32"/>
      <c r="B40" s="32"/>
      <c r="C40" s="33">
        <v>4110</v>
      </c>
      <c r="D40" s="34" t="s">
        <v>22</v>
      </c>
      <c r="E40" s="67"/>
      <c r="F40" s="67">
        <f>94460+918</f>
        <v>95378</v>
      </c>
    </row>
    <row r="41" spans="1:6" s="31" customFormat="1" ht="27.75" customHeight="1">
      <c r="A41" s="32"/>
      <c r="B41" s="32"/>
      <c r="C41" s="33">
        <v>4120</v>
      </c>
      <c r="D41" s="34" t="s">
        <v>126</v>
      </c>
      <c r="E41" s="67"/>
      <c r="F41" s="67">
        <v>13534</v>
      </c>
    </row>
    <row r="42" spans="1:6" s="31" customFormat="1" ht="15.75" customHeight="1">
      <c r="A42" s="32"/>
      <c r="B42" s="32"/>
      <c r="C42" s="33">
        <v>4170</v>
      </c>
      <c r="D42" s="34" t="s">
        <v>23</v>
      </c>
      <c r="E42" s="67"/>
      <c r="F42" s="67">
        <v>7770</v>
      </c>
    </row>
    <row r="43" spans="1:6" s="31" customFormat="1" ht="15.75" customHeight="1">
      <c r="A43" s="32"/>
      <c r="B43" s="32"/>
      <c r="C43" s="33">
        <v>4210</v>
      </c>
      <c r="D43" s="34" t="s">
        <v>18</v>
      </c>
      <c r="E43" s="67"/>
      <c r="F43" s="67">
        <f>21978+163</f>
        <v>22141</v>
      </c>
    </row>
    <row r="44" spans="1:6" s="31" customFormat="1" ht="15.75" customHeight="1">
      <c r="A44" s="32"/>
      <c r="B44" s="32"/>
      <c r="C44" s="33">
        <v>4260</v>
      </c>
      <c r="D44" s="34" t="s">
        <v>24</v>
      </c>
      <c r="E44" s="67"/>
      <c r="F44" s="67">
        <v>14548</v>
      </c>
    </row>
    <row r="45" spans="1:6" s="31" customFormat="1" ht="15.75" customHeight="1">
      <c r="A45" s="32"/>
      <c r="B45" s="32"/>
      <c r="C45" s="33">
        <v>4270</v>
      </c>
      <c r="D45" s="34" t="s">
        <v>25</v>
      </c>
      <c r="E45" s="67"/>
      <c r="F45" s="67">
        <v>5708</v>
      </c>
    </row>
    <row r="46" spans="1:6" s="31" customFormat="1" ht="15.75" customHeight="1">
      <c r="A46" s="32"/>
      <c r="B46" s="32"/>
      <c r="C46" s="33">
        <v>4280</v>
      </c>
      <c r="D46" s="34" t="s">
        <v>38</v>
      </c>
      <c r="E46" s="67"/>
      <c r="F46" s="67">
        <v>906</v>
      </c>
    </row>
    <row r="47" spans="1:6" s="31" customFormat="1" ht="15.75" customHeight="1">
      <c r="A47" s="32"/>
      <c r="B47" s="32"/>
      <c r="C47" s="33">
        <v>4300</v>
      </c>
      <c r="D47" s="34" t="s">
        <v>17</v>
      </c>
      <c r="E47" s="67"/>
      <c r="F47" s="67">
        <v>70429</v>
      </c>
    </row>
    <row r="48" spans="1:6" s="31" customFormat="1" ht="15.75" customHeight="1">
      <c r="A48" s="32"/>
      <c r="B48" s="32"/>
      <c r="C48" s="33">
        <v>4360</v>
      </c>
      <c r="D48" s="34" t="s">
        <v>76</v>
      </c>
      <c r="E48" s="67"/>
      <c r="F48" s="67">
        <v>3224</v>
      </c>
    </row>
    <row r="49" spans="1:6" s="31" customFormat="1" ht="15.75" customHeight="1">
      <c r="A49" s="32"/>
      <c r="B49" s="32"/>
      <c r="C49" s="33">
        <v>4410</v>
      </c>
      <c r="D49" s="34" t="s">
        <v>26</v>
      </c>
      <c r="E49" s="67"/>
      <c r="F49" s="67">
        <v>3190</v>
      </c>
    </row>
    <row r="50" spans="1:6" s="31" customFormat="1" ht="15.75" customHeight="1">
      <c r="A50" s="32"/>
      <c r="B50" s="32"/>
      <c r="C50" s="33">
        <v>4430</v>
      </c>
      <c r="D50" s="34" t="s">
        <v>27</v>
      </c>
      <c r="E50" s="67"/>
      <c r="F50" s="67">
        <v>4506</v>
      </c>
    </row>
    <row r="51" spans="1:6" s="31" customFormat="1" ht="15.75" customHeight="1">
      <c r="A51" s="32"/>
      <c r="B51" s="32"/>
      <c r="C51" s="33">
        <v>4440</v>
      </c>
      <c r="D51" s="34" t="s">
        <v>28</v>
      </c>
      <c r="E51" s="67"/>
      <c r="F51" s="67">
        <f>12549-454</f>
        <v>12095</v>
      </c>
    </row>
    <row r="52" spans="1:6" s="31" customFormat="1" ht="15.75" customHeight="1">
      <c r="A52" s="32"/>
      <c r="B52" s="32"/>
      <c r="C52" s="33">
        <v>4480</v>
      </c>
      <c r="D52" s="34" t="s">
        <v>29</v>
      </c>
      <c r="E52" s="67"/>
      <c r="F52" s="67">
        <f>1409-163</f>
        <v>1246</v>
      </c>
    </row>
    <row r="53" spans="1:6" s="31" customFormat="1" ht="15.75" customHeight="1">
      <c r="A53" s="32"/>
      <c r="B53" s="32"/>
      <c r="C53" s="33">
        <v>4550</v>
      </c>
      <c r="D53" s="34" t="s">
        <v>41</v>
      </c>
      <c r="E53" s="67"/>
      <c r="F53" s="67">
        <v>1100</v>
      </c>
    </row>
    <row r="54" spans="1:6" s="31" customFormat="1" ht="15.75" customHeight="1">
      <c r="A54" s="32"/>
      <c r="B54" s="32"/>
      <c r="C54" s="33">
        <v>4610</v>
      </c>
      <c r="D54" s="34" t="s">
        <v>36</v>
      </c>
      <c r="E54" s="67"/>
      <c r="F54" s="67">
        <v>5000</v>
      </c>
    </row>
    <row r="55" spans="1:6" s="31" customFormat="1" ht="27.75" customHeight="1">
      <c r="A55" s="32"/>
      <c r="B55" s="32"/>
      <c r="C55" s="33">
        <v>4700</v>
      </c>
      <c r="D55" s="34" t="s">
        <v>77</v>
      </c>
      <c r="E55" s="35"/>
      <c r="F55" s="35">
        <v>1100</v>
      </c>
    </row>
    <row r="56" spans="1:6" s="31" customFormat="1" ht="16.5" customHeight="1">
      <c r="A56" s="49">
        <v>750</v>
      </c>
      <c r="B56" s="49"/>
      <c r="C56" s="50"/>
      <c r="D56" s="51" t="s">
        <v>42</v>
      </c>
      <c r="E56" s="52">
        <f>SUM(E57,E62)</f>
        <v>70272</v>
      </c>
      <c r="F56" s="52">
        <f>SUM(F57,F62)</f>
        <v>70272</v>
      </c>
    </row>
    <row r="57" spans="1:6" s="31" customFormat="1" ht="17.25" customHeight="1">
      <c r="A57" s="37"/>
      <c r="B57" s="37">
        <v>75011</v>
      </c>
      <c r="C57" s="38"/>
      <c r="D57" s="39" t="s">
        <v>43</v>
      </c>
      <c r="E57" s="40">
        <f>SUM(E58)</f>
        <v>37460</v>
      </c>
      <c r="F57" s="40">
        <f>SUM(F59:F61)</f>
        <v>37460</v>
      </c>
    </row>
    <row r="58" spans="1:6" s="31" customFormat="1" ht="42.75" customHeight="1">
      <c r="A58" s="32"/>
      <c r="B58" s="32"/>
      <c r="C58" s="33">
        <v>2110</v>
      </c>
      <c r="D58" s="34" t="s">
        <v>5</v>
      </c>
      <c r="E58" s="35">
        <v>37460</v>
      </c>
      <c r="F58" s="35"/>
    </row>
    <row r="59" spans="1:6" s="57" customFormat="1" ht="15.75" customHeight="1">
      <c r="A59" s="54"/>
      <c r="B59" s="54"/>
      <c r="C59" s="55">
        <v>4010</v>
      </c>
      <c r="D59" s="60" t="s">
        <v>20</v>
      </c>
      <c r="E59" s="56"/>
      <c r="F59" s="56">
        <v>30720</v>
      </c>
    </row>
    <row r="60" spans="1:6" s="57" customFormat="1" ht="15.75" customHeight="1">
      <c r="A60" s="54"/>
      <c r="B60" s="54"/>
      <c r="C60" s="55">
        <v>4110</v>
      </c>
      <c r="D60" s="60" t="s">
        <v>22</v>
      </c>
      <c r="E60" s="56"/>
      <c r="F60" s="56">
        <v>5900</v>
      </c>
    </row>
    <row r="61" spans="1:6" s="57" customFormat="1" ht="29.25" customHeight="1">
      <c r="A61" s="54"/>
      <c r="B61" s="54"/>
      <c r="C61" s="55">
        <v>4120</v>
      </c>
      <c r="D61" s="60" t="s">
        <v>126</v>
      </c>
      <c r="E61" s="56"/>
      <c r="F61" s="56">
        <v>840</v>
      </c>
    </row>
    <row r="62" spans="1:6" s="31" customFormat="1" ht="17.25" customHeight="1">
      <c r="A62" s="37"/>
      <c r="B62" s="37">
        <v>75045</v>
      </c>
      <c r="C62" s="38"/>
      <c r="D62" s="39" t="s">
        <v>7</v>
      </c>
      <c r="E62" s="40">
        <f>SUM(E63)</f>
        <v>32812</v>
      </c>
      <c r="F62" s="40">
        <f>SUM(F64:F68)</f>
        <v>32812</v>
      </c>
    </row>
    <row r="63" spans="1:6" s="31" customFormat="1" ht="42.75" customHeight="1">
      <c r="A63" s="32"/>
      <c r="B63" s="32"/>
      <c r="C63" s="33">
        <v>2110</v>
      </c>
      <c r="D63" s="34" t="s">
        <v>5</v>
      </c>
      <c r="E63" s="35">
        <f>25000+9660-1848</f>
        <v>32812</v>
      </c>
      <c r="F63" s="35"/>
    </row>
    <row r="64" spans="1:6" s="57" customFormat="1" ht="15.75" customHeight="1">
      <c r="A64" s="54"/>
      <c r="B64" s="54"/>
      <c r="C64" s="55">
        <v>4110</v>
      </c>
      <c r="D64" s="60" t="s">
        <v>22</v>
      </c>
      <c r="E64" s="56"/>
      <c r="F64" s="56">
        <v>1599</v>
      </c>
    </row>
    <row r="65" spans="1:6" s="57" customFormat="1" ht="24.75" customHeight="1">
      <c r="A65" s="54"/>
      <c r="B65" s="54"/>
      <c r="C65" s="55">
        <v>4120</v>
      </c>
      <c r="D65" s="60" t="s">
        <v>126</v>
      </c>
      <c r="E65" s="56"/>
      <c r="F65" s="56">
        <v>187</v>
      </c>
    </row>
    <row r="66" spans="1:6" s="57" customFormat="1" ht="15.75" customHeight="1">
      <c r="A66" s="54"/>
      <c r="B66" s="54"/>
      <c r="C66" s="55">
        <v>4170</v>
      </c>
      <c r="D66" s="60" t="s">
        <v>23</v>
      </c>
      <c r="E66" s="56"/>
      <c r="F66" s="56">
        <f>21300+9420</f>
        <v>30720</v>
      </c>
    </row>
    <row r="67" spans="1:6" s="57" customFormat="1" ht="15.75" customHeight="1">
      <c r="A67" s="54"/>
      <c r="B67" s="54"/>
      <c r="C67" s="55">
        <v>4210</v>
      </c>
      <c r="D67" s="60" t="s">
        <v>18</v>
      </c>
      <c r="E67" s="56"/>
      <c r="F67" s="56">
        <f>1739+240-1673</f>
        <v>306</v>
      </c>
    </row>
    <row r="68" spans="1:6" s="57" customFormat="1" ht="15.75" customHeight="1">
      <c r="A68" s="54"/>
      <c r="B68" s="54"/>
      <c r="C68" s="55">
        <v>4300</v>
      </c>
      <c r="D68" s="60" t="s">
        <v>17</v>
      </c>
      <c r="E68" s="56"/>
      <c r="F68" s="56">
        <f>175-175</f>
        <v>0</v>
      </c>
    </row>
    <row r="69" spans="1:6" s="57" customFormat="1" ht="15.75" customHeight="1">
      <c r="A69" s="80" t="s">
        <v>112</v>
      </c>
      <c r="B69" s="80"/>
      <c r="C69" s="81"/>
      <c r="D69" s="82" t="s">
        <v>113</v>
      </c>
      <c r="E69" s="83">
        <f>E70</f>
        <v>70885</v>
      </c>
      <c r="F69" s="83">
        <f>F70</f>
        <v>70885</v>
      </c>
    </row>
    <row r="70" spans="1:6" s="57" customFormat="1" ht="15.75" customHeight="1">
      <c r="A70" s="69"/>
      <c r="B70" s="69" t="s">
        <v>116</v>
      </c>
      <c r="C70" s="70"/>
      <c r="D70" s="71" t="s">
        <v>6</v>
      </c>
      <c r="E70" s="72">
        <f>SUM(E71:E72)</f>
        <v>70885</v>
      </c>
      <c r="F70" s="72">
        <f>SUM(F73:F74)</f>
        <v>70885</v>
      </c>
    </row>
    <row r="71" spans="1:6" s="57" customFormat="1" ht="40.5" customHeight="1">
      <c r="A71" s="54"/>
      <c r="B71" s="54"/>
      <c r="C71" s="55">
        <v>2110</v>
      </c>
      <c r="D71" s="34" t="s">
        <v>5</v>
      </c>
      <c r="E71" s="56">
        <v>53200</v>
      </c>
      <c r="F71" s="56"/>
    </row>
    <row r="72" spans="1:6" s="57" customFormat="1" ht="43.5" customHeight="1">
      <c r="A72" s="54"/>
      <c r="B72" s="54"/>
      <c r="C72" s="55">
        <v>6410</v>
      </c>
      <c r="D72" s="84" t="s">
        <v>114</v>
      </c>
      <c r="E72" s="56">
        <v>17685</v>
      </c>
      <c r="F72" s="56"/>
    </row>
    <row r="73" spans="1:6" s="57" customFormat="1" ht="15.75" customHeight="1">
      <c r="A73" s="54"/>
      <c r="B73" s="54"/>
      <c r="C73" s="55">
        <v>4210</v>
      </c>
      <c r="D73" s="60" t="s">
        <v>18</v>
      </c>
      <c r="E73" s="56"/>
      <c r="F73" s="56">
        <v>53200</v>
      </c>
    </row>
    <row r="74" spans="1:6" s="57" customFormat="1" ht="15.75" customHeight="1">
      <c r="A74" s="54"/>
      <c r="B74" s="54"/>
      <c r="C74" s="55">
        <v>6060</v>
      </c>
      <c r="D74" s="85" t="s">
        <v>115</v>
      </c>
      <c r="E74" s="56"/>
      <c r="F74" s="56">
        <v>17685</v>
      </c>
    </row>
    <row r="75" spans="1:6" s="31" customFormat="1" ht="18" customHeight="1">
      <c r="A75" s="49">
        <v>754</v>
      </c>
      <c r="B75" s="49"/>
      <c r="C75" s="50"/>
      <c r="D75" s="51" t="s">
        <v>8</v>
      </c>
      <c r="E75" s="52">
        <f>SUM(E76,E107)</f>
        <v>7430097</v>
      </c>
      <c r="F75" s="52">
        <f>SUM(F76,F107)</f>
        <v>7430097</v>
      </c>
    </row>
    <row r="76" spans="1:6" s="31" customFormat="1" ht="17.25" customHeight="1">
      <c r="A76" s="37"/>
      <c r="B76" s="37">
        <v>75411</v>
      </c>
      <c r="C76" s="38"/>
      <c r="D76" s="39" t="s">
        <v>9</v>
      </c>
      <c r="E76" s="40">
        <f>SUM(E77,J80)</f>
        <v>7424097</v>
      </c>
      <c r="F76" s="40">
        <f>SUM(F78:F106)</f>
        <v>7424097</v>
      </c>
    </row>
    <row r="77" spans="1:6" s="68" customFormat="1" ht="42.75" customHeight="1">
      <c r="A77" s="64"/>
      <c r="B77" s="64"/>
      <c r="C77" s="65">
        <v>2110</v>
      </c>
      <c r="D77" s="66" t="s">
        <v>5</v>
      </c>
      <c r="E77" s="67">
        <f>6834638+355491+7185+101301+94827+16199+14456</f>
        <v>7424097</v>
      </c>
      <c r="F77" s="67"/>
    </row>
    <row r="78" spans="1:6" s="31" customFormat="1" ht="21.75" customHeight="1">
      <c r="A78" s="32"/>
      <c r="B78" s="32"/>
      <c r="C78" s="33">
        <v>3030</v>
      </c>
      <c r="D78" s="34" t="s">
        <v>119</v>
      </c>
      <c r="E78" s="35"/>
      <c r="F78" s="35">
        <f>5000+1129</f>
        <v>6129</v>
      </c>
    </row>
    <row r="79" spans="1:6" s="31" customFormat="1" ht="28.5" customHeight="1">
      <c r="A79" s="32"/>
      <c r="B79" s="32"/>
      <c r="C79" s="33">
        <v>3070</v>
      </c>
      <c r="D79" s="34" t="s">
        <v>44</v>
      </c>
      <c r="E79" s="67"/>
      <c r="F79" s="67">
        <f>270029-40000-5000-7129-27000+99000</f>
        <v>289900</v>
      </c>
    </row>
    <row r="80" spans="1:6" s="31" customFormat="1" ht="15.75" customHeight="1">
      <c r="A80" s="32"/>
      <c r="B80" s="32"/>
      <c r="C80" s="33">
        <v>4010</v>
      </c>
      <c r="D80" s="34" t="s">
        <v>20</v>
      </c>
      <c r="E80" s="67"/>
      <c r="F80" s="67">
        <f>27724+3600+1500+2563+15000</f>
        <v>50387</v>
      </c>
    </row>
    <row r="81" spans="1:6" s="31" customFormat="1" ht="15.75" customHeight="1">
      <c r="A81" s="32"/>
      <c r="B81" s="32"/>
      <c r="C81" s="33">
        <v>4020</v>
      </c>
      <c r="D81" s="34" t="s">
        <v>40</v>
      </c>
      <c r="E81" s="67"/>
      <c r="F81" s="67">
        <f>101447+10800+4500-15000</f>
        <v>101747</v>
      </c>
    </row>
    <row r="82" spans="1:6" s="31" customFormat="1" ht="15.75" customHeight="1">
      <c r="A82" s="32"/>
      <c r="B82" s="32"/>
      <c r="C82" s="33">
        <v>4040</v>
      </c>
      <c r="D82" s="34" t="s">
        <v>21</v>
      </c>
      <c r="E82" s="67"/>
      <c r="F82" s="67">
        <f>10980-2563</f>
        <v>8417</v>
      </c>
    </row>
    <row r="83" spans="1:6" s="31" customFormat="1" ht="15.75" customHeight="1">
      <c r="A83" s="32"/>
      <c r="B83" s="32"/>
      <c r="C83" s="33">
        <v>4050</v>
      </c>
      <c r="D83" s="34" t="s">
        <v>45</v>
      </c>
      <c r="E83" s="67"/>
      <c r="F83" s="67">
        <f>5009604+326681-5542+98297-212596</f>
        <v>5216444</v>
      </c>
    </row>
    <row r="84" spans="1:6" s="31" customFormat="1" ht="29.25" customHeight="1">
      <c r="A84" s="32"/>
      <c r="B84" s="32"/>
      <c r="C84" s="33">
        <v>4060</v>
      </c>
      <c r="D84" s="34" t="s">
        <v>88</v>
      </c>
      <c r="E84" s="67"/>
      <c r="F84" s="67">
        <f>117640+7341+5542+3004+11596</f>
        <v>145123</v>
      </c>
    </row>
    <row r="85" spans="1:6" s="31" customFormat="1" ht="29.25" customHeight="1">
      <c r="A85" s="32"/>
      <c r="B85" s="32"/>
      <c r="C85" s="33">
        <v>4070</v>
      </c>
      <c r="D85" s="34" t="s">
        <v>46</v>
      </c>
      <c r="E85" s="67"/>
      <c r="F85" s="67">
        <f>396331-37751</f>
        <v>358580</v>
      </c>
    </row>
    <row r="86" spans="1:6" s="31" customFormat="1" ht="29.25" customHeight="1">
      <c r="A86" s="32"/>
      <c r="B86" s="32"/>
      <c r="C86" s="33">
        <v>4080</v>
      </c>
      <c r="D86" s="34" t="s">
        <v>104</v>
      </c>
      <c r="E86" s="67"/>
      <c r="F86" s="67">
        <f>44215-340</f>
        <v>43875</v>
      </c>
    </row>
    <row r="87" spans="1:6" s="31" customFormat="1" ht="15.75" customHeight="1">
      <c r="A87" s="32"/>
      <c r="B87" s="32"/>
      <c r="C87" s="33">
        <v>4110</v>
      </c>
      <c r="D87" s="34" t="s">
        <v>22</v>
      </c>
      <c r="E87" s="67"/>
      <c r="F87" s="67">
        <f>26895+2495+1038</f>
        <v>30428</v>
      </c>
    </row>
    <row r="88" spans="1:6" s="31" customFormat="1" ht="25.5" customHeight="1">
      <c r="A88" s="32"/>
      <c r="B88" s="32"/>
      <c r="C88" s="33">
        <v>4120</v>
      </c>
      <c r="D88" s="34" t="s">
        <v>126</v>
      </c>
      <c r="E88" s="67"/>
      <c r="F88" s="67">
        <f>3434+362+147</f>
        <v>3943</v>
      </c>
    </row>
    <row r="89" spans="1:6" s="31" customFormat="1" ht="15.75" customHeight="1">
      <c r="A89" s="32"/>
      <c r="B89" s="32"/>
      <c r="C89" s="33">
        <v>4170</v>
      </c>
      <c r="D89" s="34" t="s">
        <v>23</v>
      </c>
      <c r="E89" s="67"/>
      <c r="F89" s="67">
        <f>19000+4020</f>
        <v>23020</v>
      </c>
    </row>
    <row r="90" spans="1:6" s="68" customFormat="1" ht="29.25" customHeight="1">
      <c r="A90" s="64"/>
      <c r="B90" s="64"/>
      <c r="C90" s="65">
        <v>4180</v>
      </c>
      <c r="D90" s="66" t="s">
        <v>89</v>
      </c>
      <c r="E90" s="67"/>
      <c r="F90" s="67">
        <f>370648+4212+94827+16199</f>
        <v>485886</v>
      </c>
    </row>
    <row r="91" spans="1:6" s="31" customFormat="1" ht="15.75" customHeight="1">
      <c r="A91" s="32"/>
      <c r="B91" s="32"/>
      <c r="C91" s="33">
        <v>4210</v>
      </c>
      <c r="D91" s="34" t="s">
        <v>18</v>
      </c>
      <c r="E91" s="67"/>
      <c r="F91" s="67">
        <f>119592+20000+15000+55000+18000</f>
        <v>227592</v>
      </c>
    </row>
    <row r="92" spans="1:6" s="31" customFormat="1" ht="15.75" customHeight="1">
      <c r="A92" s="32"/>
      <c r="B92" s="32"/>
      <c r="C92" s="33">
        <v>4220</v>
      </c>
      <c r="D92" s="34" t="s">
        <v>47</v>
      </c>
      <c r="E92" s="67"/>
      <c r="F92" s="67">
        <f>9000+5000</f>
        <v>14000</v>
      </c>
    </row>
    <row r="93" spans="1:6" s="31" customFormat="1" ht="15.75" customHeight="1">
      <c r="A93" s="32"/>
      <c r="B93" s="32"/>
      <c r="C93" s="33">
        <v>4230</v>
      </c>
      <c r="D93" s="34" t="s">
        <v>48</v>
      </c>
      <c r="E93" s="67"/>
      <c r="F93" s="67">
        <v>8000</v>
      </c>
    </row>
    <row r="94" spans="1:6" s="31" customFormat="1" ht="15.75" customHeight="1">
      <c r="A94" s="32"/>
      <c r="B94" s="32"/>
      <c r="C94" s="33">
        <v>4250</v>
      </c>
      <c r="D94" s="34" t="s">
        <v>49</v>
      </c>
      <c r="E94" s="67"/>
      <c r="F94" s="67">
        <v>16000</v>
      </c>
    </row>
    <row r="95" spans="1:6" s="31" customFormat="1" ht="15.75" customHeight="1">
      <c r="A95" s="32"/>
      <c r="B95" s="32"/>
      <c r="C95" s="33">
        <v>4260</v>
      </c>
      <c r="D95" s="34" t="s">
        <v>24</v>
      </c>
      <c r="E95" s="67"/>
      <c r="F95" s="67">
        <f>78086+10000+25000+14456</f>
        <v>127542</v>
      </c>
    </row>
    <row r="96" spans="1:6" s="31" customFormat="1" ht="15.75" customHeight="1">
      <c r="A96" s="32"/>
      <c r="B96" s="32"/>
      <c r="C96" s="33">
        <v>4270</v>
      </c>
      <c r="D96" s="34" t="s">
        <v>25</v>
      </c>
      <c r="E96" s="67"/>
      <c r="F96" s="67">
        <f>61809+11772</f>
        <v>73581</v>
      </c>
    </row>
    <row r="97" spans="1:6" s="31" customFormat="1" ht="15.75" customHeight="1">
      <c r="A97" s="32"/>
      <c r="B97" s="32"/>
      <c r="C97" s="33">
        <v>4280</v>
      </c>
      <c r="D97" s="34" t="s">
        <v>38</v>
      </c>
      <c r="E97" s="67"/>
      <c r="F97" s="67">
        <f>29300+4500</f>
        <v>33800</v>
      </c>
    </row>
    <row r="98" spans="1:6" s="31" customFormat="1" ht="15.75" customHeight="1">
      <c r="A98" s="32"/>
      <c r="B98" s="32"/>
      <c r="C98" s="33">
        <v>4300</v>
      </c>
      <c r="D98" s="34" t="s">
        <v>17</v>
      </c>
      <c r="E98" s="67"/>
      <c r="F98" s="67">
        <f>43000+20000+10000</f>
        <v>73000</v>
      </c>
    </row>
    <row r="99" spans="1:6" s="31" customFormat="1" ht="15.75" customHeight="1">
      <c r="A99" s="32"/>
      <c r="B99" s="32"/>
      <c r="C99" s="33">
        <v>4360</v>
      </c>
      <c r="D99" s="34" t="s">
        <v>76</v>
      </c>
      <c r="E99" s="67"/>
      <c r="F99" s="67">
        <v>8562</v>
      </c>
    </row>
    <row r="100" spans="1:6" s="31" customFormat="1" ht="15.75" customHeight="1">
      <c r="A100" s="32"/>
      <c r="B100" s="32"/>
      <c r="C100" s="33">
        <v>4410</v>
      </c>
      <c r="D100" s="34" t="s">
        <v>26</v>
      </c>
      <c r="E100" s="67"/>
      <c r="F100" s="67">
        <f>15300+6000+12000</f>
        <v>33300</v>
      </c>
    </row>
    <row r="101" spans="1:6" s="31" customFormat="1" ht="15.75" customHeight="1">
      <c r="A101" s="32"/>
      <c r="B101" s="32"/>
      <c r="C101" s="33">
        <v>4430</v>
      </c>
      <c r="D101" s="34" t="s">
        <v>27</v>
      </c>
      <c r="E101" s="67"/>
      <c r="F101" s="67">
        <f>3700+2000</f>
        <v>5700</v>
      </c>
    </row>
    <row r="102" spans="1:6" s="31" customFormat="1" ht="15.75" customHeight="1">
      <c r="A102" s="32"/>
      <c r="B102" s="32"/>
      <c r="C102" s="33">
        <v>4440</v>
      </c>
      <c r="D102" s="34" t="s">
        <v>28</v>
      </c>
      <c r="E102" s="67"/>
      <c r="F102" s="67">
        <v>4917</v>
      </c>
    </row>
    <row r="103" spans="1:6" s="31" customFormat="1" ht="15.75" customHeight="1">
      <c r="A103" s="32"/>
      <c r="B103" s="32"/>
      <c r="C103" s="33">
        <v>4480</v>
      </c>
      <c r="D103" s="34" t="s">
        <v>29</v>
      </c>
      <c r="E103" s="67"/>
      <c r="F103" s="67">
        <f>24325-201</f>
        <v>24124</v>
      </c>
    </row>
    <row r="104" spans="1:6" s="31" customFormat="1" ht="15.75" customHeight="1">
      <c r="A104" s="32"/>
      <c r="B104" s="32"/>
      <c r="C104" s="33">
        <v>4550</v>
      </c>
      <c r="D104" s="34" t="s">
        <v>41</v>
      </c>
      <c r="E104" s="67"/>
      <c r="F104" s="67">
        <v>3700</v>
      </c>
    </row>
    <row r="105" spans="1:6" s="31" customFormat="1" ht="15.75" customHeight="1">
      <c r="A105" s="32"/>
      <c r="B105" s="32"/>
      <c r="C105" s="33">
        <v>4610</v>
      </c>
      <c r="D105" s="34" t="s">
        <v>36</v>
      </c>
      <c r="E105" s="67"/>
      <c r="F105" s="67">
        <v>900</v>
      </c>
    </row>
    <row r="106" spans="1:6" s="31" customFormat="1" ht="28.5" customHeight="1">
      <c r="A106" s="32"/>
      <c r="B106" s="32"/>
      <c r="C106" s="33">
        <v>4700</v>
      </c>
      <c r="D106" s="34" t="s">
        <v>77</v>
      </c>
      <c r="E106" s="35"/>
      <c r="F106" s="35">
        <v>5500</v>
      </c>
    </row>
    <row r="107" spans="1:6" s="31" customFormat="1" ht="18" customHeight="1">
      <c r="A107" s="37"/>
      <c r="B107" s="37" t="s">
        <v>117</v>
      </c>
      <c r="C107" s="38"/>
      <c r="D107" s="39" t="s">
        <v>118</v>
      </c>
      <c r="E107" s="40">
        <f>SUM(E108)</f>
        <v>6000</v>
      </c>
      <c r="F107" s="40">
        <f>SUM(F109)</f>
        <v>6000</v>
      </c>
    </row>
    <row r="108" spans="1:6" s="31" customFormat="1" ht="48" customHeight="1">
      <c r="A108" s="32"/>
      <c r="B108" s="32"/>
      <c r="C108" s="33">
        <v>2110</v>
      </c>
      <c r="D108" s="43" t="s">
        <v>5</v>
      </c>
      <c r="E108" s="35">
        <v>6000</v>
      </c>
      <c r="F108" s="35"/>
    </row>
    <row r="109" spans="1:6" s="31" customFormat="1" ht="21" customHeight="1">
      <c r="A109" s="32"/>
      <c r="B109" s="32"/>
      <c r="C109" s="33">
        <v>4210</v>
      </c>
      <c r="D109" s="34" t="s">
        <v>18</v>
      </c>
      <c r="E109" s="35"/>
      <c r="F109" s="35">
        <v>6000</v>
      </c>
    </row>
    <row r="110" spans="1:6" s="31" customFormat="1" ht="17.25" customHeight="1">
      <c r="A110" s="49" t="s">
        <v>93</v>
      </c>
      <c r="B110" s="49"/>
      <c r="C110" s="50"/>
      <c r="D110" s="51" t="s">
        <v>90</v>
      </c>
      <c r="E110" s="52">
        <f>AVERAGE(E111)</f>
        <v>330000</v>
      </c>
      <c r="F110" s="52">
        <f>AVERAGE(F111)</f>
        <v>330000</v>
      </c>
    </row>
    <row r="111" spans="1:6" s="31" customFormat="1" ht="17.25" customHeight="1">
      <c r="A111" s="37"/>
      <c r="B111" s="37" t="s">
        <v>92</v>
      </c>
      <c r="C111" s="38"/>
      <c r="D111" s="39" t="s">
        <v>91</v>
      </c>
      <c r="E111" s="40">
        <f>SUM(E112)</f>
        <v>330000</v>
      </c>
      <c r="F111" s="40">
        <f>SUM(F113:F119)</f>
        <v>330000</v>
      </c>
    </row>
    <row r="112" spans="1:6" s="31" customFormat="1" ht="47.25" customHeight="1">
      <c r="A112" s="32"/>
      <c r="B112" s="32"/>
      <c r="C112" s="33">
        <v>2110</v>
      </c>
      <c r="D112" s="43" t="s">
        <v>5</v>
      </c>
      <c r="E112" s="35">
        <v>330000</v>
      </c>
      <c r="F112" s="35"/>
    </row>
    <row r="113" spans="1:6" s="57" customFormat="1" ht="60" customHeight="1">
      <c r="A113" s="54"/>
      <c r="B113" s="54"/>
      <c r="C113" s="61">
        <v>2360</v>
      </c>
      <c r="D113" s="44" t="s">
        <v>94</v>
      </c>
      <c r="E113" s="62"/>
      <c r="F113" s="56">
        <v>190080</v>
      </c>
    </row>
    <row r="114" spans="1:6" s="57" customFormat="1" ht="15.75" customHeight="1">
      <c r="A114" s="54"/>
      <c r="B114" s="54"/>
      <c r="C114" s="61">
        <v>4010</v>
      </c>
      <c r="D114" s="60" t="s">
        <v>20</v>
      </c>
      <c r="E114" s="62"/>
      <c r="F114" s="56">
        <v>5400</v>
      </c>
    </row>
    <row r="115" spans="1:6" s="57" customFormat="1" ht="15.75" customHeight="1">
      <c r="A115" s="54"/>
      <c r="B115" s="54"/>
      <c r="C115" s="61">
        <v>4110</v>
      </c>
      <c r="D115" s="60" t="s">
        <v>22</v>
      </c>
      <c r="E115" s="62"/>
      <c r="F115" s="56">
        <v>924</v>
      </c>
    </row>
    <row r="116" spans="1:6" s="57" customFormat="1" ht="31.5" customHeight="1">
      <c r="A116" s="54"/>
      <c r="B116" s="54"/>
      <c r="C116" s="61">
        <v>4120</v>
      </c>
      <c r="D116" s="60" t="s">
        <v>126</v>
      </c>
      <c r="E116" s="62"/>
      <c r="F116" s="56">
        <v>132</v>
      </c>
    </row>
    <row r="117" spans="1:6" s="57" customFormat="1" ht="15.75" customHeight="1">
      <c r="A117" s="54"/>
      <c r="B117" s="54"/>
      <c r="C117" s="61">
        <v>4170</v>
      </c>
      <c r="D117" s="60" t="s">
        <v>23</v>
      </c>
      <c r="E117" s="62"/>
      <c r="F117" s="56">
        <v>0</v>
      </c>
    </row>
    <row r="118" spans="1:6" s="57" customFormat="1" ht="15.75" customHeight="1">
      <c r="A118" s="54"/>
      <c r="B118" s="54"/>
      <c r="C118" s="55">
        <v>4210</v>
      </c>
      <c r="D118" s="63" t="s">
        <v>18</v>
      </c>
      <c r="E118" s="56"/>
      <c r="F118" s="56">
        <v>5964</v>
      </c>
    </row>
    <row r="119" spans="1:6" s="57" customFormat="1" ht="15.75" customHeight="1">
      <c r="A119" s="54"/>
      <c r="B119" s="54"/>
      <c r="C119" s="55">
        <v>4300</v>
      </c>
      <c r="D119" s="60" t="s">
        <v>17</v>
      </c>
      <c r="E119" s="56"/>
      <c r="F119" s="56">
        <v>127500</v>
      </c>
    </row>
    <row r="120" spans="1:6" s="57" customFormat="1" ht="15.75" customHeight="1">
      <c r="A120" s="80" t="s">
        <v>120</v>
      </c>
      <c r="B120" s="80"/>
      <c r="C120" s="81"/>
      <c r="D120" s="82" t="s">
        <v>121</v>
      </c>
      <c r="E120" s="87">
        <f>E121</f>
        <v>43281</v>
      </c>
      <c r="F120" s="87">
        <f>F121</f>
        <v>43281</v>
      </c>
    </row>
    <row r="121" spans="1:6" s="57" customFormat="1" ht="36" customHeight="1">
      <c r="A121" s="69"/>
      <c r="B121" s="69" t="s">
        <v>122</v>
      </c>
      <c r="C121" s="70"/>
      <c r="D121" s="71" t="s">
        <v>123</v>
      </c>
      <c r="E121" s="86">
        <f>SUM(E122)</f>
        <v>43281</v>
      </c>
      <c r="F121" s="86">
        <f>SUM(F123:F124)</f>
        <v>43281</v>
      </c>
    </row>
    <row r="122" spans="1:6" s="57" customFormat="1" ht="43.5" customHeight="1">
      <c r="A122" s="78"/>
      <c r="B122" s="78"/>
      <c r="C122" s="79">
        <v>2110</v>
      </c>
      <c r="D122" s="43" t="s">
        <v>5</v>
      </c>
      <c r="E122" s="365">
        <f>23349+18786+1146</f>
        <v>43281</v>
      </c>
      <c r="F122" s="56"/>
    </row>
    <row r="123" spans="1:6" s="57" customFormat="1" ht="45" customHeight="1">
      <c r="A123" s="78"/>
      <c r="B123" s="78"/>
      <c r="C123" s="79">
        <v>2830</v>
      </c>
      <c r="D123" s="84" t="s">
        <v>124</v>
      </c>
      <c r="E123" s="56"/>
      <c r="F123" s="366">
        <f>4257+3392+996</f>
        <v>8645</v>
      </c>
    </row>
    <row r="124" spans="1:6" s="57" customFormat="1" ht="21" customHeight="1">
      <c r="A124" s="78"/>
      <c r="B124" s="78"/>
      <c r="C124" s="79">
        <v>4240</v>
      </c>
      <c r="D124" s="84" t="s">
        <v>125</v>
      </c>
      <c r="E124" s="56"/>
      <c r="F124" s="366">
        <f>19092+15394+150</f>
        <v>34636</v>
      </c>
    </row>
    <row r="125" spans="1:6" s="31" customFormat="1" ht="17.25" customHeight="1">
      <c r="A125" s="49">
        <v>851</v>
      </c>
      <c r="B125" s="49"/>
      <c r="C125" s="50"/>
      <c r="D125" s="51" t="s">
        <v>10</v>
      </c>
      <c r="E125" s="52">
        <f>SUM(E126)</f>
        <v>1435600</v>
      </c>
      <c r="F125" s="52">
        <f>SUM(F126)</f>
        <v>1435600</v>
      </c>
    </row>
    <row r="126" spans="1:6" s="31" customFormat="1" ht="33.75" customHeight="1">
      <c r="A126" s="37"/>
      <c r="B126" s="37">
        <v>85156</v>
      </c>
      <c r="C126" s="38"/>
      <c r="D126" s="39" t="s">
        <v>11</v>
      </c>
      <c r="E126" s="40">
        <f>E127</f>
        <v>1435600</v>
      </c>
      <c r="F126" s="40">
        <f>F128</f>
        <v>1435600</v>
      </c>
    </row>
    <row r="127" spans="1:6" s="31" customFormat="1" ht="42.75" customHeight="1">
      <c r="A127" s="32"/>
      <c r="B127" s="32"/>
      <c r="C127" s="33">
        <v>2110</v>
      </c>
      <c r="D127" s="34" t="s">
        <v>5</v>
      </c>
      <c r="E127" s="35">
        <v>1435600</v>
      </c>
      <c r="F127" s="35"/>
    </row>
    <row r="128" spans="1:6" s="31" customFormat="1" ht="15.75" customHeight="1">
      <c r="A128" s="32"/>
      <c r="B128" s="32"/>
      <c r="C128" s="33">
        <v>4130</v>
      </c>
      <c r="D128" s="34" t="s">
        <v>50</v>
      </c>
      <c r="E128" s="35"/>
      <c r="F128" s="35">
        <v>1435600</v>
      </c>
    </row>
    <row r="129" spans="1:6" s="31" customFormat="1" ht="17.25" customHeight="1">
      <c r="A129" s="49" t="s">
        <v>79</v>
      </c>
      <c r="B129" s="49"/>
      <c r="C129" s="50"/>
      <c r="D129" s="51" t="s">
        <v>51</v>
      </c>
      <c r="E129" s="52">
        <f>E130</f>
        <v>839509</v>
      </c>
      <c r="F129" s="52">
        <f>F130</f>
        <v>839509</v>
      </c>
    </row>
    <row r="130" spans="1:6" s="31" customFormat="1" ht="17.25" customHeight="1">
      <c r="A130" s="37"/>
      <c r="B130" s="37">
        <v>85203</v>
      </c>
      <c r="C130" s="38"/>
      <c r="D130" s="39" t="s">
        <v>12</v>
      </c>
      <c r="E130" s="40">
        <f>SUM(E131,)</f>
        <v>839509</v>
      </c>
      <c r="F130" s="40">
        <f>SUM(F132:F150)</f>
        <v>839509</v>
      </c>
    </row>
    <row r="131" spans="1:6" s="31" customFormat="1" ht="43.5" customHeight="1">
      <c r="A131" s="32"/>
      <c r="B131" s="32"/>
      <c r="C131" s="33">
        <v>2110</v>
      </c>
      <c r="D131" s="34" t="s">
        <v>5</v>
      </c>
      <c r="E131" s="35">
        <f>841440-1931</f>
        <v>839509</v>
      </c>
      <c r="F131" s="35"/>
    </row>
    <row r="132" spans="1:6" s="31" customFormat="1" ht="15.75" customHeight="1">
      <c r="A132" s="32"/>
      <c r="B132" s="32"/>
      <c r="C132" s="55">
        <v>3020</v>
      </c>
      <c r="D132" s="34" t="s">
        <v>19</v>
      </c>
      <c r="E132" s="56"/>
      <c r="F132" s="77">
        <f>500-185</f>
        <v>315</v>
      </c>
    </row>
    <row r="133" spans="1:6" s="57" customFormat="1" ht="15.75" customHeight="1">
      <c r="A133" s="54"/>
      <c r="B133" s="54"/>
      <c r="C133" s="55">
        <v>4010</v>
      </c>
      <c r="D133" s="60" t="s">
        <v>20</v>
      </c>
      <c r="E133" s="56"/>
      <c r="F133" s="77">
        <v>450000</v>
      </c>
    </row>
    <row r="134" spans="1:6" s="57" customFormat="1" ht="15.75" customHeight="1">
      <c r="A134" s="54"/>
      <c r="B134" s="54"/>
      <c r="C134" s="55">
        <v>4040</v>
      </c>
      <c r="D134" s="60" t="s">
        <v>21</v>
      </c>
      <c r="E134" s="56"/>
      <c r="F134" s="77">
        <f>25852-458</f>
        <v>25394</v>
      </c>
    </row>
    <row r="135" spans="1:6" s="57" customFormat="1" ht="15.75" customHeight="1">
      <c r="A135" s="54"/>
      <c r="B135" s="54"/>
      <c r="C135" s="55">
        <v>4110</v>
      </c>
      <c r="D135" s="60" t="s">
        <v>22</v>
      </c>
      <c r="E135" s="56"/>
      <c r="F135" s="77">
        <v>85320</v>
      </c>
    </row>
    <row r="136" spans="1:6" s="57" customFormat="1" ht="30" customHeight="1">
      <c r="A136" s="54"/>
      <c r="B136" s="54"/>
      <c r="C136" s="55">
        <v>4120</v>
      </c>
      <c r="D136" s="60" t="s">
        <v>126</v>
      </c>
      <c r="E136" s="56"/>
      <c r="F136" s="77">
        <v>11658</v>
      </c>
    </row>
    <row r="137" spans="1:6" s="57" customFormat="1" ht="15.75" customHeight="1">
      <c r="A137" s="54"/>
      <c r="B137" s="54"/>
      <c r="C137" s="55">
        <v>4170</v>
      </c>
      <c r="D137" s="60" t="s">
        <v>23</v>
      </c>
      <c r="E137" s="56"/>
      <c r="F137" s="77">
        <f>2500+3000+1280</f>
        <v>6780</v>
      </c>
    </row>
    <row r="138" spans="1:6" s="57" customFormat="1" ht="15.75" customHeight="1">
      <c r="A138" s="54"/>
      <c r="B138" s="54"/>
      <c r="C138" s="55">
        <v>4210</v>
      </c>
      <c r="D138" s="60" t="s">
        <v>18</v>
      </c>
      <c r="E138" s="56"/>
      <c r="F138" s="77">
        <f>55864-368</f>
        <v>55496</v>
      </c>
    </row>
    <row r="139" spans="1:6" s="57" customFormat="1" ht="15.75" customHeight="1">
      <c r="A139" s="54"/>
      <c r="B139" s="54"/>
      <c r="C139" s="55">
        <v>4220</v>
      </c>
      <c r="D139" s="60" t="s">
        <v>47</v>
      </c>
      <c r="E139" s="56"/>
      <c r="F139" s="77">
        <v>19000</v>
      </c>
    </row>
    <row r="140" spans="1:6" s="57" customFormat="1" ht="15.75" customHeight="1">
      <c r="A140" s="54"/>
      <c r="B140" s="54"/>
      <c r="C140" s="55">
        <v>4260</v>
      </c>
      <c r="D140" s="60" t="s">
        <v>24</v>
      </c>
      <c r="E140" s="56"/>
      <c r="F140" s="77">
        <v>6000</v>
      </c>
    </row>
    <row r="141" spans="1:6" s="57" customFormat="1" ht="15.75" customHeight="1">
      <c r="A141" s="54"/>
      <c r="B141" s="54"/>
      <c r="C141" s="55">
        <v>4270</v>
      </c>
      <c r="D141" s="60" t="s">
        <v>25</v>
      </c>
      <c r="E141" s="56"/>
      <c r="F141" s="77">
        <f>33577-2529-1931-12000</f>
        <v>17117</v>
      </c>
    </row>
    <row r="142" spans="1:6" s="57" customFormat="1" ht="15.75" customHeight="1">
      <c r="A142" s="54"/>
      <c r="B142" s="54"/>
      <c r="C142" s="55">
        <v>4280</v>
      </c>
      <c r="D142" s="60" t="s">
        <v>38</v>
      </c>
      <c r="E142" s="56"/>
      <c r="F142" s="77">
        <f>400+50</f>
        <v>450</v>
      </c>
    </row>
    <row r="143" spans="1:6" s="57" customFormat="1" ht="15.75" customHeight="1">
      <c r="A143" s="54"/>
      <c r="B143" s="54"/>
      <c r="C143" s="55">
        <v>4300</v>
      </c>
      <c r="D143" s="60" t="s">
        <v>17</v>
      </c>
      <c r="E143" s="56"/>
      <c r="F143" s="77">
        <f>111823+10855</f>
        <v>122678</v>
      </c>
    </row>
    <row r="144" spans="1:6" s="57" customFormat="1" ht="15.75" customHeight="1">
      <c r="A144" s="54"/>
      <c r="B144" s="54"/>
      <c r="C144" s="55">
        <v>4360</v>
      </c>
      <c r="D144" s="60" t="s">
        <v>76</v>
      </c>
      <c r="E144" s="56"/>
      <c r="F144" s="77">
        <v>3850</v>
      </c>
    </row>
    <row r="145" spans="1:6" s="57" customFormat="1" ht="15.75" customHeight="1">
      <c r="A145" s="54"/>
      <c r="B145" s="54"/>
      <c r="C145" s="55">
        <v>4410</v>
      </c>
      <c r="D145" s="60" t="s">
        <v>26</v>
      </c>
      <c r="E145" s="56"/>
      <c r="F145" s="56">
        <v>2000</v>
      </c>
    </row>
    <row r="146" spans="1:6" s="57" customFormat="1" ht="15.75" customHeight="1">
      <c r="A146" s="54"/>
      <c r="B146" s="54"/>
      <c r="C146" s="55">
        <v>4430</v>
      </c>
      <c r="D146" s="60" t="s">
        <v>27</v>
      </c>
      <c r="E146" s="56"/>
      <c r="F146" s="56">
        <v>1125</v>
      </c>
    </row>
    <row r="147" spans="1:6" s="57" customFormat="1" ht="15.75" customHeight="1">
      <c r="A147" s="54"/>
      <c r="B147" s="54"/>
      <c r="C147" s="55">
        <v>4440</v>
      </c>
      <c r="D147" s="60" t="s">
        <v>28</v>
      </c>
      <c r="E147" s="56"/>
      <c r="F147" s="56">
        <f>11269+368</f>
        <v>11637</v>
      </c>
    </row>
    <row r="148" spans="1:6" s="57" customFormat="1" ht="15.75" customHeight="1">
      <c r="A148" s="54"/>
      <c r="B148" s="54"/>
      <c r="C148" s="55">
        <v>4480</v>
      </c>
      <c r="D148" s="60" t="s">
        <v>29</v>
      </c>
      <c r="E148" s="56"/>
      <c r="F148" s="56">
        <v>3632</v>
      </c>
    </row>
    <row r="149" spans="1:6" s="57" customFormat="1" ht="15.75" customHeight="1">
      <c r="A149" s="54"/>
      <c r="B149" s="54"/>
      <c r="C149" s="55">
        <v>4520</v>
      </c>
      <c r="D149" s="60" t="s">
        <v>30</v>
      </c>
      <c r="E149" s="56"/>
      <c r="F149" s="56">
        <f>3070-13</f>
        <v>3057</v>
      </c>
    </row>
    <row r="150" spans="1:6" s="57" customFormat="1" ht="31.5" customHeight="1">
      <c r="A150" s="54"/>
      <c r="B150" s="54"/>
      <c r="C150" s="55">
        <v>4700</v>
      </c>
      <c r="D150" s="60" t="s">
        <v>77</v>
      </c>
      <c r="E150" s="56"/>
      <c r="F150" s="56">
        <v>14000</v>
      </c>
    </row>
    <row r="151" spans="1:6" s="31" customFormat="1" ht="17.25" customHeight="1">
      <c r="A151" s="49">
        <v>853</v>
      </c>
      <c r="B151" s="49"/>
      <c r="C151" s="50"/>
      <c r="D151" s="51" t="s">
        <v>14</v>
      </c>
      <c r="E151" s="231">
        <f>SUM(E152,E165)</f>
        <v>321599.55</v>
      </c>
      <c r="F151" s="231">
        <f>SUM(F152,F165)</f>
        <v>321599.55</v>
      </c>
    </row>
    <row r="152" spans="1:6" s="31" customFormat="1" ht="17.25" customHeight="1">
      <c r="A152" s="37"/>
      <c r="B152" s="37">
        <v>85321</v>
      </c>
      <c r="C152" s="38"/>
      <c r="D152" s="39" t="s">
        <v>15</v>
      </c>
      <c r="E152" s="230">
        <f>SUM(E153)</f>
        <v>193529.55</v>
      </c>
      <c r="F152" s="230">
        <f>SUM(F153:F164)</f>
        <v>193529.55</v>
      </c>
    </row>
    <row r="153" spans="1:6" s="31" customFormat="1" ht="42.75" customHeight="1">
      <c r="A153" s="32"/>
      <c r="B153" s="32"/>
      <c r="C153" s="33">
        <v>2110</v>
      </c>
      <c r="D153" s="34" t="s">
        <v>5</v>
      </c>
      <c r="E153" s="229">
        <f>134228+12000+16801.55+30500</f>
        <v>193529.55</v>
      </c>
      <c r="F153" s="35"/>
    </row>
    <row r="154" spans="1:6" s="31" customFormat="1" ht="15.75" customHeight="1">
      <c r="A154" s="32"/>
      <c r="B154" s="32"/>
      <c r="C154" s="33">
        <v>3020</v>
      </c>
      <c r="D154" s="34" t="s">
        <v>19</v>
      </c>
      <c r="E154" s="35"/>
      <c r="F154" s="35">
        <v>50</v>
      </c>
    </row>
    <row r="155" spans="1:6" s="57" customFormat="1" ht="15.75" customHeight="1">
      <c r="A155" s="54"/>
      <c r="B155" s="54"/>
      <c r="C155" s="55">
        <v>4010</v>
      </c>
      <c r="D155" s="60" t="s">
        <v>20</v>
      </c>
      <c r="E155" s="56"/>
      <c r="F155" s="77">
        <f>54621+2000+4000</f>
        <v>60621</v>
      </c>
    </row>
    <row r="156" spans="1:6" s="57" customFormat="1" ht="15.75" customHeight="1">
      <c r="A156" s="54"/>
      <c r="B156" s="54"/>
      <c r="C156" s="55">
        <v>4040</v>
      </c>
      <c r="D156" s="60" t="s">
        <v>21</v>
      </c>
      <c r="E156" s="56"/>
      <c r="F156" s="77">
        <f>4177-235</f>
        <v>3942</v>
      </c>
    </row>
    <row r="157" spans="1:6" s="57" customFormat="1" ht="15.75" customHeight="1">
      <c r="A157" s="54"/>
      <c r="B157" s="54"/>
      <c r="C157" s="55">
        <v>4110</v>
      </c>
      <c r="D157" s="60" t="s">
        <v>22</v>
      </c>
      <c r="E157" s="56"/>
      <c r="F157" s="77">
        <f>13965+1000</f>
        <v>14965</v>
      </c>
    </row>
    <row r="158" spans="1:6" s="57" customFormat="1" ht="27.75" customHeight="1">
      <c r="A158" s="54"/>
      <c r="B158" s="54"/>
      <c r="C158" s="55">
        <v>4120</v>
      </c>
      <c r="D158" s="60" t="s">
        <v>126</v>
      </c>
      <c r="E158" s="56"/>
      <c r="F158" s="77">
        <v>1987</v>
      </c>
    </row>
    <row r="159" spans="1:6" s="57" customFormat="1" ht="15.75" customHeight="1">
      <c r="A159" s="54"/>
      <c r="B159" s="54"/>
      <c r="C159" s="55">
        <v>4170</v>
      </c>
      <c r="D159" s="60" t="s">
        <v>23</v>
      </c>
      <c r="E159" s="56"/>
      <c r="F159" s="77">
        <f>22300+4235+9000+4148</f>
        <v>39683</v>
      </c>
    </row>
    <row r="160" spans="1:6" s="57" customFormat="1" ht="15.75" customHeight="1">
      <c r="A160" s="54"/>
      <c r="B160" s="54"/>
      <c r="C160" s="55">
        <v>4210</v>
      </c>
      <c r="D160" s="60" t="s">
        <v>18</v>
      </c>
      <c r="E160" s="56"/>
      <c r="F160" s="233">
        <f>2833+2301.55+1016</f>
        <v>6150.55</v>
      </c>
    </row>
    <row r="161" spans="1:6" s="57" customFormat="1" ht="15.75" customHeight="1">
      <c r="A161" s="54"/>
      <c r="B161" s="54"/>
      <c r="C161" s="55">
        <v>4280</v>
      </c>
      <c r="D161" s="60" t="s">
        <v>38</v>
      </c>
      <c r="E161" s="56"/>
      <c r="F161" s="77">
        <v>100</v>
      </c>
    </row>
    <row r="162" spans="1:6" s="57" customFormat="1" ht="15.75" customHeight="1">
      <c r="A162" s="54"/>
      <c r="B162" s="54"/>
      <c r="C162" s="55">
        <v>4300</v>
      </c>
      <c r="D162" s="60" t="s">
        <v>17</v>
      </c>
      <c r="E162" s="56"/>
      <c r="F162" s="77">
        <f>32966+6000+4500+20918</f>
        <v>64384</v>
      </c>
    </row>
    <row r="163" spans="1:6" s="57" customFormat="1" ht="15.75" customHeight="1">
      <c r="A163" s="54"/>
      <c r="B163" s="54"/>
      <c r="C163" s="55">
        <v>4440</v>
      </c>
      <c r="D163" s="60" t="s">
        <v>28</v>
      </c>
      <c r="E163" s="56"/>
      <c r="F163" s="77">
        <f>1229+18</f>
        <v>1247</v>
      </c>
    </row>
    <row r="164" spans="1:6" s="57" customFormat="1" ht="27.75" customHeight="1">
      <c r="A164" s="54"/>
      <c r="B164" s="54"/>
      <c r="C164" s="55">
        <v>4700</v>
      </c>
      <c r="D164" s="60" t="s">
        <v>77</v>
      </c>
      <c r="E164" s="56"/>
      <c r="F164" s="77">
        <v>400</v>
      </c>
    </row>
    <row r="165" spans="1:6" s="57" customFormat="1" ht="15.75" customHeight="1">
      <c r="A165" s="69"/>
      <c r="B165" s="69" t="s">
        <v>111</v>
      </c>
      <c r="C165" s="70"/>
      <c r="D165" s="71" t="s">
        <v>6</v>
      </c>
      <c r="E165" s="72">
        <f>E166</f>
        <v>128070</v>
      </c>
      <c r="F165" s="72">
        <f>F167</f>
        <v>128070</v>
      </c>
    </row>
    <row r="166" spans="1:6" s="73" customFormat="1" ht="39" customHeight="1">
      <c r="A166" s="78"/>
      <c r="B166" s="78"/>
      <c r="C166" s="79">
        <v>2110</v>
      </c>
      <c r="D166" s="66" t="s">
        <v>5</v>
      </c>
      <c r="E166" s="77">
        <f>45045+20160+13860+49005</f>
        <v>128070</v>
      </c>
      <c r="F166" s="77"/>
    </row>
    <row r="167" spans="1:6" s="73" customFormat="1" ht="15.75" customHeight="1">
      <c r="A167" s="78"/>
      <c r="B167" s="78"/>
      <c r="C167" s="79">
        <v>3110</v>
      </c>
      <c r="D167" s="84" t="s">
        <v>52</v>
      </c>
      <c r="E167" s="77"/>
      <c r="F167" s="77">
        <f>45045+20160+13860+49005</f>
        <v>128070</v>
      </c>
    </row>
    <row r="168" spans="1:6" s="57" customFormat="1" ht="15.75" customHeight="1">
      <c r="A168" s="49" t="s">
        <v>97</v>
      </c>
      <c r="B168" s="49"/>
      <c r="C168" s="50"/>
      <c r="D168" s="51" t="s">
        <v>95</v>
      </c>
      <c r="E168" s="52">
        <f>SUM(E169,E175,E179,E186)</f>
        <v>667079</v>
      </c>
      <c r="F168" s="52">
        <f>SUM(F169,F175,F179,F186)</f>
        <v>667079</v>
      </c>
    </row>
    <row r="169" spans="1:6" s="73" customFormat="1" ht="15.75" customHeight="1">
      <c r="A169" s="69"/>
      <c r="B169" s="69" t="s">
        <v>106</v>
      </c>
      <c r="C169" s="70"/>
      <c r="D169" s="71" t="s">
        <v>105</v>
      </c>
      <c r="E169" s="72">
        <f>E170</f>
        <v>34720</v>
      </c>
      <c r="F169" s="72">
        <f>SUM(F171:F174)</f>
        <v>34720</v>
      </c>
    </row>
    <row r="170" spans="1:6" s="57" customFormat="1" ht="42" customHeight="1">
      <c r="A170" s="54"/>
      <c r="B170" s="54"/>
      <c r="C170" s="55">
        <v>2110</v>
      </c>
      <c r="D170" s="66" t="s">
        <v>5</v>
      </c>
      <c r="E170" s="77">
        <f>23000+11720</f>
        <v>34720</v>
      </c>
      <c r="F170" s="77"/>
    </row>
    <row r="171" spans="1:6" s="57" customFormat="1" ht="15.75" customHeight="1">
      <c r="A171" s="54"/>
      <c r="B171" s="54"/>
      <c r="C171" s="55">
        <v>3110</v>
      </c>
      <c r="D171" s="34" t="s">
        <v>19</v>
      </c>
      <c r="E171" s="77"/>
      <c r="F171" s="77">
        <f>22200+11400</f>
        <v>33600</v>
      </c>
    </row>
    <row r="172" spans="1:6" s="57" customFormat="1" ht="15.75" customHeight="1">
      <c r="A172" s="54"/>
      <c r="B172" s="54"/>
      <c r="C172" s="55">
        <v>4010</v>
      </c>
      <c r="D172" s="60" t="s">
        <v>20</v>
      </c>
      <c r="E172" s="77"/>
      <c r="F172" s="77">
        <f>669+267</f>
        <v>936</v>
      </c>
    </row>
    <row r="173" spans="1:6" s="57" customFormat="1" ht="15.75" customHeight="1">
      <c r="A173" s="54"/>
      <c r="B173" s="54"/>
      <c r="C173" s="55">
        <v>4110</v>
      </c>
      <c r="D173" s="60" t="s">
        <v>22</v>
      </c>
      <c r="E173" s="77"/>
      <c r="F173" s="77">
        <f>115+46</f>
        <v>161</v>
      </c>
    </row>
    <row r="174" spans="1:6" s="57" customFormat="1" ht="27.75" customHeight="1">
      <c r="A174" s="54"/>
      <c r="B174" s="54"/>
      <c r="C174" s="55">
        <v>4120</v>
      </c>
      <c r="D174" s="60" t="s">
        <v>126</v>
      </c>
      <c r="E174" s="77"/>
      <c r="F174" s="77">
        <f>16+7</f>
        <v>23</v>
      </c>
    </row>
    <row r="175" spans="1:6" s="31" customFormat="1" ht="17.25" customHeight="1">
      <c r="A175" s="37"/>
      <c r="B175" s="37" t="s">
        <v>98</v>
      </c>
      <c r="C175" s="38"/>
      <c r="D175" s="39" t="s">
        <v>13</v>
      </c>
      <c r="E175" s="40">
        <f>SUM(E176)</f>
        <v>409000</v>
      </c>
      <c r="F175" s="40">
        <f>SUM(F176:F178)</f>
        <v>409000</v>
      </c>
    </row>
    <row r="176" spans="1:6" s="57" customFormat="1" ht="71.25" customHeight="1">
      <c r="A176" s="54"/>
      <c r="B176" s="54"/>
      <c r="C176" s="55">
        <v>2160</v>
      </c>
      <c r="D176" s="53" t="s">
        <v>338</v>
      </c>
      <c r="E176" s="56">
        <v>409000</v>
      </c>
      <c r="F176" s="56"/>
    </row>
    <row r="177" spans="1:6" s="57" customFormat="1" ht="15.75" customHeight="1">
      <c r="A177" s="54"/>
      <c r="B177" s="54"/>
      <c r="C177" s="55">
        <v>3110</v>
      </c>
      <c r="D177" s="60" t="s">
        <v>52</v>
      </c>
      <c r="E177" s="56"/>
      <c r="F177" s="56">
        <v>404950</v>
      </c>
    </row>
    <row r="178" spans="1:6" s="57" customFormat="1" ht="15.75" customHeight="1">
      <c r="A178" s="54"/>
      <c r="B178" s="54"/>
      <c r="C178" s="55">
        <v>4010</v>
      </c>
      <c r="D178" s="60" t="s">
        <v>20</v>
      </c>
      <c r="E178" s="56"/>
      <c r="F178" s="56">
        <v>4050</v>
      </c>
    </row>
    <row r="179" spans="1:6" s="31" customFormat="1" ht="17.25" customHeight="1">
      <c r="A179" s="37"/>
      <c r="B179" s="37" t="s">
        <v>99</v>
      </c>
      <c r="C179" s="38"/>
      <c r="D179" s="39" t="s">
        <v>96</v>
      </c>
      <c r="E179" s="40">
        <f>SUM(E180:E181)</f>
        <v>223359</v>
      </c>
      <c r="F179" s="40">
        <f>SUM(F182:F185)</f>
        <v>223359</v>
      </c>
    </row>
    <row r="180" spans="1:6" s="68" customFormat="1" ht="52.9" customHeight="1">
      <c r="A180" s="64"/>
      <c r="B180" s="64"/>
      <c r="C180" s="65">
        <v>2110</v>
      </c>
      <c r="D180" s="66" t="s">
        <v>5</v>
      </c>
      <c r="E180" s="67">
        <f>5000+55919-2800</f>
        <v>58119</v>
      </c>
      <c r="F180" s="67"/>
    </row>
    <row r="181" spans="1:6" s="73" customFormat="1" ht="72" customHeight="1">
      <c r="A181" s="78"/>
      <c r="B181" s="78"/>
      <c r="C181" s="79">
        <v>2160</v>
      </c>
      <c r="D181" s="308" t="s">
        <v>338</v>
      </c>
      <c r="E181" s="77">
        <f>40000+62627+62613</f>
        <v>165240</v>
      </c>
      <c r="F181" s="77"/>
    </row>
    <row r="182" spans="1:6" s="57" customFormat="1" ht="15.75" customHeight="1">
      <c r="A182" s="78"/>
      <c r="B182" s="78"/>
      <c r="C182" s="79">
        <v>3110</v>
      </c>
      <c r="D182" s="84" t="s">
        <v>52</v>
      </c>
      <c r="E182" s="77"/>
      <c r="F182" s="77">
        <f>40298+7634+124000-238</f>
        <v>171694</v>
      </c>
    </row>
    <row r="183" spans="1:6" s="57" customFormat="1" ht="15.75" customHeight="1">
      <c r="A183" s="78"/>
      <c r="B183" s="78"/>
      <c r="C183" s="79">
        <v>4010</v>
      </c>
      <c r="D183" s="84" t="s">
        <v>20</v>
      </c>
      <c r="E183" s="77"/>
      <c r="F183" s="77">
        <f>3987+40348+1240-2141</f>
        <v>43434</v>
      </c>
    </row>
    <row r="184" spans="1:6" s="57" customFormat="1" ht="15.75" customHeight="1">
      <c r="A184" s="78"/>
      <c r="B184" s="78"/>
      <c r="C184" s="79">
        <v>4110</v>
      </c>
      <c r="D184" s="84" t="s">
        <v>22</v>
      </c>
      <c r="E184" s="77"/>
      <c r="F184" s="77">
        <f>627+6948-369</f>
        <v>7206</v>
      </c>
    </row>
    <row r="185" spans="1:6" s="57" customFormat="1" ht="30" customHeight="1">
      <c r="A185" s="54"/>
      <c r="B185" s="54"/>
      <c r="C185" s="55">
        <v>4120</v>
      </c>
      <c r="D185" s="60" t="s">
        <v>126</v>
      </c>
      <c r="E185" s="77"/>
      <c r="F185" s="77">
        <f>88+989-52</f>
        <v>1025</v>
      </c>
    </row>
    <row r="186" spans="1:6" s="57" customFormat="1" ht="19.5" customHeight="1">
      <c r="A186" s="69"/>
      <c r="B186" s="69" t="s">
        <v>127</v>
      </c>
      <c r="C186" s="70"/>
      <c r="D186" s="71" t="s">
        <v>6</v>
      </c>
      <c r="E186" s="72">
        <f>E187</f>
        <v>0</v>
      </c>
      <c r="F186" s="72">
        <f>F188+F189</f>
        <v>0</v>
      </c>
    </row>
    <row r="187" spans="1:6" s="73" customFormat="1" ht="47.25" customHeight="1">
      <c r="A187" s="78"/>
      <c r="B187" s="78"/>
      <c r="C187" s="79">
        <v>2110</v>
      </c>
      <c r="D187" s="66" t="s">
        <v>5</v>
      </c>
      <c r="E187" s="77">
        <f>62627-62627</f>
        <v>0</v>
      </c>
      <c r="F187" s="77"/>
    </row>
    <row r="188" spans="1:6" s="73" customFormat="1" ht="21" customHeight="1">
      <c r="A188" s="78"/>
      <c r="B188" s="78"/>
      <c r="C188" s="79">
        <v>3110</v>
      </c>
      <c r="D188" s="84" t="s">
        <v>52</v>
      </c>
      <c r="E188" s="77"/>
      <c r="F188" s="77">
        <f>62007-62007</f>
        <v>0</v>
      </c>
    </row>
    <row r="189" spans="1:6" s="73" customFormat="1" ht="18" customHeight="1">
      <c r="A189" s="78"/>
      <c r="B189" s="78"/>
      <c r="C189" s="79">
        <v>4010</v>
      </c>
      <c r="D189" s="84" t="s">
        <v>20</v>
      </c>
      <c r="E189" s="77"/>
      <c r="F189" s="77">
        <f>620-620</f>
        <v>0</v>
      </c>
    </row>
    <row r="190" spans="1:6" s="31" customFormat="1" ht="20.25" customHeight="1">
      <c r="A190" s="449" t="s">
        <v>78</v>
      </c>
      <c r="B190" s="449"/>
      <c r="C190" s="449"/>
      <c r="D190" s="449"/>
      <c r="E190" s="232">
        <f>SUM(E5,E9,E27,E56,E69,E75,E110,E120,E125,E129,E151,E168,)</f>
        <v>12770956.550000001</v>
      </c>
      <c r="F190" s="232">
        <f>SUM(F5,F9,F27,F56,F69,F75,F110,F120,F125,F129,F151,F168,)</f>
        <v>12770956.550000001</v>
      </c>
    </row>
    <row r="191" spans="1:6" ht="15.75" customHeight="1"/>
    <row r="192" spans="1:6" ht="15.75" customHeight="1"/>
    <row r="193" spans="5:6" s="36" customFormat="1" ht="15.75" customHeight="1">
      <c r="E193" s="74"/>
      <c r="F193" s="75"/>
    </row>
    <row r="194" spans="5:6" s="36" customFormat="1" ht="15.75" customHeight="1">
      <c r="E194" s="75"/>
      <c r="F194" s="75"/>
    </row>
    <row r="195" spans="5:6" s="36" customFormat="1" ht="15.75" customHeight="1">
      <c r="E195" s="76"/>
      <c r="F195" s="76"/>
    </row>
    <row r="196" spans="5:6" ht="15.75" customHeight="1"/>
    <row r="197" spans="5:6" ht="15.75" customHeight="1"/>
    <row r="198" spans="5:6" ht="15.75" customHeight="1"/>
    <row r="199" spans="5:6" ht="15.75" customHeight="1"/>
    <row r="200" spans="5:6" ht="15.75" customHeight="1"/>
    <row r="201" spans="5:6" ht="12.75" customHeight="1"/>
  </sheetData>
  <sheetProtection algorithmName="SHA-512" hashValue="A2Nl+FQ876qk1XquYargspzjCTR6AiAm5iIyFIEK3K5UlM3hHZSPSYdO9W/6LsCisVfjg5YN7ynmY6RqFSpqCA==" saltValue="e6KzDa9pLYewJxO2PV/4Cw==" spinCount="100000" sheet="1" objects="1" scenarios="1" formatColumns="0" formatRows="0"/>
  <autoFilter ref="C1:C201"/>
  <mergeCells count="2">
    <mergeCell ref="A2:F2"/>
    <mergeCell ref="A190:D190"/>
  </mergeCells>
  <pageMargins left="0.86614173228346458" right="0.27559055118110237" top="1.1417322834645669" bottom="0.78740157480314965" header="0.51181102362204722" footer="0.39370078740157483"/>
  <pageSetup paperSize="9" scale="85" fitToWidth="0" fitToHeight="4" orientation="portrait" horizontalDpi="4294967295" verticalDpi="300" r:id="rId1"/>
  <headerFooter differentFirst="1" alignWithMargins="0">
    <oddFooter>&amp;C&amp;P</oddFooter>
    <firstHeader>&amp;R&amp;10Tabela Nr 5
do uchwały Nr .............
Rady Powiatu w Otwocku
z dnia ...........................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41"/>
  <sheetViews>
    <sheetView zoomScaleNormal="100" workbookViewId="0">
      <pane ySplit="4" topLeftCell="A26" activePane="bottomLeft" state="frozen"/>
      <selection activeCell="C11" sqref="C11:I13"/>
      <selection pane="bottomLeft" activeCell="K28" sqref="K28"/>
    </sheetView>
  </sheetViews>
  <sheetFormatPr defaultColWidth="9.33203125" defaultRowHeight="12"/>
  <cols>
    <col min="1" max="1" width="3.6640625" style="279" customWidth="1"/>
    <col min="2" max="2" width="6.33203125" style="276" customWidth="1"/>
    <col min="3" max="4" width="10" style="276" customWidth="1"/>
    <col min="5" max="5" width="65.6640625" style="277" customWidth="1"/>
    <col min="6" max="7" width="18.83203125" style="278" customWidth="1"/>
    <col min="8" max="16384" width="9.33203125" style="279"/>
  </cols>
  <sheetData>
    <row r="1" spans="2:11" ht="16.5" customHeight="1"/>
    <row r="2" spans="2:11" ht="29.25" customHeight="1">
      <c r="B2" s="450" t="s">
        <v>347</v>
      </c>
      <c r="C2" s="450"/>
      <c r="D2" s="450"/>
      <c r="E2" s="450"/>
      <c r="F2" s="450"/>
      <c r="G2" s="450"/>
    </row>
    <row r="3" spans="2:11" ht="15.75" customHeight="1">
      <c r="B3" s="280"/>
      <c r="C3" s="280"/>
      <c r="D3" s="280"/>
      <c r="E3" s="280"/>
      <c r="F3" s="280"/>
      <c r="G3" s="280"/>
    </row>
    <row r="4" spans="2:11" s="284" customFormat="1" ht="42" customHeight="1">
      <c r="B4" s="281" t="s">
        <v>0</v>
      </c>
      <c r="C4" s="281" t="s">
        <v>1</v>
      </c>
      <c r="D4" s="281" t="s">
        <v>72</v>
      </c>
      <c r="E4" s="282" t="s">
        <v>73</v>
      </c>
      <c r="F4" s="283" t="s">
        <v>74</v>
      </c>
      <c r="G4" s="283" t="s">
        <v>75</v>
      </c>
    </row>
    <row r="5" spans="2:11" s="284" customFormat="1" ht="17.25" customHeight="1">
      <c r="B5" s="285">
        <v>600</v>
      </c>
      <c r="C5" s="285"/>
      <c r="D5" s="285"/>
      <c r="E5" s="286" t="s">
        <v>348</v>
      </c>
      <c r="F5" s="287">
        <f>SUM(F6,F8)</f>
        <v>1851443</v>
      </c>
      <c r="G5" s="287">
        <f>G6+G8</f>
        <v>250000</v>
      </c>
    </row>
    <row r="6" spans="2:11" s="291" customFormat="1" ht="17.25" customHeight="1">
      <c r="B6" s="288"/>
      <c r="C6" s="288">
        <v>60004</v>
      </c>
      <c r="D6" s="288"/>
      <c r="E6" s="289" t="s">
        <v>349</v>
      </c>
      <c r="F6" s="290"/>
      <c r="G6" s="290">
        <f>SUM(G7)</f>
        <v>250000</v>
      </c>
    </row>
    <row r="7" spans="2:11" s="294" customFormat="1" ht="46.5" customHeight="1">
      <c r="B7" s="292"/>
      <c r="C7" s="292"/>
      <c r="D7" s="292">
        <v>2310</v>
      </c>
      <c r="E7" s="245" t="s">
        <v>317</v>
      </c>
      <c r="F7" s="293"/>
      <c r="G7" s="293">
        <v>250000</v>
      </c>
    </row>
    <row r="8" spans="2:11" s="291" customFormat="1" ht="17.25" customHeight="1">
      <c r="B8" s="288"/>
      <c r="C8" s="288">
        <v>60014</v>
      </c>
      <c r="D8" s="288"/>
      <c r="E8" s="289" t="s">
        <v>350</v>
      </c>
      <c r="F8" s="290">
        <f>SUM(F9:F11)</f>
        <v>1851443</v>
      </c>
      <c r="G8" s="290"/>
    </row>
    <row r="9" spans="2:11" s="387" customFormat="1" ht="42.6" customHeight="1">
      <c r="B9" s="401"/>
      <c r="C9" s="401"/>
      <c r="D9" s="401">
        <v>2710</v>
      </c>
      <c r="E9" s="399" t="s">
        <v>351</v>
      </c>
      <c r="F9" s="402">
        <f>100000-100000</f>
        <v>0</v>
      </c>
      <c r="G9" s="402"/>
    </row>
    <row r="10" spans="2:11" s="294" customFormat="1" ht="50.25" customHeight="1">
      <c r="B10" s="292"/>
      <c r="C10" s="292"/>
      <c r="D10" s="292">
        <v>6300</v>
      </c>
      <c r="E10" s="245" t="s">
        <v>352</v>
      </c>
      <c r="F10" s="293">
        <f>1786000-432500-20000-50000+23500</f>
        <v>1307000</v>
      </c>
      <c r="G10" s="293"/>
    </row>
    <row r="11" spans="2:11" s="291" customFormat="1" ht="49.5" customHeight="1">
      <c r="B11" s="295"/>
      <c r="C11" s="295"/>
      <c r="D11" s="295">
        <v>6630</v>
      </c>
      <c r="E11" s="245" t="s">
        <v>353</v>
      </c>
      <c r="F11" s="293">
        <f>557375-12932</f>
        <v>544443</v>
      </c>
      <c r="G11" s="296"/>
    </row>
    <row r="12" spans="2:11" s="284" customFormat="1" ht="17.25" customHeight="1">
      <c r="B12" s="285">
        <v>710</v>
      </c>
      <c r="C12" s="285"/>
      <c r="D12" s="285"/>
      <c r="E12" s="286" t="s">
        <v>37</v>
      </c>
      <c r="F12" s="287"/>
      <c r="G12" s="287">
        <f>SUM(G13)</f>
        <v>70572</v>
      </c>
    </row>
    <row r="13" spans="2:11" s="291" customFormat="1" ht="17.25" customHeight="1">
      <c r="B13" s="288"/>
      <c r="C13" s="288">
        <v>71095</v>
      </c>
      <c r="D13" s="288"/>
      <c r="E13" s="289" t="s">
        <v>6</v>
      </c>
      <c r="F13" s="290"/>
      <c r="G13" s="290">
        <f>SUM(G14)</f>
        <v>70572</v>
      </c>
    </row>
    <row r="14" spans="2:11" s="291" customFormat="1" ht="51" customHeight="1">
      <c r="B14" s="295"/>
      <c r="C14" s="295"/>
      <c r="D14" s="295">
        <v>6639</v>
      </c>
      <c r="E14" s="297" t="s">
        <v>318</v>
      </c>
      <c r="F14" s="293"/>
      <c r="G14" s="293">
        <v>70572</v>
      </c>
    </row>
    <row r="15" spans="2:11" s="291" customFormat="1" ht="17.25" customHeight="1">
      <c r="B15" s="286">
        <v>750</v>
      </c>
      <c r="C15" s="286"/>
      <c r="D15" s="286"/>
      <c r="E15" s="286" t="s">
        <v>42</v>
      </c>
      <c r="F15" s="298">
        <f>SUM(F16)</f>
        <v>102800</v>
      </c>
      <c r="G15" s="286"/>
    </row>
    <row r="16" spans="2:11" s="291" customFormat="1" ht="17.25" customHeight="1">
      <c r="B16" s="288"/>
      <c r="C16" s="288">
        <v>75020</v>
      </c>
      <c r="D16" s="288"/>
      <c r="E16" s="299" t="s">
        <v>354</v>
      </c>
      <c r="F16" s="300">
        <f>SUM(F17)</f>
        <v>102800</v>
      </c>
      <c r="G16" s="301"/>
      <c r="K16" s="291" t="s">
        <v>305</v>
      </c>
    </row>
    <row r="17" spans="2:7" s="291" customFormat="1" ht="45.75" customHeight="1">
      <c r="B17" s="295"/>
      <c r="C17" s="295"/>
      <c r="D17" s="295">
        <v>2710</v>
      </c>
      <c r="E17" s="245" t="s">
        <v>351</v>
      </c>
      <c r="F17" s="293">
        <f>30000+29000+43800</f>
        <v>102800</v>
      </c>
      <c r="G17" s="293"/>
    </row>
    <row r="18" spans="2:7" s="284" customFormat="1" ht="17.25" customHeight="1">
      <c r="B18" s="285">
        <v>853</v>
      </c>
      <c r="C18" s="285"/>
      <c r="D18" s="285"/>
      <c r="E18" s="286" t="s">
        <v>14</v>
      </c>
      <c r="F18" s="287">
        <f>SUM(F19)</f>
        <v>9887</v>
      </c>
      <c r="G18" s="287">
        <f>SUM(G19)</f>
        <v>2000</v>
      </c>
    </row>
    <row r="19" spans="2:7" s="291" customFormat="1" ht="19.5" customHeight="1">
      <c r="B19" s="288"/>
      <c r="C19" s="288">
        <v>85311</v>
      </c>
      <c r="D19" s="288"/>
      <c r="E19" s="289" t="s">
        <v>355</v>
      </c>
      <c r="F19" s="290">
        <f>SUM(F20)</f>
        <v>9887</v>
      </c>
      <c r="G19" s="290">
        <f>SUM(G20:G21)</f>
        <v>2000</v>
      </c>
    </row>
    <row r="20" spans="2:7" s="294" customFormat="1" ht="47.25" customHeight="1">
      <c r="B20" s="292"/>
      <c r="C20" s="292"/>
      <c r="D20" s="292">
        <v>2320</v>
      </c>
      <c r="E20" s="245" t="s">
        <v>356</v>
      </c>
      <c r="F20" s="293">
        <v>9887</v>
      </c>
      <c r="G20" s="293"/>
    </row>
    <row r="21" spans="2:7" s="294" customFormat="1" ht="48" customHeight="1">
      <c r="B21" s="292"/>
      <c r="C21" s="292"/>
      <c r="D21" s="292">
        <v>2320</v>
      </c>
      <c r="E21" s="245" t="s">
        <v>321</v>
      </c>
      <c r="F21" s="293"/>
      <c r="G21" s="293">
        <v>2000</v>
      </c>
    </row>
    <row r="22" spans="2:7" s="284" customFormat="1" ht="17.25" customHeight="1">
      <c r="B22" s="285">
        <v>855</v>
      </c>
      <c r="C22" s="285"/>
      <c r="D22" s="285"/>
      <c r="E22" s="286" t="s">
        <v>95</v>
      </c>
      <c r="F22" s="287">
        <f>SUM(F23,F26,F28)</f>
        <v>466494</v>
      </c>
      <c r="G22" s="287">
        <f>SUM(G23,G26,G28)</f>
        <v>606173</v>
      </c>
    </row>
    <row r="23" spans="2:7" s="291" customFormat="1" ht="17.25" customHeight="1">
      <c r="B23" s="288"/>
      <c r="C23" s="288">
        <v>85508</v>
      </c>
      <c r="D23" s="288"/>
      <c r="E23" s="289" t="s">
        <v>13</v>
      </c>
      <c r="F23" s="290">
        <f>SUM(F24)</f>
        <v>223763</v>
      </c>
      <c r="G23" s="290">
        <f>SUM(G24:G25)</f>
        <v>453492</v>
      </c>
    </row>
    <row r="24" spans="2:7" s="294" customFormat="1" ht="50.25" customHeight="1">
      <c r="B24" s="398"/>
      <c r="C24" s="398"/>
      <c r="D24" s="398">
        <v>2320</v>
      </c>
      <c r="E24" s="399" t="s">
        <v>356</v>
      </c>
      <c r="F24" s="400">
        <f>204106+19657</f>
        <v>223763</v>
      </c>
      <c r="G24" s="400"/>
    </row>
    <row r="25" spans="2:7" s="294" customFormat="1" ht="47.25" customHeight="1">
      <c r="B25" s="398"/>
      <c r="C25" s="398"/>
      <c r="D25" s="398">
        <v>2320</v>
      </c>
      <c r="E25" s="399" t="s">
        <v>321</v>
      </c>
      <c r="F25" s="400"/>
      <c r="G25" s="400">
        <f>538236-84744</f>
        <v>453492</v>
      </c>
    </row>
    <row r="26" spans="2:7" s="291" customFormat="1" ht="17.25" customHeight="1">
      <c r="B26" s="288"/>
      <c r="C26" s="288">
        <v>85509</v>
      </c>
      <c r="D26" s="288"/>
      <c r="E26" s="289" t="s">
        <v>357</v>
      </c>
      <c r="F26" s="290"/>
      <c r="G26" s="290">
        <f>SUM(G27)</f>
        <v>72000</v>
      </c>
    </row>
    <row r="27" spans="2:7" s="294" customFormat="1" ht="52.5" customHeight="1">
      <c r="B27" s="398"/>
      <c r="C27" s="398"/>
      <c r="D27" s="398">
        <v>2330</v>
      </c>
      <c r="E27" s="399" t="s">
        <v>322</v>
      </c>
      <c r="F27" s="400"/>
      <c r="G27" s="400">
        <f>202000-130000</f>
        <v>72000</v>
      </c>
    </row>
    <row r="28" spans="2:7" s="291" customFormat="1" ht="17.25" customHeight="1">
      <c r="B28" s="288"/>
      <c r="C28" s="288">
        <v>85510</v>
      </c>
      <c r="D28" s="288"/>
      <c r="E28" s="289" t="s">
        <v>96</v>
      </c>
      <c r="F28" s="290">
        <f>SUM(F29)</f>
        <v>242731</v>
      </c>
      <c r="G28" s="290">
        <f>SUM(G30:G30)</f>
        <v>80681</v>
      </c>
    </row>
    <row r="29" spans="2:7" s="294" customFormat="1" ht="48" customHeight="1">
      <c r="B29" s="398"/>
      <c r="C29" s="398"/>
      <c r="D29" s="398">
        <v>2320</v>
      </c>
      <c r="E29" s="399" t="s">
        <v>356</v>
      </c>
      <c r="F29" s="400">
        <f>670106-427375</f>
        <v>242731</v>
      </c>
      <c r="G29" s="400"/>
    </row>
    <row r="30" spans="2:7" s="294" customFormat="1" ht="48.75" customHeight="1">
      <c r="B30" s="398"/>
      <c r="C30" s="398"/>
      <c r="D30" s="398">
        <v>2320</v>
      </c>
      <c r="E30" s="399" t="s">
        <v>321</v>
      </c>
      <c r="F30" s="400"/>
      <c r="G30" s="400">
        <f>133932-53251</f>
        <v>80681</v>
      </c>
    </row>
    <row r="31" spans="2:7" s="284" customFormat="1" ht="17.25" customHeight="1">
      <c r="B31" s="285">
        <v>900</v>
      </c>
      <c r="C31" s="285"/>
      <c r="D31" s="285"/>
      <c r="E31" s="286" t="s">
        <v>358</v>
      </c>
      <c r="F31" s="287"/>
      <c r="G31" s="287">
        <f>SUM(G32)</f>
        <v>10000</v>
      </c>
    </row>
    <row r="32" spans="2:7" s="291" customFormat="1" ht="17.25" customHeight="1">
      <c r="B32" s="288"/>
      <c r="C32" s="288">
        <v>90095</v>
      </c>
      <c r="D32" s="288"/>
      <c r="E32" s="289" t="s">
        <v>6</v>
      </c>
      <c r="F32" s="290"/>
      <c r="G32" s="290">
        <f>SUM(G33)</f>
        <v>10000</v>
      </c>
    </row>
    <row r="33" spans="2:7" s="291" customFormat="1" ht="49.5" customHeight="1">
      <c r="B33" s="295"/>
      <c r="C33" s="295"/>
      <c r="D33" s="295">
        <v>2710</v>
      </c>
      <c r="E33" s="297" t="s">
        <v>323</v>
      </c>
      <c r="F33" s="296"/>
      <c r="G33" s="293">
        <v>10000</v>
      </c>
    </row>
    <row r="34" spans="2:7" s="284" customFormat="1" ht="17.25" customHeight="1">
      <c r="B34" s="285">
        <v>921</v>
      </c>
      <c r="C34" s="285"/>
      <c r="D34" s="285"/>
      <c r="E34" s="286" t="s">
        <v>359</v>
      </c>
      <c r="F34" s="287">
        <f>SUM(F35,F39)</f>
        <v>110000</v>
      </c>
      <c r="G34" s="287">
        <f>SUM(G35,G39)</f>
        <v>0</v>
      </c>
    </row>
    <row r="35" spans="2:7" s="291" customFormat="1" ht="17.25" customHeight="1">
      <c r="B35" s="288"/>
      <c r="C35" s="288">
        <v>92105</v>
      </c>
      <c r="D35" s="288"/>
      <c r="E35" s="289" t="s">
        <v>360</v>
      </c>
      <c r="F35" s="290"/>
      <c r="G35" s="290">
        <f>SUM(G36)</f>
        <v>0</v>
      </c>
    </row>
    <row r="36" spans="2:7" s="294" customFormat="1" ht="48" customHeight="1">
      <c r="B36" s="302"/>
      <c r="C36" s="302"/>
      <c r="D36" s="292">
        <v>2710</v>
      </c>
      <c r="E36" s="245" t="s">
        <v>323</v>
      </c>
      <c r="F36" s="293"/>
      <c r="G36" s="293">
        <f>10000-10000</f>
        <v>0</v>
      </c>
    </row>
    <row r="37" spans="2:7" s="294" customFormat="1" ht="17.25" customHeight="1">
      <c r="B37" s="303"/>
      <c r="C37" s="303">
        <v>92605</v>
      </c>
      <c r="D37" s="304"/>
      <c r="E37" s="305" t="s">
        <v>361</v>
      </c>
      <c r="F37" s="306"/>
      <c r="G37" s="306">
        <f>G38</f>
        <v>0</v>
      </c>
    </row>
    <row r="38" spans="2:7" s="294" customFormat="1" ht="48" customHeight="1">
      <c r="B38" s="302"/>
      <c r="C38" s="302"/>
      <c r="D38" s="292">
        <v>2710</v>
      </c>
      <c r="E38" s="245" t="s">
        <v>323</v>
      </c>
      <c r="F38" s="293"/>
      <c r="G38" s="293">
        <f>8000-8000</f>
        <v>0</v>
      </c>
    </row>
    <row r="39" spans="2:7" s="291" customFormat="1" ht="17.25" customHeight="1">
      <c r="B39" s="288"/>
      <c r="C39" s="288">
        <v>92116</v>
      </c>
      <c r="D39" s="288"/>
      <c r="E39" s="289" t="s">
        <v>362</v>
      </c>
      <c r="F39" s="290">
        <f>SUM(F40)</f>
        <v>110000</v>
      </c>
      <c r="G39" s="290"/>
    </row>
    <row r="40" spans="2:7" s="294" customFormat="1" ht="48.75" customHeight="1">
      <c r="B40" s="292"/>
      <c r="C40" s="292"/>
      <c r="D40" s="292">
        <v>2710</v>
      </c>
      <c r="E40" s="245" t="s">
        <v>351</v>
      </c>
      <c r="F40" s="293">
        <v>110000</v>
      </c>
      <c r="G40" s="293"/>
    </row>
    <row r="41" spans="2:7" s="291" customFormat="1" ht="24.75" customHeight="1">
      <c r="B41" s="451" t="s">
        <v>78</v>
      </c>
      <c r="C41" s="452"/>
      <c r="D41" s="452"/>
      <c r="E41" s="453"/>
      <c r="F41" s="307">
        <f>SUM(F5,F12,F15,F18,F22,F31,F34)</f>
        <v>2540624</v>
      </c>
      <c r="G41" s="307">
        <f>SUM(G5,G12,G18,G22,G31,G34,G37)</f>
        <v>938745</v>
      </c>
    </row>
  </sheetData>
  <sheetProtection algorithmName="SHA-512" hashValue="+xKORoYVpFV6Nr+a/1l62TZ1RJAlie4DPNvNgiEAPObzy76o3pguqug3tiuJ4YK8T9sm5IJvj1bM+F0lPMRRHA==" saltValue="K4lp4w8HpiG+LMSU8DOLJw==" spinCount="100000" sheet="1" objects="1" scenarios="1" formatColumns="0" formatRows="0"/>
  <mergeCells count="2">
    <mergeCell ref="B2:G2"/>
    <mergeCell ref="B41:E41"/>
  </mergeCells>
  <pageMargins left="0.55118110236220474" right="0.47244094488188981" top="1.52" bottom="1.49" header="0.69" footer="0.51181102362204722"/>
  <pageSetup paperSize="9" scale="85" orientation="portrait" horizontalDpi="4294967295" verticalDpi="300" r:id="rId1"/>
  <headerFooter differentFirst="1" alignWithMargins="0">
    <oddFooter>&amp;C&amp;P</oddFooter>
    <firstHeader>&amp;R&amp;10Tabela Nr 7
do uchwały Nr ................
Rady Powiatu w Otwocku
z dnia .....................</firstHead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8"/>
  <sheetViews>
    <sheetView tabSelected="1" zoomScaleNormal="100" workbookViewId="0">
      <pane ySplit="5" topLeftCell="A28" activePane="bottomLeft" state="frozen"/>
      <selection activeCell="M10" sqref="M10"/>
      <selection pane="bottomLeft" activeCell="J35" sqref="J35"/>
    </sheetView>
  </sheetViews>
  <sheetFormatPr defaultColWidth="9.33203125" defaultRowHeight="12"/>
  <cols>
    <col min="1" max="1" width="6.5" style="234" customWidth="1"/>
    <col min="2" max="2" width="10.83203125" style="234" customWidth="1"/>
    <col min="3" max="3" width="7.33203125" style="234" customWidth="1"/>
    <col min="4" max="4" width="61.33203125" style="36" customWidth="1"/>
    <col min="5" max="7" width="15.6640625" style="36" customWidth="1"/>
    <col min="8" max="8" width="20.5" style="36" customWidth="1"/>
    <col min="9" max="10" width="9.33203125" style="36"/>
    <col min="11" max="11" width="10.33203125" style="36" bestFit="1" customWidth="1"/>
    <col min="12" max="16384" width="9.33203125" style="36"/>
  </cols>
  <sheetData>
    <row r="1" spans="1:12" ht="9" customHeight="1">
      <c r="F1" s="235"/>
      <c r="G1" s="235"/>
    </row>
    <row r="2" spans="1:12" s="237" customFormat="1" ht="33" customHeight="1">
      <c r="A2" s="454" t="s">
        <v>310</v>
      </c>
      <c r="B2" s="454"/>
      <c r="C2" s="454"/>
      <c r="D2" s="454"/>
      <c r="E2" s="454"/>
      <c r="F2" s="454"/>
      <c r="G2" s="454"/>
      <c r="H2" s="236"/>
    </row>
    <row r="3" spans="1:12" ht="10.5" customHeight="1"/>
    <row r="4" spans="1:12" ht="24" customHeight="1">
      <c r="A4" s="455" t="s">
        <v>0</v>
      </c>
      <c r="B4" s="455" t="s">
        <v>1</v>
      </c>
      <c r="C4" s="455" t="s">
        <v>109</v>
      </c>
      <c r="D4" s="455" t="s">
        <v>58</v>
      </c>
      <c r="E4" s="455" t="s">
        <v>311</v>
      </c>
      <c r="F4" s="455"/>
      <c r="G4" s="455"/>
    </row>
    <row r="5" spans="1:12" ht="24" customHeight="1">
      <c r="A5" s="455"/>
      <c r="B5" s="455"/>
      <c r="C5" s="455"/>
      <c r="D5" s="455"/>
      <c r="E5" s="238" t="s">
        <v>312</v>
      </c>
      <c r="F5" s="238" t="s">
        <v>313</v>
      </c>
      <c r="G5" s="238" t="s">
        <v>314</v>
      </c>
    </row>
    <row r="6" spans="1:12" s="240" customFormat="1" ht="12.75" customHeight="1">
      <c r="A6" s="239">
        <v>1</v>
      </c>
      <c r="B6" s="239">
        <v>2</v>
      </c>
      <c r="C6" s="239">
        <v>3</v>
      </c>
      <c r="D6" s="239">
        <v>4</v>
      </c>
      <c r="E6" s="239">
        <v>5</v>
      </c>
      <c r="F6" s="239">
        <v>6</v>
      </c>
      <c r="G6" s="239">
        <v>7</v>
      </c>
    </row>
    <row r="7" spans="1:12" ht="39" customHeight="1">
      <c r="A7" s="456" t="s">
        <v>315</v>
      </c>
      <c r="B7" s="456"/>
      <c r="C7" s="456"/>
      <c r="D7" s="241" t="s">
        <v>110</v>
      </c>
      <c r="E7" s="242" t="s">
        <v>316</v>
      </c>
      <c r="F7" s="242" t="s">
        <v>316</v>
      </c>
      <c r="G7" s="242" t="s">
        <v>316</v>
      </c>
    </row>
    <row r="8" spans="1:12" s="247" customFormat="1" ht="52.5" customHeight="1">
      <c r="A8" s="243">
        <v>600</v>
      </c>
      <c r="B8" s="244">
        <v>60004</v>
      </c>
      <c r="C8" s="243">
        <v>2310</v>
      </c>
      <c r="D8" s="245" t="s">
        <v>317</v>
      </c>
      <c r="E8" s="246"/>
      <c r="F8" s="246"/>
      <c r="G8" s="388">
        <v>250000</v>
      </c>
    </row>
    <row r="9" spans="1:12" s="247" customFormat="1" ht="57" customHeight="1">
      <c r="A9" s="248">
        <v>710</v>
      </c>
      <c r="B9" s="249">
        <v>71095</v>
      </c>
      <c r="C9" s="248">
        <v>6639</v>
      </c>
      <c r="D9" s="250" t="s">
        <v>318</v>
      </c>
      <c r="E9" s="251"/>
      <c r="F9" s="251"/>
      <c r="G9" s="389">
        <v>70572</v>
      </c>
    </row>
    <row r="10" spans="1:12" s="247" customFormat="1" ht="45" customHeight="1">
      <c r="A10" s="248">
        <v>754</v>
      </c>
      <c r="B10" s="249">
        <v>75404</v>
      </c>
      <c r="C10" s="248">
        <v>2300</v>
      </c>
      <c r="D10" s="250" t="s">
        <v>319</v>
      </c>
      <c r="E10" s="251"/>
      <c r="F10" s="251"/>
      <c r="G10" s="389">
        <f>30000</f>
        <v>30000</v>
      </c>
    </row>
    <row r="11" spans="1:12" s="247" customFormat="1" ht="38.25" customHeight="1">
      <c r="A11" s="248">
        <v>754</v>
      </c>
      <c r="B11" s="249">
        <v>75404</v>
      </c>
      <c r="C11" s="248">
        <v>6170</v>
      </c>
      <c r="D11" s="44" t="s">
        <v>320</v>
      </c>
      <c r="E11" s="251"/>
      <c r="F11" s="251"/>
      <c r="G11" s="389">
        <f>50000+16000</f>
        <v>66000</v>
      </c>
    </row>
    <row r="12" spans="1:12" s="247" customFormat="1" ht="38.25" customHeight="1">
      <c r="A12" s="248">
        <v>754</v>
      </c>
      <c r="B12" s="249">
        <v>75410</v>
      </c>
      <c r="C12" s="248">
        <v>6170</v>
      </c>
      <c r="D12" s="44" t="s">
        <v>320</v>
      </c>
      <c r="E12" s="251"/>
      <c r="F12" s="251"/>
      <c r="G12" s="389">
        <v>200000</v>
      </c>
    </row>
    <row r="13" spans="1:12" s="247" customFormat="1" ht="51.75" customHeight="1">
      <c r="A13" s="248">
        <v>853</v>
      </c>
      <c r="B13" s="249">
        <v>85311</v>
      </c>
      <c r="C13" s="248">
        <v>2320</v>
      </c>
      <c r="D13" s="44" t="s">
        <v>321</v>
      </c>
      <c r="E13" s="252"/>
      <c r="F13" s="252"/>
      <c r="G13" s="390">
        <v>2000</v>
      </c>
      <c r="H13" s="253"/>
      <c r="I13" s="253"/>
      <c r="J13" s="253"/>
      <c r="K13" s="253"/>
      <c r="L13" s="253"/>
    </row>
    <row r="14" spans="1:12" s="247" customFormat="1" ht="51.75" customHeight="1">
      <c r="A14" s="267">
        <v>855</v>
      </c>
      <c r="B14" s="268">
        <v>85508</v>
      </c>
      <c r="C14" s="267">
        <v>2320</v>
      </c>
      <c r="D14" s="272" t="s">
        <v>321</v>
      </c>
      <c r="E14" s="370"/>
      <c r="F14" s="370"/>
      <c r="G14" s="391">
        <f>538236-84744</f>
        <v>453492</v>
      </c>
      <c r="H14" s="253"/>
      <c r="I14" s="253"/>
      <c r="J14" s="253"/>
      <c r="K14" s="253"/>
      <c r="L14" s="253"/>
    </row>
    <row r="15" spans="1:12" s="247" customFormat="1" ht="47.25" customHeight="1">
      <c r="A15" s="267">
        <v>855</v>
      </c>
      <c r="B15" s="268">
        <v>85509</v>
      </c>
      <c r="C15" s="267">
        <v>2330</v>
      </c>
      <c r="D15" s="272" t="s">
        <v>322</v>
      </c>
      <c r="E15" s="370"/>
      <c r="F15" s="370"/>
      <c r="G15" s="391">
        <f>202000-130000</f>
        <v>72000</v>
      </c>
      <c r="H15" s="253"/>
      <c r="I15" s="253"/>
      <c r="J15" s="253"/>
      <c r="K15" s="253"/>
      <c r="L15" s="253"/>
    </row>
    <row r="16" spans="1:12" s="247" customFormat="1" ht="51.75" customHeight="1">
      <c r="A16" s="267">
        <v>855</v>
      </c>
      <c r="B16" s="268">
        <v>85510</v>
      </c>
      <c r="C16" s="267">
        <v>2320</v>
      </c>
      <c r="D16" s="272" t="s">
        <v>321</v>
      </c>
      <c r="E16" s="370"/>
      <c r="F16" s="370"/>
      <c r="G16" s="391">
        <f>133932-53251</f>
        <v>80681</v>
      </c>
      <c r="H16" s="253"/>
      <c r="I16" s="253"/>
      <c r="J16" s="253"/>
      <c r="K16" s="253"/>
      <c r="L16" s="253"/>
    </row>
    <row r="17" spans="1:12" s="247" customFormat="1" ht="48" customHeight="1">
      <c r="A17" s="248">
        <v>900</v>
      </c>
      <c r="B17" s="249">
        <v>90095</v>
      </c>
      <c r="C17" s="248">
        <v>2710</v>
      </c>
      <c r="D17" s="44" t="s">
        <v>323</v>
      </c>
      <c r="E17" s="252"/>
      <c r="F17" s="252"/>
      <c r="G17" s="390">
        <v>10000</v>
      </c>
      <c r="H17" s="253"/>
      <c r="I17" s="253"/>
      <c r="J17" s="253"/>
      <c r="K17" s="253"/>
      <c r="L17" s="253"/>
    </row>
    <row r="18" spans="1:12" s="247" customFormat="1" ht="48" customHeight="1">
      <c r="A18" s="248">
        <v>921</v>
      </c>
      <c r="B18" s="249">
        <v>92105</v>
      </c>
      <c r="C18" s="248">
        <v>2710</v>
      </c>
      <c r="D18" s="44" t="s">
        <v>323</v>
      </c>
      <c r="E18" s="252"/>
      <c r="F18" s="252"/>
      <c r="G18" s="390">
        <f>10000-10000</f>
        <v>0</v>
      </c>
      <c r="H18" s="253"/>
      <c r="I18" s="253"/>
      <c r="J18" s="253"/>
      <c r="K18" s="253"/>
      <c r="L18" s="253"/>
    </row>
    <row r="19" spans="1:12" s="247" customFormat="1" ht="48" customHeight="1">
      <c r="A19" s="248">
        <v>926</v>
      </c>
      <c r="B19" s="249">
        <v>92605</v>
      </c>
      <c r="C19" s="248">
        <v>2710</v>
      </c>
      <c r="D19" s="44" t="s">
        <v>323</v>
      </c>
      <c r="E19" s="252"/>
      <c r="F19" s="252"/>
      <c r="G19" s="390">
        <v>0</v>
      </c>
      <c r="H19" s="253"/>
      <c r="I19" s="253"/>
      <c r="J19" s="253"/>
      <c r="K19" s="253"/>
      <c r="L19" s="253"/>
    </row>
    <row r="20" spans="1:12" s="247" customFormat="1" ht="25.5" customHeight="1">
      <c r="A20" s="248">
        <v>921</v>
      </c>
      <c r="B20" s="249">
        <v>92116</v>
      </c>
      <c r="C20" s="248">
        <v>2480</v>
      </c>
      <c r="D20" s="44" t="s">
        <v>324</v>
      </c>
      <c r="E20" s="392">
        <v>640900</v>
      </c>
      <c r="F20" s="252"/>
      <c r="G20" s="255"/>
      <c r="H20" s="253"/>
      <c r="I20" s="253"/>
      <c r="J20" s="253"/>
      <c r="K20" s="253"/>
      <c r="L20" s="253"/>
    </row>
    <row r="21" spans="1:12" s="257" customFormat="1" ht="27" customHeight="1">
      <c r="A21" s="455" t="s">
        <v>325</v>
      </c>
      <c r="B21" s="455"/>
      <c r="C21" s="455"/>
      <c r="D21" s="455"/>
      <c r="E21" s="256">
        <f>SUM(E8:E20)</f>
        <v>640900</v>
      </c>
      <c r="F21" s="256">
        <f>SUM(F8:F20)</f>
        <v>0</v>
      </c>
      <c r="G21" s="256">
        <f>SUM(G8:G20)</f>
        <v>1234745</v>
      </c>
      <c r="I21" s="258"/>
    </row>
    <row r="22" spans="1:12" s="257" customFormat="1" ht="47.25" customHeight="1">
      <c r="A22" s="456" t="s">
        <v>326</v>
      </c>
      <c r="B22" s="456"/>
      <c r="C22" s="456"/>
      <c r="D22" s="241" t="s">
        <v>110</v>
      </c>
      <c r="E22" s="241" t="s">
        <v>316</v>
      </c>
      <c r="F22" s="241" t="s">
        <v>316</v>
      </c>
      <c r="G22" s="241" t="s">
        <v>316</v>
      </c>
      <c r="I22" s="258"/>
      <c r="K22" s="259"/>
    </row>
    <row r="23" spans="1:12" s="247" customFormat="1" ht="54" customHeight="1">
      <c r="A23" s="260" t="s">
        <v>2</v>
      </c>
      <c r="B23" s="261" t="s">
        <v>327</v>
      </c>
      <c r="C23" s="260" t="s">
        <v>328</v>
      </c>
      <c r="D23" s="44" t="s">
        <v>329</v>
      </c>
      <c r="E23" s="251"/>
      <c r="F23" s="251"/>
      <c r="G23" s="389">
        <v>99370</v>
      </c>
      <c r="H23" s="393"/>
      <c r="I23" s="262"/>
      <c r="K23" s="234"/>
    </row>
    <row r="24" spans="1:12" s="247" customFormat="1" ht="59.25" customHeight="1">
      <c r="A24" s="267">
        <v>630</v>
      </c>
      <c r="B24" s="268">
        <v>63003</v>
      </c>
      <c r="C24" s="267">
        <v>2360</v>
      </c>
      <c r="D24" s="272" t="s">
        <v>94</v>
      </c>
      <c r="E24" s="363"/>
      <c r="F24" s="363"/>
      <c r="G24" s="394">
        <f>20000-13000</f>
        <v>7000</v>
      </c>
      <c r="H24" s="393"/>
      <c r="I24" s="262"/>
      <c r="K24" s="234"/>
    </row>
    <row r="25" spans="1:12" s="247" customFormat="1" ht="63.75" customHeight="1">
      <c r="A25" s="248">
        <v>754</v>
      </c>
      <c r="B25" s="249">
        <v>75495</v>
      </c>
      <c r="C25" s="248">
        <v>2360</v>
      </c>
      <c r="D25" s="44" t="s">
        <v>94</v>
      </c>
      <c r="E25" s="251"/>
      <c r="F25" s="251"/>
      <c r="G25" s="389">
        <v>20000</v>
      </c>
      <c r="H25" s="393"/>
      <c r="I25" s="262"/>
      <c r="K25" s="234"/>
    </row>
    <row r="26" spans="1:12" s="247" customFormat="1" ht="63" customHeight="1">
      <c r="A26" s="248">
        <v>755</v>
      </c>
      <c r="B26" s="249">
        <v>75515</v>
      </c>
      <c r="C26" s="248">
        <v>2360</v>
      </c>
      <c r="D26" s="44" t="s">
        <v>94</v>
      </c>
      <c r="E26" s="251"/>
      <c r="F26" s="251"/>
      <c r="G26" s="389">
        <v>190080</v>
      </c>
      <c r="H26" s="393"/>
      <c r="I26" s="262"/>
      <c r="K26" s="234"/>
    </row>
    <row r="27" spans="1:12" s="247" customFormat="1" ht="24.95" customHeight="1">
      <c r="A27" s="267">
        <v>801</v>
      </c>
      <c r="B27" s="268">
        <v>80102</v>
      </c>
      <c r="C27" s="267">
        <v>2540</v>
      </c>
      <c r="D27" s="272" t="s">
        <v>330</v>
      </c>
      <c r="E27" s="395">
        <f>1128486+250000</f>
        <v>1378486</v>
      </c>
      <c r="F27" s="363"/>
      <c r="G27" s="364"/>
      <c r="I27" s="262"/>
      <c r="K27" s="234"/>
    </row>
    <row r="28" spans="1:12" s="247" customFormat="1" ht="24.95" customHeight="1">
      <c r="A28" s="267">
        <v>801</v>
      </c>
      <c r="B28" s="268">
        <v>80105</v>
      </c>
      <c r="C28" s="267">
        <v>2540</v>
      </c>
      <c r="D28" s="272" t="s">
        <v>330</v>
      </c>
      <c r="E28" s="395">
        <f>598175+80000</f>
        <v>678175</v>
      </c>
      <c r="F28" s="251"/>
      <c r="G28" s="263"/>
      <c r="I28" s="262"/>
      <c r="K28" s="234"/>
    </row>
    <row r="29" spans="1:12" s="247" customFormat="1" ht="24.95" customHeight="1">
      <c r="A29" s="248">
        <v>801</v>
      </c>
      <c r="B29" s="249">
        <v>80116</v>
      </c>
      <c r="C29" s="248">
        <v>2540</v>
      </c>
      <c r="D29" s="44" t="s">
        <v>330</v>
      </c>
      <c r="E29" s="392">
        <f>603452-20000</f>
        <v>583452</v>
      </c>
      <c r="F29" s="251"/>
      <c r="G29" s="263"/>
      <c r="I29" s="262"/>
      <c r="K29" s="234"/>
    </row>
    <row r="30" spans="1:12" s="247" customFormat="1" ht="24.95" customHeight="1">
      <c r="A30" s="267">
        <v>801</v>
      </c>
      <c r="B30" s="268">
        <v>80120</v>
      </c>
      <c r="C30" s="267">
        <v>2540</v>
      </c>
      <c r="D30" s="272" t="s">
        <v>330</v>
      </c>
      <c r="E30" s="395">
        <f>1056443+100000</f>
        <v>1156443</v>
      </c>
      <c r="F30" s="252"/>
      <c r="G30" s="264"/>
    </row>
    <row r="31" spans="1:12" s="247" customFormat="1" ht="24.95" customHeight="1">
      <c r="A31" s="248">
        <v>801</v>
      </c>
      <c r="B31" s="249">
        <v>80151</v>
      </c>
      <c r="C31" s="248">
        <v>2540</v>
      </c>
      <c r="D31" s="44" t="s">
        <v>330</v>
      </c>
      <c r="E31" s="392">
        <f>30000-29000</f>
        <v>1000</v>
      </c>
      <c r="F31" s="252"/>
      <c r="G31" s="264"/>
    </row>
    <row r="32" spans="1:12" s="247" customFormat="1" ht="24.95" customHeight="1">
      <c r="A32" s="267">
        <v>801</v>
      </c>
      <c r="B32" s="268">
        <v>80152</v>
      </c>
      <c r="C32" s="267">
        <v>2540</v>
      </c>
      <c r="D32" s="272" t="s">
        <v>330</v>
      </c>
      <c r="E32" s="395">
        <f>128736+29000+20000+35000</f>
        <v>212736</v>
      </c>
      <c r="F32" s="265"/>
      <c r="G32" s="266"/>
    </row>
    <row r="33" spans="1:11" s="247" customFormat="1" ht="48" customHeight="1">
      <c r="A33" s="267">
        <v>801</v>
      </c>
      <c r="B33" s="268">
        <v>80153</v>
      </c>
      <c r="C33" s="267">
        <v>2830</v>
      </c>
      <c r="D33" s="272" t="s">
        <v>329</v>
      </c>
      <c r="E33" s="273"/>
      <c r="F33" s="369"/>
      <c r="G33" s="395">
        <f>4257+3392+996</f>
        <v>8645</v>
      </c>
    </row>
    <row r="34" spans="1:11" s="247" customFormat="1" ht="52.15" customHeight="1">
      <c r="A34" s="248">
        <v>851</v>
      </c>
      <c r="B34" s="249">
        <v>85111</v>
      </c>
      <c r="C34" s="248">
        <v>6230</v>
      </c>
      <c r="D34" s="269" t="s">
        <v>331</v>
      </c>
      <c r="E34" s="254"/>
      <c r="F34" s="265"/>
      <c r="G34" s="392">
        <v>140000</v>
      </c>
    </row>
    <row r="35" spans="1:11" s="247" customFormat="1" ht="36.75" customHeight="1">
      <c r="A35" s="248">
        <v>852</v>
      </c>
      <c r="B35" s="249">
        <v>85202</v>
      </c>
      <c r="C35" s="248">
        <v>2820</v>
      </c>
      <c r="D35" s="44" t="s">
        <v>332</v>
      </c>
      <c r="E35" s="265"/>
      <c r="F35" s="265"/>
      <c r="G35" s="392">
        <v>243000</v>
      </c>
    </row>
    <row r="36" spans="1:11" s="247" customFormat="1" ht="36.75" customHeight="1">
      <c r="A36" s="248">
        <v>852</v>
      </c>
      <c r="B36" s="249">
        <v>85220</v>
      </c>
      <c r="C36" s="248">
        <v>2820</v>
      </c>
      <c r="D36" s="44" t="s">
        <v>332</v>
      </c>
      <c r="E36" s="265"/>
      <c r="F36" s="265"/>
      <c r="G36" s="392">
        <v>80000</v>
      </c>
    </row>
    <row r="37" spans="1:11" s="247" customFormat="1" ht="34.5" customHeight="1">
      <c r="A37" s="267">
        <v>853</v>
      </c>
      <c r="B37" s="268">
        <v>85311</v>
      </c>
      <c r="C37" s="267">
        <v>2580</v>
      </c>
      <c r="D37" s="272" t="s">
        <v>333</v>
      </c>
      <c r="E37" s="395">
        <f>219485-70000+3700</f>
        <v>153185</v>
      </c>
      <c r="F37" s="274"/>
      <c r="G37" s="275"/>
    </row>
    <row r="38" spans="1:11" s="247" customFormat="1" ht="59.45" customHeight="1">
      <c r="A38" s="248">
        <v>853</v>
      </c>
      <c r="B38" s="249">
        <v>85311</v>
      </c>
      <c r="C38" s="248">
        <v>6230</v>
      </c>
      <c r="D38" s="368" t="s">
        <v>341</v>
      </c>
      <c r="E38" s="392"/>
      <c r="F38" s="265"/>
      <c r="G38" s="392">
        <v>70000</v>
      </c>
    </row>
    <row r="39" spans="1:11" s="247" customFormat="1" ht="25.5" customHeight="1">
      <c r="A39" s="267">
        <v>854</v>
      </c>
      <c r="B39" s="268">
        <v>85404</v>
      </c>
      <c r="C39" s="267">
        <v>2540</v>
      </c>
      <c r="D39" s="272" t="s">
        <v>330</v>
      </c>
      <c r="E39" s="395">
        <f>247039+6000+52000</f>
        <v>305039</v>
      </c>
      <c r="F39" s="265"/>
      <c r="G39" s="396"/>
    </row>
    <row r="40" spans="1:11" s="247" customFormat="1" ht="25.5" customHeight="1">
      <c r="A40" s="267">
        <v>854</v>
      </c>
      <c r="B40" s="268">
        <v>85410</v>
      </c>
      <c r="C40" s="267">
        <v>2540</v>
      </c>
      <c r="D40" s="272" t="s">
        <v>330</v>
      </c>
      <c r="E40" s="395">
        <f>99881-6000+1500</f>
        <v>95381</v>
      </c>
      <c r="F40" s="265"/>
      <c r="G40" s="396"/>
    </row>
    <row r="41" spans="1:11" s="247" customFormat="1" ht="60.75" customHeight="1">
      <c r="A41" s="267">
        <v>921</v>
      </c>
      <c r="B41" s="268">
        <v>92105</v>
      </c>
      <c r="C41" s="267">
        <v>2360</v>
      </c>
      <c r="D41" s="272" t="s">
        <v>94</v>
      </c>
      <c r="E41" s="371"/>
      <c r="F41" s="370"/>
      <c r="G41" s="395">
        <f>90000-15000-8000</f>
        <v>67000</v>
      </c>
    </row>
    <row r="42" spans="1:11" s="247" customFormat="1" ht="60.75" customHeight="1">
      <c r="A42" s="267">
        <v>926</v>
      </c>
      <c r="B42" s="268">
        <v>92605</v>
      </c>
      <c r="C42" s="267">
        <v>2360</v>
      </c>
      <c r="D42" s="272" t="s">
        <v>94</v>
      </c>
      <c r="E42" s="372"/>
      <c r="F42" s="370"/>
      <c r="G42" s="395">
        <f>33000-12000</f>
        <v>21000</v>
      </c>
      <c r="I42" s="262"/>
      <c r="K42" s="262"/>
    </row>
    <row r="43" spans="1:11" s="247" customFormat="1" ht="22.5" customHeight="1">
      <c r="A43" s="457" t="s">
        <v>334</v>
      </c>
      <c r="B43" s="457"/>
      <c r="C43" s="457"/>
      <c r="D43" s="457"/>
      <c r="E43" s="256">
        <f>SUM(E23:E42)</f>
        <v>4563897</v>
      </c>
      <c r="F43" s="256">
        <f t="shared" ref="F43" si="0">SUM(F23:F42)</f>
        <v>0</v>
      </c>
      <c r="G43" s="256">
        <f>SUM(G23:G42)</f>
        <v>946095</v>
      </c>
    </row>
    <row r="44" spans="1:11" s="271" customFormat="1" ht="26.25" customHeight="1">
      <c r="A44" s="458" t="s">
        <v>335</v>
      </c>
      <c r="B44" s="458"/>
      <c r="C44" s="458"/>
      <c r="D44" s="458"/>
      <c r="E44" s="458"/>
      <c r="F44" s="458"/>
      <c r="G44" s="270">
        <f>SUM(E21,G21,E43,G43)</f>
        <v>7385637</v>
      </c>
    </row>
    <row r="45" spans="1:11" ht="15.75" customHeight="1"/>
    <row r="46" spans="1:11" ht="15.75" customHeight="1"/>
    <row r="47" spans="1:11" ht="15.75" customHeight="1"/>
    <row r="48" spans="1:11" ht="15.75" customHeight="1">
      <c r="A48" s="36"/>
      <c r="B48" s="36"/>
      <c r="C48" s="36"/>
    </row>
    <row r="49" spans="1:3" ht="15.75" customHeight="1">
      <c r="A49" s="36"/>
      <c r="B49" s="36"/>
      <c r="C49" s="36"/>
    </row>
    <row r="50" spans="1:3" ht="15.75" customHeight="1">
      <c r="A50" s="36"/>
      <c r="B50" s="36"/>
      <c r="C50" s="36"/>
    </row>
    <row r="51" spans="1:3" ht="15.75" customHeight="1"/>
    <row r="52" spans="1:3" ht="15.75" customHeight="1"/>
    <row r="53" spans="1:3" ht="15.75" customHeight="1"/>
    <row r="54" spans="1:3" ht="15.75" customHeight="1"/>
    <row r="55" spans="1:3" ht="15.75" customHeight="1"/>
    <row r="56" spans="1:3" ht="15.75" customHeight="1"/>
    <row r="57" spans="1:3" ht="15.75" customHeight="1"/>
    <row r="58" spans="1:3" ht="15.75" customHeight="1"/>
  </sheetData>
  <sheetProtection algorithmName="SHA-512" hashValue="8IiJ3ViZEgNKBDubDnbmktcgSTAZYnW5jmpDPc3NikQHjOn6pMSRO9DldIcRlIKI9Dmii09pxpvu1155MBjBvQ==" saltValue="vunmWhJ80ffnmerFoSnWcA==" spinCount="100000" sheet="1" objects="1" scenarios="1" formatColumns="0" formatRows="0"/>
  <mergeCells count="11">
    <mergeCell ref="A7:C7"/>
    <mergeCell ref="A21:D21"/>
    <mergeCell ref="A22:C22"/>
    <mergeCell ref="A43:D43"/>
    <mergeCell ref="A44:F44"/>
    <mergeCell ref="A2:G2"/>
    <mergeCell ref="A4:A5"/>
    <mergeCell ref="B4:B5"/>
    <mergeCell ref="C4:C5"/>
    <mergeCell ref="D4:D5"/>
    <mergeCell ref="E4:G4"/>
  </mergeCells>
  <pageMargins left="0.68" right="0.23622047244094491" top="1.21" bottom="1.02" header="0.6" footer="0.49"/>
  <pageSetup paperSize="9" scale="80" orientation="portrait" horizontalDpi="4294967295" verticalDpi="300" r:id="rId1"/>
  <headerFooter differentFirst="1" alignWithMargins="0">
    <oddFooter>&amp;C&amp;P</oddFooter>
    <firstHeader>&amp;R&amp;10Załącznik Nr 1 
do uchwały Nr...............
Rady Powiatu w Otwocku
z dnia..................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5</vt:i4>
      </vt:variant>
    </vt:vector>
  </HeadingPairs>
  <TitlesOfParts>
    <vt:vector size="11" baseType="lpstr">
      <vt:lpstr>Tab.2a</vt:lpstr>
      <vt:lpstr>Tab.3</vt:lpstr>
      <vt:lpstr>Tab.4 </vt:lpstr>
      <vt:lpstr>Tab.5</vt:lpstr>
      <vt:lpstr>Tab.7</vt:lpstr>
      <vt:lpstr>Zał.1</vt:lpstr>
      <vt:lpstr>Tab.2a!Obszar_wydruku</vt:lpstr>
      <vt:lpstr>Tab.3!Obszar_wydruku</vt:lpstr>
      <vt:lpstr>'Tab.4 '!Obszar_wydruku</vt:lpstr>
      <vt:lpstr>Tab.5!Obszar_wydruku</vt:lpstr>
      <vt:lpstr>Zał.1!Obszar_wydruku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Aneta Mroczkowska</cp:lastModifiedBy>
  <cp:lastPrinted>2019-10-21T08:02:14Z</cp:lastPrinted>
  <dcterms:created xsi:type="dcterms:W3CDTF">2015-10-09T11:05:37Z</dcterms:created>
  <dcterms:modified xsi:type="dcterms:W3CDTF">2019-10-21T13:43:24Z</dcterms:modified>
</cp:coreProperties>
</file>