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Budżet_zmiana_wrzesień_2019\"/>
    </mc:Choice>
  </mc:AlternateContent>
  <bookViews>
    <workbookView xWindow="-120" yWindow="-120" windowWidth="29040" windowHeight="15840" tabRatio="821"/>
  </bookViews>
  <sheets>
    <sheet name="Tab.2a" sheetId="38" r:id="rId1"/>
    <sheet name="Tab.3" sheetId="21" r:id="rId2"/>
    <sheet name="Tab.5" sheetId="6" r:id="rId3"/>
    <sheet name="Tab.7" sheetId="41" r:id="rId4"/>
    <sheet name="Zał.1" sheetId="40" r:id="rId5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2" hidden="1">Tab.5!$C$1:$C$200</definedName>
    <definedName name="_xlnm._FilterDatabase" localSheetId="3" hidden="1">Tab.7!$D$2:$D$41</definedName>
    <definedName name="Inwestycje" localSheetId="0">#REF!</definedName>
    <definedName name="Inwestycje" localSheetId="3">#REF!</definedName>
    <definedName name="Inwestycje" localSheetId="4">#REF!</definedName>
    <definedName name="Inwestycje">#REF!</definedName>
    <definedName name="_xlnm.Print_Area" localSheetId="1">Tab.3!$A$2:$D$22</definedName>
    <definedName name="_xlnm.Print_Area" localSheetId="2">Tab.5!$A$2:$F$190</definedName>
    <definedName name="_xlnm.Print_Area" localSheetId="4">Zał.1!$A$1:$G$44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40" l="1"/>
  <c r="E31" i="40"/>
  <c r="H91" i="38" l="1"/>
  <c r="G91" i="38"/>
  <c r="J69" i="38" l="1"/>
  <c r="G21" i="38"/>
  <c r="F21" i="38" s="1"/>
  <c r="D15" i="21" l="1"/>
  <c r="F42" i="38" l="1"/>
  <c r="G57" i="38" l="1"/>
  <c r="F17" i="41" l="1"/>
  <c r="F16" i="41" s="1"/>
  <c r="F15" i="41" s="1"/>
  <c r="J105" i="38"/>
  <c r="F12" i="38"/>
  <c r="G12" i="38"/>
  <c r="G7" i="38"/>
  <c r="F7" i="38" s="1"/>
  <c r="J31" i="38"/>
  <c r="G31" i="38"/>
  <c r="F31" i="38"/>
  <c r="F10" i="41"/>
  <c r="F39" i="41"/>
  <c r="F34" i="41" s="1"/>
  <c r="G38" i="41"/>
  <c r="G37" i="41"/>
  <c r="G36" i="41"/>
  <c r="G35" i="41"/>
  <c r="G34" i="41" s="1"/>
  <c r="G32" i="41"/>
  <c r="G31" i="41"/>
  <c r="G28" i="41"/>
  <c r="F28" i="41"/>
  <c r="G26" i="41"/>
  <c r="G23" i="41"/>
  <c r="G22" i="41" s="1"/>
  <c r="F23" i="41"/>
  <c r="F22" i="41"/>
  <c r="G19" i="41"/>
  <c r="G18" i="41" s="1"/>
  <c r="F19" i="41"/>
  <c r="F18" i="41"/>
  <c r="G13" i="41"/>
  <c r="G12" i="41"/>
  <c r="F11" i="41"/>
  <c r="F8" i="41"/>
  <c r="F5" i="41" s="1"/>
  <c r="G6" i="41"/>
  <c r="G5" i="41" s="1"/>
  <c r="G41" i="41" s="1"/>
  <c r="F41" i="41" l="1"/>
  <c r="G33" i="38" l="1"/>
  <c r="G9" i="38"/>
  <c r="G24" i="38"/>
  <c r="F33" i="38" l="1"/>
  <c r="J21" i="38"/>
  <c r="F29" i="38"/>
  <c r="F9" i="38"/>
  <c r="I105" i="38" l="1"/>
  <c r="K105" i="38"/>
  <c r="F100" i="38"/>
  <c r="G100" i="38"/>
  <c r="F99" i="38"/>
  <c r="E37" i="40"/>
  <c r="G23" i="38"/>
  <c r="F8" i="38"/>
  <c r="G77" i="38"/>
  <c r="F182" i="6" l="1"/>
  <c r="F181" i="6"/>
  <c r="E180" i="6" l="1"/>
  <c r="F188" i="6" l="1"/>
  <c r="F187" i="6"/>
  <c r="F166" i="6"/>
  <c r="F90" i="6"/>
  <c r="F25" i="6"/>
  <c r="E186" i="6"/>
  <c r="E165" i="6"/>
  <c r="E77" i="6"/>
  <c r="E11" i="6"/>
  <c r="G10" i="40" l="1"/>
  <c r="G11" i="40"/>
  <c r="G84" i="38"/>
  <c r="F83" i="38"/>
  <c r="G21" i="40" l="1"/>
  <c r="G43" i="40" l="1"/>
  <c r="F43" i="40"/>
  <c r="E43" i="40"/>
  <c r="G44" i="40" s="1"/>
  <c r="G41" i="40"/>
  <c r="G33" i="40"/>
  <c r="F21" i="40"/>
  <c r="E21" i="40"/>
  <c r="G18" i="40"/>
  <c r="F162" i="6" l="1"/>
  <c r="F160" i="6"/>
  <c r="F159" i="6"/>
  <c r="F157" i="6"/>
  <c r="F101" i="6"/>
  <c r="F95" i="6"/>
  <c r="F91" i="6"/>
  <c r="F79" i="6"/>
  <c r="F68" i="6"/>
  <c r="F67" i="6"/>
  <c r="F26" i="6"/>
  <c r="F23" i="6"/>
  <c r="F21" i="6"/>
  <c r="F20" i="6"/>
  <c r="F16" i="6"/>
  <c r="F15" i="6"/>
  <c r="F141" i="6"/>
  <c r="E63" i="6"/>
  <c r="E153" i="6"/>
  <c r="E131" i="6"/>
  <c r="G19" i="38" l="1"/>
  <c r="G22" i="38" l="1"/>
  <c r="G103" i="38" l="1"/>
  <c r="F103" i="38" s="1"/>
  <c r="F104" i="38" s="1"/>
  <c r="G102" i="38"/>
  <c r="F101" i="38"/>
  <c r="F102" i="38" s="1"/>
  <c r="F97" i="38"/>
  <c r="G96" i="38"/>
  <c r="G98" i="38" s="1"/>
  <c r="H95" i="38"/>
  <c r="F94" i="38"/>
  <c r="G93" i="38"/>
  <c r="F93" i="38" s="1"/>
  <c r="F95" i="38" s="1"/>
  <c r="H92" i="38"/>
  <c r="G92" i="38"/>
  <c r="G90" i="38"/>
  <c r="H89" i="38"/>
  <c r="H90" i="38" s="1"/>
  <c r="G87" i="38"/>
  <c r="F87" i="38" s="1"/>
  <c r="F88" i="38" s="1"/>
  <c r="G86" i="38"/>
  <c r="F85" i="38"/>
  <c r="F86" i="38" s="1"/>
  <c r="F82" i="38"/>
  <c r="F84" i="38" s="1"/>
  <c r="G81" i="38"/>
  <c r="F81" i="38"/>
  <c r="G79" i="38"/>
  <c r="F78" i="38"/>
  <c r="F77" i="38"/>
  <c r="F79" i="38" s="1"/>
  <c r="G75" i="38"/>
  <c r="G76" i="38" s="1"/>
  <c r="F75" i="38"/>
  <c r="F76" i="38" s="1"/>
  <c r="H74" i="38"/>
  <c r="G73" i="38"/>
  <c r="F73" i="38" s="1"/>
  <c r="F74" i="38" s="1"/>
  <c r="H72" i="38"/>
  <c r="G72" i="38"/>
  <c r="F70" i="38"/>
  <c r="F72" i="38" s="1"/>
  <c r="F68" i="38"/>
  <c r="G67" i="38"/>
  <c r="F67" i="38" s="1"/>
  <c r="F66" i="38"/>
  <c r="G65" i="38"/>
  <c r="G58" i="38" s="1"/>
  <c r="F63" i="38"/>
  <c r="F62" i="38"/>
  <c r="F61" i="38"/>
  <c r="F60" i="38"/>
  <c r="F59" i="38"/>
  <c r="J58" i="38"/>
  <c r="F57" i="38"/>
  <c r="G56" i="38"/>
  <c r="F56" i="38"/>
  <c r="G55" i="38"/>
  <c r="F55" i="38"/>
  <c r="F53" i="38"/>
  <c r="F51" i="38"/>
  <c r="J50" i="38"/>
  <c r="G50" i="38"/>
  <c r="F49" i="38"/>
  <c r="F48" i="38"/>
  <c r="F47" i="38"/>
  <c r="F46" i="38"/>
  <c r="G43" i="38"/>
  <c r="F43" i="38"/>
  <c r="F41" i="38"/>
  <c r="F37" i="38"/>
  <c r="G35" i="38"/>
  <c r="F34" i="38"/>
  <c r="F32" i="38"/>
  <c r="F28" i="38"/>
  <c r="F27" i="38"/>
  <c r="F25" i="38"/>
  <c r="F24" i="38"/>
  <c r="F23" i="38"/>
  <c r="G20" i="38"/>
  <c r="F20" i="38"/>
  <c r="F19" i="38"/>
  <c r="F18" i="38"/>
  <c r="F16" i="38"/>
  <c r="F15" i="38"/>
  <c r="F14" i="38"/>
  <c r="F13" i="38"/>
  <c r="F11" i="38"/>
  <c r="F10" i="38"/>
  <c r="G8" i="38"/>
  <c r="I7" i="38"/>
  <c r="H7" i="38"/>
  <c r="H69" i="38" s="1"/>
  <c r="H105" i="38" l="1"/>
  <c r="F89" i="38"/>
  <c r="F90" i="38" s="1"/>
  <c r="F58" i="38"/>
  <c r="F50" i="38"/>
  <c r="G74" i="38"/>
  <c r="G88" i="38"/>
  <c r="G54" i="38"/>
  <c r="G95" i="38"/>
  <c r="G104" i="38"/>
  <c r="F91" i="38"/>
  <c r="F92" i="38" s="1"/>
  <c r="F96" i="38"/>
  <c r="F98" i="38" s="1"/>
  <c r="F124" i="6"/>
  <c r="F123" i="6"/>
  <c r="E122" i="6"/>
  <c r="F54" i="38" l="1"/>
  <c r="F69" i="38" s="1"/>
  <c r="F105" i="38" s="1"/>
  <c r="G69" i="38"/>
  <c r="G105" i="38" s="1"/>
  <c r="F185" i="6"/>
  <c r="E185" i="6"/>
  <c r="F100" i="6"/>
  <c r="F82" i="6"/>
  <c r="F80" i="6"/>
  <c r="F78" i="6"/>
  <c r="F84" i="6" l="1"/>
  <c r="F83" i="6"/>
  <c r="F92" i="6"/>
  <c r="F8" i="6"/>
  <c r="E7" i="6"/>
  <c r="F98" i="6"/>
  <c r="F38" i="6"/>
  <c r="E35" i="6"/>
  <c r="F121" i="6" l="1"/>
  <c r="F120" i="6" s="1"/>
  <c r="E121" i="6"/>
  <c r="E120" i="6" s="1"/>
  <c r="F184" i="6" l="1"/>
  <c r="F183" i="6"/>
  <c r="F156" i="6"/>
  <c r="F155" i="6"/>
  <c r="F88" i="6"/>
  <c r="F87" i="6"/>
  <c r="F81" i="6"/>
  <c r="E179" i="6"/>
  <c r="F107" i="6" l="1"/>
  <c r="E107" i="6"/>
  <c r="F70" i="6"/>
  <c r="F69" i="6" s="1"/>
  <c r="E70" i="6"/>
  <c r="E69" i="6" s="1"/>
  <c r="F164" i="6" l="1"/>
  <c r="E164" i="6"/>
  <c r="F149" i="6"/>
  <c r="F137" i="6"/>
  <c r="F134" i="6"/>
  <c r="F66" i="6"/>
  <c r="F76" i="6" l="1"/>
  <c r="F178" i="6" l="1"/>
  <c r="F111" i="6"/>
  <c r="F126" i="6" l="1"/>
  <c r="F125" i="6" s="1"/>
  <c r="E126" i="6"/>
  <c r="F168" i="6"/>
  <c r="E168" i="6"/>
  <c r="E178" i="6"/>
  <c r="F130" i="6" l="1"/>
  <c r="F129" i="6" s="1"/>
  <c r="E76" i="6" l="1"/>
  <c r="E75" i="6" s="1"/>
  <c r="E130" i="6" l="1"/>
  <c r="E129" i="6" s="1"/>
  <c r="D19" i="21" l="1"/>
  <c r="D14" i="21"/>
  <c r="D10" i="21"/>
  <c r="D7" i="21"/>
  <c r="D13" i="21" l="1"/>
  <c r="F174" i="6" l="1"/>
  <c r="F167" i="6" s="1"/>
  <c r="E174" i="6"/>
  <c r="E167" i="6" s="1"/>
  <c r="F110" i="6" l="1"/>
  <c r="E111" i="6"/>
  <c r="E110" i="6" s="1"/>
  <c r="F28" i="6" l="1"/>
  <c r="F152" i="6" l="1"/>
  <c r="F151" i="6" s="1"/>
  <c r="E152" i="6"/>
  <c r="E151" i="6" s="1"/>
  <c r="E125" i="6"/>
  <c r="F75" i="6"/>
  <c r="F62" i="6"/>
  <c r="E62" i="6"/>
  <c r="F57" i="6"/>
  <c r="E57" i="6"/>
  <c r="F34" i="6"/>
  <c r="E34" i="6"/>
  <c r="E28" i="6"/>
  <c r="F10" i="6"/>
  <c r="F9" i="6" s="1"/>
  <c r="E10" i="6"/>
  <c r="E9" i="6" s="1"/>
  <c r="F6" i="6"/>
  <c r="F5" i="6" s="1"/>
  <c r="E6" i="6"/>
  <c r="E5" i="6" s="1"/>
  <c r="E56" i="6" l="1"/>
  <c r="F56" i="6"/>
  <c r="F27" i="6"/>
  <c r="E27" i="6"/>
  <c r="E189" i="6" l="1"/>
  <c r="F189" i="6"/>
</calcChain>
</file>

<file path=xl/sharedStrings.xml><?xml version="1.0" encoding="utf-8"?>
<sst xmlns="http://schemas.openxmlformats.org/spreadsheetml/2006/main" count="619" uniqueCount="382">
  <si>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</si>
  <si>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</si>
  <si>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</si>
  <si>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</si>
  <si>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</si>
  <si>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</si>
  <si>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</si>
  <si>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</si>
  <si>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</si>
  <si>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</si>
  <si>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</si>
  <si>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</si>
  <si>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Ośrodki wsparcia</t>
  </si>
  <si>
    <t>Rodziny zastępcze</t>
  </si>
  <si>
    <t>Pozostałe zadania w zakresie polityki społecznej</t>
  </si>
  <si>
    <t>Zespoły do spraw orzekania o niepełnosprawności</t>
  </si>
  <si>
    <t>Rolnictwo i łowiectwo</t>
  </si>
  <si>
    <t>Zakup usług pozostałych</t>
  </si>
  <si>
    <t>Zakup materiałów i wyposażenia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</si>
  <si>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</si>
  <si>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</si>
  <si>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</si>
  <si>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</si>
  <si>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</si>
  <si>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</si>
  <si>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</si>
  <si>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</si>
  <si>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</si>
  <si>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</si>
  <si>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</si>
  <si>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</si>
  <si>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</si>
  <si>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</si>
  <si>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</si>
  <si>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</si>
  <si>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</si>
  <si>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</si>
  <si>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</si>
  <si>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</si>
  <si>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</si>
  <si>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</si>
  <si>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</si>
  <si>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</si>
  <si>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</si>
  <si>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</si>
  <si>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</si>
  <si>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</si>
  <si>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</si>
  <si>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</si>
  <si>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</si>
  <si>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</si>
  <si>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</si>
  <si>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Świadczenia społeczne</t>
  </si>
  <si>
    <t>Lp.</t>
  </si>
  <si>
    <t>1.</t>
  </si>
  <si>
    <t>2.</t>
  </si>
  <si>
    <t>3.</t>
  </si>
  <si>
    <t>4.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</si>
  <si>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</si>
  <si>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</si>
  <si>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</si>
  <si>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</si>
  <si>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</si>
  <si>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</si>
  <si>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</si>
  <si>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</si>
  <si>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</si>
  <si>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</si>
  <si>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</si>
  <si>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</si>
  <si>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</si>
  <si>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</si>
  <si>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</si>
  <si>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</si>
  <si>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</si>
  <si>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</si>
  <si>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</si>
  <si>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</si>
  <si>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</si>
  <si>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852</t>
  </si>
  <si>
    <t>Zadania z zakresu geodezji i kartografii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</si>
  <si>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</si>
  <si>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</si>
  <si>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</si>
  <si>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</si>
  <si>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</si>
  <si>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</si>
  <si>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</si>
  <si>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</si>
  <si>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</si>
  <si>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</si>
  <si>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</si>
  <si>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</si>
  <si>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</si>
  <si>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</si>
  <si>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</si>
  <si>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</si>
  <si>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</si>
  <si>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</si>
  <si>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</si>
  <si>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</si>
  <si>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</si>
  <si>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</si>
  <si>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</si>
  <si>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Uposażenia i świadczenia pieniężne wypłacane przez okres roku żołnierzom i funkcjonariuszom zwolnionym ze służby</t>
  </si>
  <si>
    <t>Wspieranie rodziny</t>
  </si>
  <si>
    <t>85504</t>
  </si>
  <si>
    <t>Przychody i rozchody budżetu w 2019 roku - po zmianach</t>
  </si>
  <si>
    <t>Dochody i wydatki związane z realizacją zadań z zakresu administracji rządowej i innych zadań zleconych                                                                jednostce samorządu terytorialnego odrębnymi ustawami na 2019 rok - po zmianach</t>
  </si>
  <si>
    <t>§</t>
  </si>
  <si>
    <t>Nazwa zadania</t>
  </si>
  <si>
    <t>85395</t>
  </si>
  <si>
    <t>752</t>
  </si>
  <si>
    <t xml:space="preserve">Obrona narodowa </t>
  </si>
  <si>
    <t>Dotacje celowe otrzymane z budżetu państwa na inwestycje i zakupy inwestycyjne z zakresu administracji rządowej oraz inne zadania zlecone ustawami realizowane przez powiat</t>
  </si>
  <si>
    <t>Wydatki na zakupy inwestycyjne jednostek budżetowych</t>
  </si>
  <si>
    <t>75295</t>
  </si>
  <si>
    <t>75414</t>
  </si>
  <si>
    <t>Obrona cywilna</t>
  </si>
  <si>
    <t>Różne wydatki na rzecz osób fizycznych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</si>
  <si>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</si>
  <si>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</si>
  <si>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</si>
  <si>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</si>
  <si>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</si>
  <si>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Zakup środków dydaktycznych i książek</t>
  </si>
  <si>
    <t>Składki na Fundusz Pracy oraz Solidarnościowy Fundusz Wsparcia Osób Niepełnosprawnych</t>
  </si>
  <si>
    <t>85595</t>
  </si>
  <si>
    <t>Plan wydatków majątkowych na 2019 rok - po zmianach</t>
  </si>
  <si>
    <t>Rozdz.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</si>
  <si>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</si>
  <si>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</si>
  <si>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</si>
  <si>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</si>
  <si>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</si>
  <si>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</si>
  <si>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</si>
  <si>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5.</t>
  </si>
  <si>
    <t>6.</t>
  </si>
  <si>
    <t>7.</t>
  </si>
  <si>
    <t>8.</t>
  </si>
  <si>
    <t>9.</t>
  </si>
  <si>
    <t>10.</t>
  </si>
  <si>
    <t>11.</t>
  </si>
  <si>
    <t>Gmina Celestynów</t>
  </si>
  <si>
    <t xml:space="preserve">Opracowanie dokumentacji projektowej na budowę chodnika wraz z miejscami postojowymi przy drodze powiatowej Nr 2713W w Celestynowie na odcinku od działki 129/12 w obr. 1 do ronda w Dąbrówce </t>
  </si>
  <si>
    <t>B. 50 000</t>
  </si>
  <si>
    <t>Przebudowa drogi powiatowej Nr 2714W w Celestynowie</t>
  </si>
  <si>
    <t xml:space="preserve">realizacja do skrzyżowania z                 ul. Radzyńską </t>
  </si>
  <si>
    <t>WPF</t>
  </si>
  <si>
    <t>Modernizacja drogi powiatowej Nr 2744W w Ponurzycy</t>
  </si>
  <si>
    <t>wyrównanie i doziarnienie drogi</t>
  </si>
  <si>
    <t>Budowa chodnika przy drodze  powiatowej Nr 2719W - ul. Laskowskiej w Celestynowie</t>
  </si>
  <si>
    <t>Gmina Józefów</t>
  </si>
  <si>
    <t>Przebudowa drogi powiatowej Nr 2769W ul. Sikorskiego i Nr 2765W ul. Piłsudskiego w Józefowie</t>
  </si>
  <si>
    <t>Przebudowa drogi powiatowej Nr 2769W  - ul. Sikorskiego w Józefowie</t>
  </si>
  <si>
    <t>Przebudowa drogi powiatowej Nr 2765W - ul. Piłsudskiego w Józefowie</t>
  </si>
  <si>
    <t>Modernizacja drogi powiatowej Nr 2768W - ul. Granicznej w Józefowie</t>
  </si>
  <si>
    <t>Modernizacja chodnika w ul. Piłsudskiego na odcinku od ul. Wąskiej do granicy z Warszawą (ok. 150 metrów) w Józefowie</t>
  </si>
  <si>
    <t>B. 0</t>
  </si>
  <si>
    <t>Modernizacja chodnika w ul. 3 Maja na odcinku od ul. Wąskiej do ul. Werbeny w Józefowie</t>
  </si>
  <si>
    <t>Projekt i budowa chodnika w ul. 3 Maja na odcinku od ul. Zaułek do ul. Granicznej (po stronie zachodniej) w Józefowie</t>
  </si>
  <si>
    <t>12.</t>
  </si>
  <si>
    <t>Budowa miejsc parkingowych wraz z chodnikiem w pasie drogowym ul. 3 Maja na odcinku od ul. Szerokiej do numeru 82 oraz wykonanie przejścia dla pieszych na wysokości ul. Rozkosznej w Józefowie</t>
  </si>
  <si>
    <t>B. 175 000</t>
  </si>
  <si>
    <t>Gmina Otwock</t>
  </si>
  <si>
    <t>13.</t>
  </si>
  <si>
    <t>Rozbudowa skrzyżowania dróg powiatowych Nr 2754W – ul. Reymonta i Nr 2758W – ul. Samorządowej w Otwocku na skrzyżowanie typu rondo</t>
  </si>
  <si>
    <t>14.</t>
  </si>
  <si>
    <t>Modernizacja drogi powiatowej Nr 2763W - ul. Majowej w Otwocku</t>
  </si>
  <si>
    <t>15.</t>
  </si>
  <si>
    <t>B.  0</t>
  </si>
  <si>
    <t>16.</t>
  </si>
  <si>
    <t>Modernizacja drogi powiatowej Nr 2756W - ul. Świderskiej w Otwocku</t>
  </si>
  <si>
    <t>17.</t>
  </si>
  <si>
    <t>18.</t>
  </si>
  <si>
    <t>Budowa doświetlenia przejścia dla pieszych w Otwocku w ul. Jana Pawła II na wysokości ul. Kukułczej</t>
  </si>
  <si>
    <t>19.</t>
  </si>
  <si>
    <t>Wykonanie projektu oraz budowy odwodnienia drogi powiatowej ul. Matejki w Otwocku</t>
  </si>
  <si>
    <t>20.</t>
  </si>
  <si>
    <t>Gmina Karczew</t>
  </si>
  <si>
    <t>Modernizacja drogi powiatowej nr 2729W Kępa Gliniecka - Otwock Wielki - Otwock Mały - Karczew w miejscowości Otwock Wielki</t>
  </si>
  <si>
    <t>22.</t>
  </si>
  <si>
    <t>Przebudowa  drogi powiatowej Nr 2724W w Całowaniu</t>
  </si>
  <si>
    <t>23.</t>
  </si>
  <si>
    <t>Modernizacja dróg powiatowych Nr 2772W - ul. Wyszyńskiego w Karczewie i Nr 2762W ul. Kraszewskiego w Otwocku na odcinku od ul. Boh. Westerplatte w Karczewie do ul. Batorego w Otwocku</t>
  </si>
  <si>
    <t>24.</t>
  </si>
  <si>
    <t>Budowa chodnika w drodze powiatowej Nr 2729W - ul. Częstochowskiej w Karczewie</t>
  </si>
  <si>
    <t>25.</t>
  </si>
  <si>
    <t>Projekt i budowa sygnalizacji świetlnej w skrzyżowaniu dróg powiatowych Nr 2775W - ul. Stare Miasto i Nr 2724W - ul. Żaboklickiego z drogą gminną ul. Bielińskiego w Karczewie</t>
  </si>
  <si>
    <t>26.</t>
  </si>
  <si>
    <t>Doświetlenie przejść dla pieszych w ul. Świderskiej, na łuku ul. Piłsudskiego-Mickiewicza, ul. Żaboklickiego w Karczewie</t>
  </si>
  <si>
    <t>27.</t>
  </si>
  <si>
    <t>Modernizacja dróg powiatowych w miejscowościach Glinki oraz Sobiekursk</t>
  </si>
  <si>
    <t>B.0</t>
  </si>
  <si>
    <t>28.</t>
  </si>
  <si>
    <t>Wykonanie nakładki asfaltobetonowej na drodze powiatowej Nr 2726W przez Sobiekursk</t>
  </si>
  <si>
    <t>B. 40 000</t>
  </si>
  <si>
    <t>29.</t>
  </si>
  <si>
    <t>Modernizacja drogi powiatowej Nr 2729W Kępa Gliniecka - Otwock Wielki - Otwock Mały - Karczew od drogi krajowej Nr 50 w kierunku wsi Glinki</t>
  </si>
  <si>
    <t>30.</t>
  </si>
  <si>
    <t>Budowa chodnika w ul. Świderskiej w Karczewie od ul. Ordona</t>
  </si>
  <si>
    <t>Gmina Kołbiel</t>
  </si>
  <si>
    <t>31.</t>
  </si>
  <si>
    <t>Modernizacja drogi powiatowej Nr 2737W Anielinek-Sępochów-Rudno</t>
  </si>
  <si>
    <t>32.</t>
  </si>
  <si>
    <t>Przebudowa drogi powiatowej Nr 2245W w m. Dobrzyniec, gmina Kołbiel</t>
  </si>
  <si>
    <t>33.</t>
  </si>
  <si>
    <t>Modernizacja drogi powiatowej Nr 2736W w miejsc. Teresin</t>
  </si>
  <si>
    <t>34.</t>
  </si>
  <si>
    <t>Wykonanie nakładki asfaltobetonowej na drodze powiatowej Nr 2741W Kołbiel - Wola Sufczyńska</t>
  </si>
  <si>
    <t>35.</t>
  </si>
  <si>
    <t>Odwodnienie drogi powiatowej Nr 2741W - plac na ul. Rynek w Kołbieli</t>
  </si>
  <si>
    <t>36.</t>
  </si>
  <si>
    <t>Wykonanie nakładki asfaltobetonowej na drodze powiatowej Nr 2739W w Gadce na odcinku od drogi krajowej  Nr 17 do miejscowości Gadka</t>
  </si>
  <si>
    <t>Gmina Osieck</t>
  </si>
  <si>
    <t>37.</t>
  </si>
  <si>
    <t xml:space="preserve">Modernizacja drogi powiatowej Nr 1315W w miejsc. Augustówka
</t>
  </si>
  <si>
    <t>38.</t>
  </si>
  <si>
    <t xml:space="preserve">Budowa drogi powiatowej Nr 1311W w Natolinie </t>
  </si>
  <si>
    <t>39.</t>
  </si>
  <si>
    <t>Modernizacja drogi powiatowej Nr 2746W Grabianka - Górki -Osieck</t>
  </si>
  <si>
    <t>Gmina Sobienie Jeziory</t>
  </si>
  <si>
    <t>40.</t>
  </si>
  <si>
    <t>Modernizacja drogi powiatowej Nr 2751W Sobienie Kiełczewskie-Zuzanów-Czarnowiec</t>
  </si>
  <si>
    <t>B. 200 000</t>
  </si>
  <si>
    <t>41.</t>
  </si>
  <si>
    <t>Modernizacja drogi powiatowej Nr 2752W Władysławów-Zambrzyków Stary-Sobienie Kiełczewskie</t>
  </si>
  <si>
    <t>42.</t>
  </si>
  <si>
    <t>Modernizacja  mostu w ciągu drogi powiatowej Nr 2735W Warszówka-Warszawice w Warszawicach</t>
  </si>
  <si>
    <t>Gmina Wiązowna</t>
  </si>
  <si>
    <t>43.</t>
  </si>
  <si>
    <t>Modernizacja drogi powiatowej Nr 2708W Dziechciniec-Pęclin-Kąck</t>
  </si>
  <si>
    <t>44.</t>
  </si>
  <si>
    <t>Przebudowa przepustu w ciągu drogi powiatowej Nr 2709W w Bolesławowie</t>
  </si>
  <si>
    <t>45.</t>
  </si>
  <si>
    <t>Modernizacja drogi powiatowej Nr 2712W w miejsc. Wola Karczewska</t>
  </si>
  <si>
    <t>46.</t>
  </si>
  <si>
    <t>Modernizacja drogi powiatowej nr 2712W w miejscowości Kruszówiec</t>
  </si>
  <si>
    <t>47.</t>
  </si>
  <si>
    <t xml:space="preserve">Modernizacja drogi powiatowej Nr 2701 W Majdan, Izabela, Michałówek, Duchnów </t>
  </si>
  <si>
    <t>48.</t>
  </si>
  <si>
    <t>Wykonanie ZRIDu ciągu pieszo-rowerowego między Izabelą a Zakrętem w ramach poprawy bezpieczeństwa na drodze powiatowej nr 2702W</t>
  </si>
  <si>
    <t>B.20 000</t>
  </si>
  <si>
    <t>49.</t>
  </si>
  <si>
    <t>Budowa chodnika na drodze powiatowej Nr 2703W w miejscowości Boryszew i Góraszka</t>
  </si>
  <si>
    <t>50.</t>
  </si>
  <si>
    <t>Przebudowa drogi powiatowej Nr 2705W - ul.  Kąckiej w Wiązownie</t>
  </si>
  <si>
    <t>Zarząd Dróg Powiatowych</t>
  </si>
  <si>
    <t>51.</t>
  </si>
  <si>
    <t>Zakupy inwestycyjne w Zarządzie Dróg Powiatowych</t>
  </si>
  <si>
    <t>Razem Rozdział 60014</t>
  </si>
  <si>
    <t>52.</t>
  </si>
  <si>
    <t>Wymiana okien w budynku mieszkalnym stanowiącym własność Powiatu Otwockiego w Otwocku przy ul. Komunardów 10</t>
  </si>
  <si>
    <t>53.</t>
  </si>
  <si>
    <t>Przebudowa podjazdu do Interwencyjnego Ośrodka Preadopcyjnego i uszczelnienie tarasu IOP (nad apteką szpitalną) w budynku PCZ Sp. z o.o.</t>
  </si>
  <si>
    <t>C. 60 000</t>
  </si>
  <si>
    <t>Razem rozdział 70005</t>
  </si>
  <si>
    <t>54.</t>
  </si>
  <si>
    <t>Regionalne partnerstwo samorządów Mazowsza dla aktywizacji społeczeństwa informacyjnego w zakresie e-administracji i geoinformacji</t>
  </si>
  <si>
    <t>Razem Rozdział 71095</t>
  </si>
  <si>
    <t>55.</t>
  </si>
  <si>
    <t>Sprzęt nagłaśniający do obsługi Sesji Rady Powiatu</t>
  </si>
  <si>
    <t>Razem Rozdział 75019</t>
  </si>
  <si>
    <t>56.</t>
  </si>
  <si>
    <t>Przebudowa i rozbudowa budynku w Otwocku przy ul. Komunardów wraz z towarzyszącą infrastrukturą na potrzeby siedziby Starostwa i jednostek organizacyjnych powiatu</t>
  </si>
  <si>
    <t>57.</t>
  </si>
  <si>
    <t>Serwer główny dla Starostwa, serwer plików</t>
  </si>
  <si>
    <t xml:space="preserve">  Razem Rozdział 75020</t>
  </si>
  <si>
    <t>58.</t>
  </si>
  <si>
    <t>Zakupy inwestycyjne sprzętu informatyki i łaczności w Komendzie Powiatowej Państwowej Straży Pożarnej</t>
  </si>
  <si>
    <t>A. 17 685</t>
  </si>
  <si>
    <t xml:space="preserve">  Razem Rozdział 75295</t>
  </si>
  <si>
    <t>59.</t>
  </si>
  <si>
    <t>Dotacja  na dofinansowanie zakupu furgonu patrolowego w wersji oznakowanej dla Komendy Powiatowej Policji w Otwocku</t>
  </si>
  <si>
    <t>Razem Rozdział 75404</t>
  </si>
  <si>
    <t>60.</t>
  </si>
  <si>
    <t>Dotacja na zakup samochodu ratowniczo-gaśniczego z wyposażeniem na  potrzeby  Komendy Powiatowej Państwowej Straży Pożarnej w Otwocku</t>
  </si>
  <si>
    <t>Razem Rozdział 75410</t>
  </si>
  <si>
    <t>61.</t>
  </si>
  <si>
    <t>Rezerwa inwestycyjna</t>
  </si>
  <si>
    <t>Razem rozdział 75818</t>
  </si>
  <si>
    <t>62.</t>
  </si>
  <si>
    <t>Budowa hali sportowej przy Zespole Szkół Nr 2 im. Marii Skłodowskiej-Curie w Otwocku</t>
  </si>
  <si>
    <t>Razem Rozdział 80115</t>
  </si>
  <si>
    <t>63.</t>
  </si>
  <si>
    <t xml:space="preserve">Rozbudowa szatni w Zespole Szkół Nr 1 w Otwocku wraz z przebudową części istniejącej </t>
  </si>
  <si>
    <t>Razem Rozdział 80120</t>
  </si>
  <si>
    <t>64.</t>
  </si>
  <si>
    <t>Wniesienie wkładu pieniężnego - zwiększenie udziału w Powiatowym Centrum Zdrowia Sp. z o.o.</t>
  </si>
  <si>
    <t>65.</t>
  </si>
  <si>
    <t>Dotacja dla  Powiatowego Centrum Zdrowia Sp. z o.o. na modernizację kuchni i przyziemia w budynku  szpitala</t>
  </si>
  <si>
    <t>Razem Rozdział 85111</t>
  </si>
  <si>
    <t>66.</t>
  </si>
  <si>
    <t>Modernizacja  centralnego ogrzewania w budynku Domu Pomocy Społecznej w Otwocku</t>
  </si>
  <si>
    <t>67.</t>
  </si>
  <si>
    <t>Modernizacja Domu Pomocy Społecznej "Wrzos"</t>
  </si>
  <si>
    <t>budowa przyłącza wodno-kanalizacyjnego w DPS "Wrzos"</t>
  </si>
  <si>
    <t>Razem Rozdział 85202</t>
  </si>
  <si>
    <t>68.</t>
  </si>
  <si>
    <t>Zakup kotła CO - Specjalny Osrodek Szkolno Wychowawczy Nr 1 im. Marii Konopnickiej</t>
  </si>
  <si>
    <t>Razem rozdział 85403</t>
  </si>
  <si>
    <t>69.</t>
  </si>
  <si>
    <t>Zakup samochodu na potrzeby Młodzieżowego Ośrodka Socjoterapii "Jędruś" w Józefowie</t>
  </si>
  <si>
    <t>Razem rozdział 85421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</si>
  <si>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</si>
  <si>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</si>
  <si>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</si>
  <si>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</si>
  <si>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</si>
  <si>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A. 49 000            B. 451 000</t>
  </si>
  <si>
    <t>Dotacje udzielone w 2019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</si>
  <si>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</si>
  <si>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</si>
  <si>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</si>
  <si>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</si>
  <si>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</si>
  <si>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</si>
  <si>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</si>
  <si>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</si>
  <si>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Wpłaty jednostek na państwowy fundusz celowy</t>
  </si>
  <si>
    <t>Wpłaty jednostek na państwowy fundusz celowy na finansowanie lub dofinansowanie zadań inwestycyjnych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</si>
  <si>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</si>
  <si>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</si>
  <si>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</si>
  <si>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</si>
  <si>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</si>
  <si>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</si>
  <si>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</si>
  <si>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</si>
  <si>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</si>
  <si>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</si>
  <si>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</si>
  <si>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</si>
  <si>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</si>
  <si>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</si>
  <si>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2019 rok</t>
  </si>
  <si>
    <t>70.</t>
  </si>
  <si>
    <t>Dotacja na zakupu specjalistycznych urządzeń (narkotesty) do poprawy bezpieczeństawa na drogach powiatu otwockiego na potrzeby  Komendy Powiatowej Policji w Otwocku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</si>
  <si>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</si>
  <si>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Rozbudowa na rondo skrzyżowania dróg powiatowych Nr 2775W ul. Stare Miasto  i  Nr 2724W ul. Żaboklickiego  z drogą gminną ul. Bielińskiego w Karczewie</t>
  </si>
  <si>
    <t>A. 949. 000</t>
  </si>
  <si>
    <t>Dotacje celowe z budżetu na finansowanie lub dofinansowanie kosztów realizacji inwestycji i zakupów inwestycyjnych jednostek nie zaliczanych do sektora finansów publicznych</t>
  </si>
  <si>
    <t>Razem Rozdział 85311</t>
  </si>
  <si>
    <t>A. 1 132 000</t>
  </si>
  <si>
    <t>B. 31 000</t>
  </si>
  <si>
    <t>A. 1 028 000</t>
  </si>
  <si>
    <t>Wykonanie projektu i budowa odwodnienia drogi powiatowej Nr 2765W - ul. Kołłątaja w Otwocku przy skrzyżowaniu z ul. Majową i ul. Rzemieślniczą</t>
  </si>
  <si>
    <t>Dochody i wydatki związane z realizacją zadań realizowanych w drodze umów lub porozumień między                                              jednostkami samorządu terytorialnego na 2019 rok - po zmianach</t>
  </si>
  <si>
    <t>Transport i łączność</t>
  </si>
  <si>
    <t>Lokalny transport zbiorowy</t>
  </si>
  <si>
    <t>Drogi publiczne powiatowe</t>
  </si>
  <si>
    <t>Dotacja celowa otrzymana z tytułu pomocy finansowej udzielanej między jednostkami samorządu terytorialnego na dofinansowanie własnych zadań bieżących</t>
  </si>
  <si>
    <t xml:space="preserve">Dotacja celowa otrzymana z tytułu pomocy finansowej udzielanej między jednostkami samorządu terytorialnego na dofinansowanie własnych zadań inwestycyjnych i zakupów inwestycyjnych </t>
  </si>
  <si>
    <t>Dotacje celowe otrzymane z samorządu województwa na inwestycje i zakupy inwestycyjne realizowane na podstawie porozumień (umów) między jednostkami samorządu terytorialnego</t>
  </si>
  <si>
    <t>Starostwa powiatowe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</si>
  <si>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</si>
  <si>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</si>
  <si>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</si>
  <si>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</si>
  <si>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</si>
  <si>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Pozostałe zadania w zakresie kultury</t>
  </si>
  <si>
    <t>Zadania w zakresie kultury fizycznej</t>
  </si>
  <si>
    <t>Biblioteki</t>
  </si>
  <si>
    <t>(-50 000) dot. g. Celestynów</t>
  </si>
  <si>
    <t>D. 1.132.000 ww. 158.000, razem 1.290.000</t>
  </si>
  <si>
    <t>(-400.000) przeniesienie poz. 17</t>
  </si>
  <si>
    <t>D.2.544.000, przen. Z poz. 14 400.000, razem 2.944.000</t>
  </si>
  <si>
    <t>Dotacja z g.Karczew 23.500</t>
  </si>
  <si>
    <t>D. 1.028.000, ww.242.000 razem 1.270.000</t>
  </si>
  <si>
    <t>D.949.000</t>
  </si>
  <si>
    <t>71.</t>
  </si>
  <si>
    <t>72.</t>
  </si>
  <si>
    <t>(-198956)</t>
  </si>
  <si>
    <t>Przebudowa dróg powiatowych nr 2762W i 2763W - ul. Kraszewskiego i Majowej w Otwocku</t>
  </si>
  <si>
    <t>5 000 dotacja z miasta Otwocka                                                       26 000 dotacja z gminy Karczew</t>
  </si>
  <si>
    <t xml:space="preserve">Dotacja na dofinansowanie zakupu mikrobusów dla placówek prowadzących Warsztaty Terapii Zajęciowej, w tym:                                                                           - Polskie Stowarzyszenie na Rzecz Osób z Niepełnosprawnością Intelektualną, Otwock ul. Moniuszki 41 - 32 000 zł;                                                                                   - Stowarzyszenie na Rzecz Osób Niepełnosprawnych"PO-GODNE ŻYCIE" -                        38 000 zł </t>
  </si>
  <si>
    <t xml:space="preserve">A. 2 544 000 </t>
  </si>
  <si>
    <t>Modernizacja w ul. Kraszewskiego/ul. Majowej w Otwocku na odcinku od ronda Żołnierzy AK IV Rejonu Otwock - Fromczyn do ul. Wierzbowej</t>
  </si>
  <si>
    <t>73.</t>
  </si>
  <si>
    <t>21.</t>
  </si>
  <si>
    <t xml:space="preserve">Opracowanie koncepcji przedłużenia ul. Narutowicza w Otwocku na odcinku od ul. Andriollego w Otwocku do ul. Ciepłowniczej w Karczewie i dalej  do drogi wojewódzkiej  nr 801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</si>
</sst>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0\ _z_ł_-;\-* #,##0.000\ _z_ł_-;_-* &quot;-&quot;??\ _z_ł_-;_-@_-"/>
    <numFmt numFmtId="166" formatCode="\ #,##0.00&quot; zł &quot;;\-#,##0.00&quot; zł &quot;;&quot; -&quot;#&quot; zł &quot;;@\ "/>
  </numFmts>
  <fonts count="46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11"/>
      <color indexed="8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  <xf numFmtId="164" fontId="14" fillId="0" borderId="0"/>
    <xf numFmtId="0" fontId="5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3" fillId="0" borderId="0"/>
    <xf numFmtId="0" fontId="1" fillId="0" borderId="0"/>
    <xf numFmtId="43" fontId="4" fillId="0" borderId="0" applyFont="0" applyFill="0" applyBorder="0" applyAlignment="0" applyProtection="0"/>
  </cellStyleXfs>
  <cellXfs count="398">
    <xf numFmtId="0" fontId="0" fillId="0" borderId="0" xfId="0" applyAlignment="1"/>
    <xf numFmtId="0" fontId="7" fillId="3" borderId="5" xfId="1" applyFont="1" applyFill="1" applyBorder="1" applyAlignment="1">
      <alignment vertical="center" wrapText="1"/>
    </xf>
    <xf numFmtId="0" fontId="15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9" applyFont="1" applyAlignment="1">
      <alignment horizontal="right" vertical="top"/>
    </xf>
    <xf numFmtId="0" fontId="13" fillId="4" borderId="5" xfId="9" applyFont="1" applyFill="1" applyBorder="1" applyAlignment="1">
      <alignment horizontal="center" vertical="center"/>
    </xf>
    <xf numFmtId="0" fontId="13" fillId="4" borderId="1" xfId="9" applyFont="1" applyFill="1" applyBorder="1" applyAlignment="1">
      <alignment horizontal="center" vertical="center" wrapText="1"/>
    </xf>
    <xf numFmtId="0" fontId="13" fillId="0" borderId="5" xfId="9" applyFont="1" applyBorder="1" applyAlignment="1">
      <alignment horizontal="center" vertical="center"/>
    </xf>
    <xf numFmtId="0" fontId="13" fillId="0" borderId="5" xfId="9" applyFont="1" applyBorder="1" applyAlignment="1">
      <alignment horizontal="left" vertical="center"/>
    </xf>
    <xf numFmtId="0" fontId="13" fillId="0" borderId="0" xfId="9" applyFont="1" applyAlignment="1">
      <alignment vertical="center"/>
    </xf>
    <xf numFmtId="0" fontId="16" fillId="0" borderId="5" xfId="9" applyFont="1" applyBorder="1" applyAlignment="1">
      <alignment horizontal="center" vertical="center"/>
    </xf>
    <xf numFmtId="0" fontId="16" fillId="0" borderId="5" xfId="9" applyFont="1" applyBorder="1" applyAlignment="1">
      <alignment horizontal="left" vertical="center"/>
    </xf>
    <xf numFmtId="0" fontId="16" fillId="0" borderId="0" xfId="9" applyFont="1" applyAlignment="1">
      <alignment vertical="center"/>
    </xf>
    <xf numFmtId="0" fontId="13" fillId="0" borderId="5" xfId="9" applyFont="1" applyBorder="1" applyAlignment="1">
      <alignment vertical="center"/>
    </xf>
    <xf numFmtId="0" fontId="11" fillId="4" borderId="5" xfId="9" applyFont="1" applyFill="1" applyBorder="1" applyAlignment="1">
      <alignment vertical="center"/>
    </xf>
    <xf numFmtId="3" fontId="13" fillId="4" borderId="5" xfId="9" applyNumberFormat="1" applyFont="1" applyFill="1" applyBorder="1" applyAlignment="1"/>
    <xf numFmtId="0" fontId="11" fillId="0" borderId="5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3" fontId="11" fillId="0" borderId="5" xfId="9" applyNumberFormat="1" applyFont="1" applyBorder="1" applyAlignment="1"/>
    <xf numFmtId="0" fontId="11" fillId="0" borderId="5" xfId="9" applyFont="1" applyBorder="1" applyAlignment="1">
      <alignment vertical="center"/>
    </xf>
    <xf numFmtId="3" fontId="11" fillId="0" borderId="3" xfId="9" applyNumberFormat="1" applyFont="1" applyBorder="1" applyAlignment="1"/>
    <xf numFmtId="0" fontId="11" fillId="0" borderId="4" xfId="9" applyFont="1" applyBorder="1" applyAlignment="1">
      <alignment vertical="center"/>
    </xf>
    <xf numFmtId="0" fontId="11" fillId="4" borderId="5" xfId="9" applyFont="1" applyFill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3" fontId="11" fillId="0" borderId="0" xfId="9" applyNumberFormat="1" applyFont="1" applyBorder="1" applyAlignment="1"/>
    <xf numFmtId="0" fontId="17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5" xfId="10" applyNumberFormat="1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0" fontId="9" fillId="0" borderId="5" xfId="10" applyFont="1" applyBorder="1" applyAlignment="1">
      <alignment vertical="center" wrapText="1"/>
    </xf>
    <xf numFmtId="3" fontId="9" fillId="0" borderId="5" xfId="10" applyNumberFormat="1" applyFont="1" applyBorder="1" applyAlignment="1">
      <alignment vertical="center"/>
    </xf>
    <xf numFmtId="0" fontId="6" fillId="0" borderId="0" xfId="7" applyFont="1"/>
    <xf numFmtId="49" fontId="9" fillId="3" borderId="5" xfId="10" applyNumberFormat="1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vertical="center" wrapText="1"/>
    </xf>
    <xf numFmtId="3" fontId="9" fillId="3" borderId="5" xfId="10" applyNumberFormat="1" applyFont="1" applyFill="1" applyBorder="1" applyAlignment="1">
      <alignment vertical="center"/>
    </xf>
    <xf numFmtId="0" fontId="17" fillId="0" borderId="5" xfId="9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 wrapText="1"/>
    </xf>
    <xf numFmtId="0" fontId="9" fillId="0" borderId="1" xfId="10" applyFont="1" applyBorder="1" applyAlignment="1">
      <alignment vertical="center" wrapText="1"/>
    </xf>
    <xf numFmtId="0" fontId="6" fillId="0" borderId="5" xfId="7" applyFont="1" applyBorder="1" applyAlignment="1">
      <alignment vertical="center" wrapText="1"/>
    </xf>
    <xf numFmtId="49" fontId="10" fillId="5" borderId="5" xfId="10" applyNumberFormat="1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 wrapText="1"/>
    </xf>
    <xf numFmtId="3" fontId="10" fillId="5" borderId="5" xfId="10" applyNumberFormat="1" applyFont="1" applyFill="1" applyBorder="1" applyAlignment="1">
      <alignment horizontal="center" vertical="center"/>
    </xf>
    <xf numFmtId="49" fontId="10" fillId="6" borderId="5" xfId="10" applyNumberFormat="1" applyFont="1" applyFill="1" applyBorder="1" applyAlignment="1">
      <alignment horizontal="center" vertical="center"/>
    </xf>
    <xf numFmtId="0" fontId="10" fillId="6" borderId="5" xfId="10" applyFont="1" applyFill="1" applyBorder="1" applyAlignment="1">
      <alignment horizontal="center" vertical="center"/>
    </xf>
    <xf numFmtId="0" fontId="10" fillId="6" borderId="5" xfId="10" applyFont="1" applyFill="1" applyBorder="1" applyAlignment="1">
      <alignment vertical="center" wrapText="1"/>
    </xf>
    <xf numFmtId="3" fontId="10" fillId="6" borderId="5" xfId="10" applyNumberFormat="1" applyFont="1" applyFill="1" applyBorder="1" applyAlignment="1">
      <alignment vertical="center"/>
    </xf>
    <xf numFmtId="0" fontId="6" fillId="0" borderId="5" xfId="2" applyFont="1" applyBorder="1" applyAlignment="1">
      <alignment vertical="center" wrapText="1"/>
    </xf>
    <xf numFmtId="49" fontId="6" fillId="0" borderId="5" xfId="10" applyNumberFormat="1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3" fontId="6" fillId="0" borderId="5" xfId="10" applyNumberFormat="1" applyFont="1" applyBorder="1" applyAlignment="1">
      <alignment vertical="center"/>
    </xf>
    <xf numFmtId="0" fontId="6" fillId="0" borderId="0" xfId="10" applyFont="1" applyAlignment="1">
      <alignment vertical="center"/>
    </xf>
    <xf numFmtId="0" fontId="11" fillId="0" borderId="7" xfId="9" applyFont="1" applyBorder="1" applyAlignment="1">
      <alignment vertical="center" wrapText="1"/>
    </xf>
    <xf numFmtId="0" fontId="11" fillId="0" borderId="0" xfId="9" applyFont="1" applyFill="1" applyAlignment="1">
      <alignment vertical="center"/>
    </xf>
    <xf numFmtId="0" fontId="6" fillId="0" borderId="5" xfId="10" applyFont="1" applyBorder="1" applyAlignment="1">
      <alignment vertical="center" wrapText="1"/>
    </xf>
    <xf numFmtId="0" fontId="6" fillId="0" borderId="6" xfId="10" applyFont="1" applyBorder="1" applyAlignment="1">
      <alignment horizontal="center" vertical="center"/>
    </xf>
    <xf numFmtId="3" fontId="6" fillId="0" borderId="2" xfId="10" applyNumberFormat="1" applyFont="1" applyBorder="1" applyAlignment="1">
      <alignment vertical="center"/>
    </xf>
    <xf numFmtId="0" fontId="6" fillId="0" borderId="4" xfId="10" applyFont="1" applyBorder="1" applyAlignment="1">
      <alignment vertical="center" wrapText="1"/>
    </xf>
    <xf numFmtId="49" fontId="9" fillId="0" borderId="5" xfId="10" applyNumberFormat="1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vertical="center" wrapText="1"/>
    </xf>
    <xf numFmtId="3" fontId="9" fillId="0" borderId="5" xfId="10" applyNumberFormat="1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49" fontId="6" fillId="3" borderId="5" xfId="10" applyNumberFormat="1" applyFont="1" applyFill="1" applyBorder="1" applyAlignment="1">
      <alignment horizontal="center" vertical="center"/>
    </xf>
    <xf numFmtId="0" fontId="6" fillId="3" borderId="5" xfId="10" applyFont="1" applyFill="1" applyBorder="1" applyAlignment="1">
      <alignment horizontal="center" vertical="center"/>
    </xf>
    <xf numFmtId="0" fontId="6" fillId="3" borderId="5" xfId="10" applyFont="1" applyFill="1" applyBorder="1" applyAlignment="1">
      <alignment vertical="center" wrapText="1"/>
    </xf>
    <xf numFmtId="3" fontId="6" fillId="3" borderId="5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3" fontId="7" fillId="0" borderId="0" xfId="7" applyNumberFormat="1" applyFont="1" applyFill="1"/>
    <xf numFmtId="0" fontId="7" fillId="0" borderId="0" xfId="7" applyFont="1" applyFill="1"/>
    <xf numFmtId="0" fontId="6" fillId="0" borderId="0" xfId="7" applyFont="1" applyFill="1"/>
    <xf numFmtId="3" fontId="6" fillId="0" borderId="5" xfId="10" applyNumberFormat="1" applyFont="1" applyFill="1" applyBorder="1" applyAlignment="1">
      <alignment vertical="center"/>
    </xf>
    <xf numFmtId="49" fontId="6" fillId="0" borderId="5" xfId="10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49" fontId="7" fillId="6" borderId="5" xfId="10" applyNumberFormat="1" applyFont="1" applyFill="1" applyBorder="1" applyAlignment="1">
      <alignment horizontal="center" vertical="center"/>
    </xf>
    <xf numFmtId="0" fontId="7" fillId="6" borderId="5" xfId="10" applyFont="1" applyFill="1" applyBorder="1" applyAlignment="1">
      <alignment horizontal="center" vertical="center"/>
    </xf>
    <xf numFmtId="0" fontId="7" fillId="6" borderId="5" xfId="10" applyFont="1" applyFill="1" applyBorder="1" applyAlignment="1">
      <alignment vertical="center" wrapText="1"/>
    </xf>
    <xf numFmtId="3" fontId="7" fillId="6" borderId="5" xfId="10" applyNumberFormat="1" applyFont="1" applyFill="1" applyBorder="1" applyAlignment="1">
      <alignment vertical="center"/>
    </xf>
    <xf numFmtId="0" fontId="6" fillId="0" borderId="5" xfId="10" applyFont="1" applyFill="1" applyBorder="1" applyAlignment="1">
      <alignment vertical="center" wrapText="1"/>
    </xf>
    <xf numFmtId="0" fontId="25" fillId="0" borderId="0" xfId="0" applyFont="1" applyAlignment="1"/>
    <xf numFmtId="3" fontId="6" fillId="3" borderId="5" xfId="10" applyNumberFormat="1" applyFont="1" applyFill="1" applyBorder="1" applyAlignment="1">
      <alignment vertical="center" wrapText="1"/>
    </xf>
    <xf numFmtId="3" fontId="7" fillId="6" borderId="5" xfId="10" applyNumberFormat="1" applyFont="1" applyFill="1" applyBorder="1" applyAlignment="1">
      <alignment vertical="center" wrapText="1"/>
    </xf>
    <xf numFmtId="0" fontId="11" fillId="0" borderId="0" xfId="7" applyFont="1" applyProtection="1">
      <protection locked="0"/>
    </xf>
    <xf numFmtId="0" fontId="11" fillId="0" borderId="0" xfId="7" applyFont="1" applyAlignment="1" applyProtection="1">
      <alignment horizontal="center" vertic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11" fillId="0" borderId="0" xfId="7" applyFont="1" applyFill="1" applyProtection="1">
      <protection locked="0"/>
    </xf>
    <xf numFmtId="0" fontId="11" fillId="0" borderId="0" xfId="7" applyFont="1" applyProtection="1"/>
    <xf numFmtId="0" fontId="11" fillId="0" borderId="0" xfId="7" applyFont="1" applyAlignment="1" applyProtection="1">
      <alignment horizontal="center" vertical="center"/>
    </xf>
    <xf numFmtId="0" fontId="26" fillId="0" borderId="11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center" vertical="center"/>
      <protection locked="0"/>
    </xf>
    <xf numFmtId="0" fontId="26" fillId="0" borderId="0" xfId="7" applyFont="1" applyFill="1" applyProtection="1">
      <protection locked="0"/>
    </xf>
    <xf numFmtId="0" fontId="11" fillId="0" borderId="0" xfId="7" applyFont="1" applyFill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29" fillId="0" borderId="0" xfId="7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1" fillId="0" borderId="5" xfId="7" applyFont="1" applyFill="1" applyBorder="1" applyAlignment="1">
      <alignment horizontal="left" vertical="center" wrapText="1"/>
    </xf>
    <xf numFmtId="0" fontId="32" fillId="0" borderId="0" xfId="7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0" fontId="11" fillId="0" borderId="0" xfId="7" applyAlignment="1">
      <alignment horizontal="left" vertical="center"/>
    </xf>
    <xf numFmtId="0" fontId="16" fillId="0" borderId="0" xfId="7" applyFont="1" applyFill="1" applyAlignment="1" applyProtection="1">
      <alignment vertical="center"/>
      <protection locked="0"/>
    </xf>
    <xf numFmtId="0" fontId="16" fillId="11" borderId="0" xfId="7" applyFont="1" applyFill="1" applyAlignment="1" applyProtection="1">
      <alignment vertical="center"/>
      <protection locked="0"/>
    </xf>
    <xf numFmtId="0" fontId="34" fillId="9" borderId="0" xfId="7" applyFont="1" applyFill="1" applyAlignment="1" applyProtection="1">
      <alignment vertical="center"/>
      <protection locked="0"/>
    </xf>
    <xf numFmtId="0" fontId="30" fillId="7" borderId="0" xfId="7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13" fillId="0" borderId="12" xfId="7" applyFont="1" applyFill="1" applyBorder="1" applyAlignment="1" applyProtection="1">
      <alignment vertical="center" wrapText="1"/>
      <protection locked="0"/>
    </xf>
    <xf numFmtId="0" fontId="13" fillId="7" borderId="0" xfId="7" applyFont="1" applyFill="1" applyAlignment="1" applyProtection="1">
      <alignment vertical="center"/>
      <protection locked="0"/>
    </xf>
    <xf numFmtId="0" fontId="11" fillId="7" borderId="0" xfId="7" applyFont="1" applyFill="1" applyAlignment="1" applyProtection="1">
      <alignment vertical="center"/>
      <protection locked="0"/>
    </xf>
    <xf numFmtId="0" fontId="13" fillId="0" borderId="0" xfId="7" applyFont="1" applyFill="1" applyBorder="1" applyAlignment="1" applyProtection="1">
      <alignment vertical="center"/>
      <protection locked="0"/>
    </xf>
    <xf numFmtId="0" fontId="13" fillId="7" borderId="0" xfId="7" applyFont="1" applyFill="1" applyBorder="1" applyAlignment="1" applyProtection="1">
      <alignment vertical="center"/>
      <protection locked="0"/>
    </xf>
    <xf numFmtId="3" fontId="11" fillId="0" borderId="0" xfId="7" applyNumberFormat="1" applyFont="1" applyProtection="1"/>
    <xf numFmtId="0" fontId="26" fillId="0" borderId="0" xfId="9" applyFont="1" applyProtection="1"/>
    <xf numFmtId="0" fontId="26" fillId="0" borderId="0" xfId="7" applyFont="1" applyProtection="1"/>
    <xf numFmtId="3" fontId="26" fillId="0" borderId="0" xfId="7" applyNumberFormat="1" applyFont="1" applyProtection="1"/>
    <xf numFmtId="0" fontId="26" fillId="0" borderId="0" xfId="7" applyFont="1" applyAlignment="1" applyProtection="1">
      <alignment horizontal="center" vertical="center"/>
    </xf>
    <xf numFmtId="0" fontId="26" fillId="0" borderId="0" xfId="7" applyFont="1" applyProtection="1">
      <protection locked="0"/>
    </xf>
    <xf numFmtId="0" fontId="13" fillId="8" borderId="11" xfId="7" applyFont="1" applyFill="1" applyBorder="1" applyAlignment="1" applyProtection="1">
      <alignment horizontal="center" vertical="center" wrapText="1"/>
    </xf>
    <xf numFmtId="3" fontId="13" fillId="9" borderId="13" xfId="7" applyNumberFormat="1" applyFont="1" applyFill="1" applyBorder="1" applyAlignment="1" applyProtection="1">
      <alignment vertical="center" wrapText="1"/>
    </xf>
    <xf numFmtId="3" fontId="13" fillId="9" borderId="13" xfId="7" applyNumberFormat="1" applyFont="1" applyFill="1" applyBorder="1" applyAlignment="1" applyProtection="1">
      <alignment horizontal="right" vertical="center" wrapText="1"/>
    </xf>
    <xf numFmtId="0" fontId="27" fillId="9" borderId="13" xfId="7" applyFont="1" applyFill="1" applyBorder="1" applyAlignment="1" applyProtection="1">
      <alignment horizontal="center" vertical="center" wrapText="1"/>
    </xf>
    <xf numFmtId="0" fontId="28" fillId="9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Fill="1" applyBorder="1" applyAlignment="1" applyProtection="1">
      <alignment horizontal="center" vertical="center"/>
    </xf>
    <xf numFmtId="0" fontId="11" fillId="0" borderId="13" xfId="7" applyFont="1" applyFill="1" applyBorder="1" applyAlignment="1" applyProtection="1">
      <alignment horizontal="center" vertical="center" wrapText="1"/>
    </xf>
    <xf numFmtId="0" fontId="11" fillId="0" borderId="13" xfId="16" applyFont="1" applyFill="1" applyBorder="1" applyAlignment="1" applyProtection="1">
      <alignment vertical="center" wrapText="1"/>
    </xf>
    <xf numFmtId="3" fontId="11" fillId="0" borderId="13" xfId="7" applyNumberFormat="1" applyFont="1" applyFill="1" applyBorder="1" applyAlignment="1" applyProtection="1">
      <alignment vertical="center" wrapText="1"/>
    </xf>
    <xf numFmtId="3" fontId="11" fillId="0" borderId="13" xfId="7" applyNumberFormat="1" applyFont="1" applyFill="1" applyBorder="1" applyAlignment="1" applyProtection="1">
      <alignment vertical="center"/>
    </xf>
    <xf numFmtId="0" fontId="11" fillId="0" borderId="13" xfId="7" applyFont="1" applyFill="1" applyBorder="1" applyAlignment="1" applyProtection="1">
      <alignment vertical="center" wrapText="1"/>
    </xf>
    <xf numFmtId="0" fontId="11" fillId="0" borderId="13" xfId="7" applyFont="1" applyFill="1" applyBorder="1" applyAlignment="1" applyProtection="1">
      <alignment horizontal="right" vertical="center" wrapText="1"/>
    </xf>
    <xf numFmtId="0" fontId="26" fillId="0" borderId="13" xfId="7" applyFont="1" applyFill="1" applyBorder="1" applyAlignment="1" applyProtection="1">
      <alignment horizontal="center" vertical="center" wrapText="1"/>
    </xf>
    <xf numFmtId="0" fontId="11" fillId="0" borderId="13" xfId="7" applyFont="1" applyFill="1" applyBorder="1" applyAlignment="1" applyProtection="1">
      <alignment horizontal="left" vertical="center" wrapText="1"/>
    </xf>
    <xf numFmtId="3" fontId="13" fillId="9" borderId="13" xfId="7" applyNumberFormat="1" applyFont="1" applyFill="1" applyBorder="1" applyAlignment="1" applyProtection="1">
      <alignment vertical="center"/>
    </xf>
    <xf numFmtId="0" fontId="13" fillId="9" borderId="13" xfId="7" applyFont="1" applyFill="1" applyBorder="1" applyAlignment="1" applyProtection="1">
      <alignment vertical="center" wrapText="1"/>
    </xf>
    <xf numFmtId="0" fontId="13" fillId="9" borderId="13" xfId="7" applyFont="1" applyFill="1" applyBorder="1" applyAlignment="1" applyProtection="1">
      <alignment horizontal="center" vertical="center" wrapText="1"/>
      <protection locked="0"/>
    </xf>
    <xf numFmtId="3" fontId="30" fillId="0" borderId="13" xfId="7" applyNumberFormat="1" applyFont="1" applyFill="1" applyBorder="1" applyAlignment="1" applyProtection="1">
      <alignment vertical="center"/>
    </xf>
    <xf numFmtId="0" fontId="30" fillId="0" borderId="13" xfId="7" applyFont="1" applyFill="1" applyBorder="1" applyAlignment="1" applyProtection="1">
      <alignment vertical="center" wrapText="1"/>
    </xf>
    <xf numFmtId="165" fontId="30" fillId="0" borderId="13" xfId="21" applyNumberFormat="1" applyFont="1" applyFill="1" applyBorder="1" applyAlignment="1" applyProtection="1">
      <alignment horizontal="right" vertical="center" wrapText="1"/>
    </xf>
    <xf numFmtId="0" fontId="31" fillId="0" borderId="13" xfId="7" applyFont="1" applyFill="1" applyBorder="1" applyAlignment="1" applyProtection="1">
      <alignment horizontal="center" vertical="center" wrapText="1"/>
    </xf>
    <xf numFmtId="0" fontId="30" fillId="0" borderId="13" xfId="7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right" vertical="center" wrapText="1"/>
    </xf>
    <xf numFmtId="3" fontId="11" fillId="0" borderId="13" xfId="7" applyNumberFormat="1" applyFont="1" applyFill="1" applyBorder="1" applyAlignment="1" applyProtection="1">
      <alignment horizontal="center" vertical="center"/>
    </xf>
    <xf numFmtId="3" fontId="32" fillId="9" borderId="13" xfId="7" applyNumberFormat="1" applyFont="1" applyFill="1" applyBorder="1" applyAlignment="1" applyProtection="1">
      <alignment vertical="center"/>
    </xf>
    <xf numFmtId="0" fontId="32" fillId="9" borderId="13" xfId="7" applyFont="1" applyFill="1" applyBorder="1" applyAlignment="1" applyProtection="1">
      <alignment vertical="center" wrapText="1"/>
    </xf>
    <xf numFmtId="41" fontId="13" fillId="9" borderId="13" xfId="7" applyNumberFormat="1" applyFont="1" applyFill="1" applyBorder="1" applyAlignment="1" applyProtection="1">
      <alignment horizontal="right" vertical="center" wrapText="1"/>
    </xf>
    <xf numFmtId="0" fontId="33" fillId="9" borderId="13" xfId="7" applyFont="1" applyFill="1" applyBorder="1" applyAlignment="1" applyProtection="1">
      <alignment horizontal="center" vertical="center" wrapText="1"/>
    </xf>
    <xf numFmtId="0" fontId="32" fillId="9" borderId="13" xfId="7" applyFont="1" applyFill="1" applyBorder="1" applyAlignment="1" applyProtection="1">
      <alignment horizontal="center" vertical="center" wrapText="1"/>
      <protection locked="0"/>
    </xf>
    <xf numFmtId="0" fontId="29" fillId="10" borderId="13" xfId="7" applyFont="1" applyFill="1" applyBorder="1" applyAlignment="1" applyProtection="1">
      <alignment horizontal="center" vertical="center" wrapText="1"/>
      <protection locked="0"/>
    </xf>
    <xf numFmtId="0" fontId="34" fillId="0" borderId="13" xfId="7" applyFont="1" applyFill="1" applyBorder="1" applyAlignment="1" applyProtection="1">
      <alignment horizontal="center" vertical="center" wrapText="1"/>
      <protection locked="0"/>
    </xf>
    <xf numFmtId="3" fontId="34" fillId="0" borderId="13" xfId="7" applyNumberFormat="1" applyFont="1" applyFill="1" applyBorder="1" applyAlignment="1" applyProtection="1">
      <alignment vertical="center"/>
    </xf>
    <xf numFmtId="0" fontId="34" fillId="0" borderId="13" xfId="7" applyFont="1" applyFill="1" applyBorder="1" applyAlignment="1" applyProtection="1">
      <alignment vertical="center" wrapText="1"/>
    </xf>
    <xf numFmtId="0" fontId="34" fillId="0" borderId="13" xfId="7" applyFont="1" applyFill="1" applyBorder="1" applyAlignment="1" applyProtection="1">
      <alignment horizontal="right" vertical="center" wrapText="1"/>
    </xf>
    <xf numFmtId="0" fontId="35" fillId="0" borderId="13" xfId="7" applyFont="1" applyFill="1" applyBorder="1" applyAlignment="1" applyProtection="1">
      <alignment horizontal="center" vertical="center" wrapText="1"/>
    </xf>
    <xf numFmtId="0" fontId="11" fillId="0" borderId="13" xfId="16" applyFont="1" applyFill="1" applyBorder="1" applyAlignment="1" applyProtection="1">
      <alignment horizontal="left" vertical="center" wrapText="1"/>
    </xf>
    <xf numFmtId="3" fontId="11" fillId="7" borderId="13" xfId="7" applyNumberFormat="1" applyFont="1" applyFill="1" applyBorder="1" applyAlignment="1" applyProtection="1">
      <alignment vertical="center"/>
    </xf>
    <xf numFmtId="0" fontId="11" fillId="7" borderId="13" xfId="7" applyFont="1" applyFill="1" applyBorder="1" applyAlignment="1" applyProtection="1">
      <alignment vertical="center" wrapText="1"/>
    </xf>
    <xf numFmtId="0" fontId="11" fillId="7" borderId="13" xfId="7" applyFont="1" applyFill="1" applyBorder="1" applyAlignment="1" applyProtection="1">
      <alignment horizontal="right" vertical="center" wrapText="1"/>
    </xf>
    <xf numFmtId="0" fontId="26" fillId="7" borderId="13" xfId="7" applyFont="1" applyFill="1" applyBorder="1" applyAlignment="1" applyProtection="1">
      <alignment horizontal="center" vertical="center" wrapText="1"/>
    </xf>
    <xf numFmtId="0" fontId="11" fillId="10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NumberFormat="1" applyFont="1" applyFill="1" applyBorder="1" applyAlignment="1" applyProtection="1">
      <alignment horizontal="center" vertical="center"/>
    </xf>
    <xf numFmtId="0" fontId="11" fillId="0" borderId="13" xfId="16" applyFont="1" applyFill="1" applyBorder="1" applyAlignment="1">
      <alignment vertical="center" wrapText="1"/>
    </xf>
    <xf numFmtId="0" fontId="36" fillId="0" borderId="13" xfId="7" applyFont="1" applyFill="1" applyBorder="1" applyAlignment="1">
      <alignment horizontal="left" vertical="center" wrapText="1"/>
    </xf>
    <xf numFmtId="0" fontId="11" fillId="0" borderId="13" xfId="16" applyFont="1" applyFill="1" applyBorder="1" applyAlignment="1">
      <alignment vertical="center"/>
    </xf>
    <xf numFmtId="0" fontId="37" fillId="0" borderId="13" xfId="7" applyFont="1" applyFill="1" applyBorder="1" applyAlignment="1" applyProtection="1">
      <alignment horizontal="center" vertical="center" wrapText="1"/>
      <protection locked="0"/>
    </xf>
    <xf numFmtId="41" fontId="27" fillId="9" borderId="13" xfId="7" applyNumberFormat="1" applyFont="1" applyFill="1" applyBorder="1" applyAlignment="1" applyProtection="1">
      <alignment horizontal="right" vertical="center" wrapText="1"/>
    </xf>
    <xf numFmtId="0" fontId="13" fillId="0" borderId="13" xfId="7" applyFont="1" applyFill="1" applyBorder="1" applyAlignment="1" applyProtection="1">
      <alignment horizontal="center" vertical="center" wrapText="1"/>
      <protection locked="0"/>
    </xf>
    <xf numFmtId="3" fontId="30" fillId="0" borderId="13" xfId="7" applyNumberFormat="1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3" fontId="32" fillId="9" borderId="13" xfId="7" applyNumberFormat="1" applyFont="1" applyFill="1" applyBorder="1" applyAlignment="1" applyProtection="1">
      <alignment vertical="center" wrapText="1"/>
    </xf>
    <xf numFmtId="0" fontId="29" fillId="0" borderId="13" xfId="7" applyFont="1" applyFill="1" applyBorder="1" applyAlignment="1" applyProtection="1">
      <alignment horizontal="center" vertical="center" wrapText="1"/>
      <protection locked="0"/>
    </xf>
    <xf numFmtId="0" fontId="31" fillId="9" borderId="13" xfId="7" applyFont="1" applyFill="1" applyBorder="1" applyAlignment="1" applyProtection="1">
      <alignment horizontal="center" vertical="center" wrapText="1"/>
    </xf>
    <xf numFmtId="0" fontId="16" fillId="9" borderId="13" xfId="7" applyFont="1" applyFill="1" applyBorder="1" applyAlignment="1" applyProtection="1">
      <alignment horizontal="center" vertical="center" wrapText="1"/>
      <protection locked="0"/>
    </xf>
    <xf numFmtId="3" fontId="11" fillId="0" borderId="13" xfId="7" applyNumberFormat="1" applyFont="1" applyBorder="1" applyAlignment="1" applyProtection="1">
      <alignment vertical="center" wrapText="1"/>
    </xf>
    <xf numFmtId="0" fontId="11" fillId="7" borderId="13" xfId="16" applyFont="1" applyFill="1" applyBorder="1" applyAlignment="1" applyProtection="1">
      <alignment horizontal="left" vertical="center" wrapText="1"/>
    </xf>
    <xf numFmtId="3" fontId="11" fillId="7" borderId="13" xfId="7" applyNumberFormat="1" applyFont="1" applyFill="1" applyBorder="1" applyAlignment="1" applyProtection="1">
      <alignment vertical="center" wrapText="1"/>
    </xf>
    <xf numFmtId="0" fontId="16" fillId="7" borderId="13" xfId="7" applyFont="1" applyFill="1" applyBorder="1" applyAlignment="1" applyProtection="1">
      <alignment horizontal="center" vertical="center" wrapText="1"/>
      <protection locked="0"/>
    </xf>
    <xf numFmtId="0" fontId="38" fillId="0" borderId="13" xfId="16" applyFont="1" applyFill="1" applyBorder="1" applyAlignment="1" applyProtection="1">
      <alignment vertical="center" wrapText="1"/>
    </xf>
    <xf numFmtId="0" fontId="13" fillId="9" borderId="13" xfId="7" applyFont="1" applyFill="1" applyBorder="1" applyAlignment="1" applyProtection="1">
      <alignment horizontal="right" vertical="center" wrapText="1"/>
    </xf>
    <xf numFmtId="0" fontId="29" fillId="9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Border="1" applyAlignment="1" applyProtection="1">
      <alignment horizontal="center" vertical="center" wrapText="1"/>
    </xf>
    <xf numFmtId="0" fontId="11" fillId="0" borderId="13" xfId="7" applyFont="1" applyBorder="1" applyAlignment="1" applyProtection="1">
      <alignment horizontal="left" vertical="center" wrapText="1"/>
    </xf>
    <xf numFmtId="3" fontId="30" fillId="0" borderId="13" xfId="7" applyNumberFormat="1" applyFont="1" applyBorder="1" applyAlignment="1" applyProtection="1">
      <alignment vertical="center" wrapText="1"/>
    </xf>
    <xf numFmtId="0" fontId="30" fillId="0" borderId="13" xfId="7" applyFont="1" applyBorder="1" applyAlignment="1" applyProtection="1">
      <alignment vertical="center" wrapText="1"/>
    </xf>
    <xf numFmtId="0" fontId="31" fillId="0" borderId="13" xfId="7" applyFont="1" applyBorder="1" applyAlignment="1" applyProtection="1">
      <alignment horizontal="center" vertical="center" wrapText="1"/>
    </xf>
    <xf numFmtId="3" fontId="13" fillId="2" borderId="13" xfId="7" applyNumberFormat="1" applyFont="1" applyFill="1" applyBorder="1" applyAlignment="1" applyProtection="1">
      <alignment vertical="center" wrapText="1"/>
    </xf>
    <xf numFmtId="0" fontId="27" fillId="2" borderId="13" xfId="7" applyFont="1" applyFill="1" applyBorder="1" applyAlignment="1" applyProtection="1">
      <alignment horizontal="center" vertical="center" wrapText="1"/>
    </xf>
    <xf numFmtId="0" fontId="32" fillId="0" borderId="13" xfId="7" applyFont="1" applyFill="1" applyBorder="1" applyAlignment="1" applyProtection="1">
      <alignment horizontal="center" vertical="center" wrapText="1"/>
      <protection locked="0"/>
    </xf>
    <xf numFmtId="0" fontId="11" fillId="7" borderId="13" xfId="7" applyFont="1" applyFill="1" applyBorder="1" applyAlignment="1" applyProtection="1">
      <alignment horizontal="center" vertical="center"/>
    </xf>
    <xf numFmtId="0" fontId="13" fillId="0" borderId="13" xfId="7" applyFont="1" applyFill="1" applyBorder="1" applyAlignment="1" applyProtection="1">
      <alignment vertical="center" wrapText="1"/>
      <protection locked="0"/>
    </xf>
    <xf numFmtId="0" fontId="29" fillId="10" borderId="14" xfId="7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vertical="center" wrapText="1"/>
      <protection locked="0"/>
    </xf>
    <xf numFmtId="0" fontId="13" fillId="2" borderId="13" xfId="7" applyFont="1" applyFill="1" applyBorder="1" applyAlignment="1" applyProtection="1">
      <alignment vertical="center" wrapText="1"/>
    </xf>
    <xf numFmtId="0" fontId="33" fillId="0" borderId="13" xfId="7" applyFont="1" applyFill="1" applyBorder="1" applyAlignment="1" applyProtection="1">
      <alignment horizontal="center" vertical="center" wrapText="1"/>
    </xf>
    <xf numFmtId="0" fontId="13" fillId="10" borderId="14" xfId="7" applyFont="1" applyFill="1" applyBorder="1" applyAlignment="1" applyProtection="1">
      <alignment horizontal="center" vertical="center" wrapText="1"/>
      <protection locked="0"/>
    </xf>
    <xf numFmtId="0" fontId="11" fillId="7" borderId="13" xfId="7" applyFont="1" applyFill="1" applyBorder="1" applyAlignment="1" applyProtection="1">
      <alignment horizontal="center" vertical="center" wrapText="1"/>
    </xf>
    <xf numFmtId="0" fontId="39" fillId="0" borderId="13" xfId="16" applyFont="1" applyFill="1" applyBorder="1" applyAlignment="1" applyProtection="1">
      <alignment vertical="center" wrapText="1"/>
    </xf>
    <xf numFmtId="0" fontId="29" fillId="0" borderId="14" xfId="7" applyFont="1" applyFill="1" applyBorder="1" applyAlignment="1" applyProtection="1">
      <alignment horizontal="center" vertical="center" wrapText="1"/>
      <protection locked="0"/>
    </xf>
    <xf numFmtId="0" fontId="13" fillId="2" borderId="14" xfId="7" applyFont="1" applyFill="1" applyBorder="1" applyAlignment="1" applyProtection="1">
      <alignment vertical="center" wrapText="1"/>
      <protection locked="0"/>
    </xf>
    <xf numFmtId="0" fontId="11" fillId="0" borderId="14" xfId="7" applyFont="1" applyFill="1" applyBorder="1" applyAlignment="1" applyProtection="1">
      <alignment vertical="center" wrapText="1"/>
      <protection locked="0"/>
    </xf>
    <xf numFmtId="3" fontId="11" fillId="0" borderId="13" xfId="7" applyNumberFormat="1" applyFont="1" applyFill="1" applyBorder="1" applyAlignment="1" applyProtection="1">
      <alignment horizontal="right" vertical="center" wrapText="1"/>
    </xf>
    <xf numFmtId="3" fontId="11" fillId="0" borderId="13" xfId="7" applyNumberFormat="1" applyFont="1" applyFill="1" applyBorder="1" applyAlignment="1" applyProtection="1">
      <alignment horizontal="left" vertical="center" wrapText="1"/>
    </xf>
    <xf numFmtId="0" fontId="11" fillId="0" borderId="14" xfId="7" applyFont="1" applyFill="1" applyBorder="1" applyAlignment="1" applyProtection="1">
      <alignment horizontal="left" vertical="center" wrapText="1"/>
      <protection locked="0"/>
    </xf>
    <xf numFmtId="0" fontId="13" fillId="0" borderId="14" xfId="7" applyFont="1" applyFill="1" applyBorder="1" applyAlignment="1" applyProtection="1">
      <alignment vertical="center" wrapText="1"/>
      <protection locked="0"/>
    </xf>
    <xf numFmtId="0" fontId="30" fillId="0" borderId="0" xfId="7" applyFont="1" applyFill="1" applyBorder="1" applyAlignment="1" applyProtection="1">
      <alignment vertical="center"/>
      <protection locked="0"/>
    </xf>
    <xf numFmtId="0" fontId="38" fillId="0" borderId="13" xfId="7" applyFont="1" applyFill="1" applyBorder="1" applyAlignment="1" applyProtection="1">
      <alignment horizontal="center" vertical="center"/>
    </xf>
    <xf numFmtId="0" fontId="30" fillId="7" borderId="14" xfId="7" applyFont="1" applyFill="1" applyBorder="1" applyAlignment="1" applyProtection="1">
      <alignment vertical="center" wrapText="1"/>
      <protection locked="0"/>
    </xf>
    <xf numFmtId="0" fontId="30" fillId="0" borderId="14" xfId="7" applyFont="1" applyFill="1" applyBorder="1" applyAlignment="1" applyProtection="1">
      <alignment vertical="center" wrapText="1"/>
      <protection locked="0"/>
    </xf>
    <xf numFmtId="0" fontId="30" fillId="0" borderId="14" xfId="7" applyFont="1" applyFill="1" applyBorder="1" applyAlignment="1" applyProtection="1">
      <alignment horizontal="center" vertical="center" wrapText="1"/>
      <protection locked="0"/>
    </xf>
    <xf numFmtId="0" fontId="26" fillId="0" borderId="13" xfId="7" applyFont="1" applyBorder="1" applyAlignment="1" applyProtection="1">
      <alignment horizontal="center" vertical="center" wrapText="1"/>
    </xf>
    <xf numFmtId="0" fontId="11" fillId="10" borderId="14" xfId="7" applyFont="1" applyFill="1" applyBorder="1" applyAlignment="1" applyProtection="1">
      <alignment horizontal="center" vertical="center" wrapText="1"/>
      <protection locked="0"/>
    </xf>
    <xf numFmtId="0" fontId="11" fillId="7" borderId="13" xfId="7" applyFont="1" applyFill="1" applyBorder="1" applyAlignment="1" applyProtection="1">
      <alignment horizontal="left" vertical="center" wrapText="1"/>
    </xf>
    <xf numFmtId="3" fontId="13" fillId="7" borderId="13" xfId="7" applyNumberFormat="1" applyFont="1" applyFill="1" applyBorder="1" applyAlignment="1" applyProtection="1">
      <alignment vertical="center" wrapText="1"/>
    </xf>
    <xf numFmtId="0" fontId="13" fillId="7" borderId="13" xfId="7" applyFont="1" applyFill="1" applyBorder="1" applyAlignment="1" applyProtection="1">
      <alignment vertical="center" wrapText="1"/>
    </xf>
    <xf numFmtId="41" fontId="13" fillId="7" borderId="13" xfId="7" applyNumberFormat="1" applyFont="1" applyFill="1" applyBorder="1" applyAlignment="1" applyProtection="1">
      <alignment horizontal="right" vertical="center" wrapText="1"/>
    </xf>
    <xf numFmtId="0" fontId="27" fillId="7" borderId="13" xfId="7" applyFont="1" applyFill="1" applyBorder="1" applyAlignment="1" applyProtection="1">
      <alignment horizontal="center" vertical="center" wrapText="1"/>
    </xf>
    <xf numFmtId="0" fontId="13" fillId="7" borderId="14" xfId="7" applyFont="1" applyFill="1" applyBorder="1" applyAlignment="1" applyProtection="1">
      <alignment vertical="center" wrapText="1"/>
      <protection locked="0"/>
    </xf>
    <xf numFmtId="41" fontId="13" fillId="2" borderId="13" xfId="7" applyNumberFormat="1" applyFont="1" applyFill="1" applyBorder="1" applyAlignment="1" applyProtection="1">
      <alignment horizontal="right" vertical="center" wrapText="1"/>
    </xf>
    <xf numFmtId="41" fontId="11" fillId="0" borderId="13" xfId="7" applyNumberFormat="1" applyFont="1" applyFill="1" applyBorder="1" applyAlignment="1" applyProtection="1">
      <alignment horizontal="right" vertical="center" wrapText="1"/>
    </xf>
    <xf numFmtId="0" fontId="11" fillId="0" borderId="13" xfId="7" applyFont="1" applyFill="1" applyBorder="1" applyAlignment="1" applyProtection="1">
      <alignment vertical="center" wrapText="1"/>
      <protection locked="0"/>
    </xf>
    <xf numFmtId="3" fontId="13" fillId="12" borderId="13" xfId="7" applyNumberFormat="1" applyFont="1" applyFill="1" applyBorder="1" applyAlignment="1" applyProtection="1">
      <alignment vertical="center" wrapText="1"/>
    </xf>
    <xf numFmtId="3" fontId="13" fillId="0" borderId="13" xfId="7" applyNumberFormat="1" applyFont="1" applyFill="1" applyBorder="1" applyAlignment="1" applyProtection="1">
      <alignment vertical="center" wrapText="1"/>
      <protection locked="0"/>
    </xf>
    <xf numFmtId="4" fontId="13" fillId="0" borderId="5" xfId="9" applyNumberFormat="1" applyFont="1" applyBorder="1" applyAlignment="1">
      <alignment horizontal="right"/>
    </xf>
    <xf numFmtId="4" fontId="16" fillId="0" borderId="5" xfId="9" applyNumberFormat="1" applyFont="1" applyFill="1" applyBorder="1" applyAlignment="1">
      <alignment horizontal="right"/>
    </xf>
    <xf numFmtId="4" fontId="16" fillId="0" borderId="5" xfId="9" applyNumberFormat="1" applyFont="1" applyBorder="1" applyAlignment="1">
      <alignment horizontal="right"/>
    </xf>
    <xf numFmtId="4" fontId="13" fillId="0" borderId="5" xfId="9" applyNumberFormat="1" applyFont="1" applyBorder="1" applyAlignment="1"/>
    <xf numFmtId="4" fontId="16" fillId="0" borderId="5" xfId="9" applyNumberFormat="1" applyFont="1" applyFill="1" applyBorder="1" applyAlignment="1"/>
    <xf numFmtId="4" fontId="16" fillId="0" borderId="5" xfId="9" applyNumberFormat="1" applyFont="1" applyBorder="1" applyAlignment="1"/>
    <xf numFmtId="4" fontId="11" fillId="0" borderId="5" xfId="9" applyNumberFormat="1" applyFont="1" applyBorder="1" applyAlignment="1"/>
    <xf numFmtId="4" fontId="13" fillId="4" borderId="5" xfId="9" applyNumberFormat="1" applyFont="1" applyFill="1" applyBorder="1" applyAlignment="1"/>
    <xf numFmtId="0" fontId="29" fillId="13" borderId="13" xfId="7" applyFont="1" applyFill="1" applyBorder="1" applyAlignment="1" applyProtection="1">
      <alignment horizontal="center" vertical="center" wrapText="1"/>
    </xf>
    <xf numFmtId="0" fontId="29" fillId="13" borderId="13" xfId="16" applyFont="1" applyFill="1" applyBorder="1" applyAlignment="1" applyProtection="1">
      <alignment vertical="center" wrapText="1"/>
    </xf>
    <xf numFmtId="3" fontId="29" fillId="13" borderId="13" xfId="7" applyNumberFormat="1" applyFont="1" applyFill="1" applyBorder="1" applyAlignment="1" applyProtection="1">
      <alignment vertical="center" wrapText="1"/>
    </xf>
    <xf numFmtId="3" fontId="29" fillId="13" borderId="13" xfId="7" applyNumberFormat="1" applyFont="1" applyFill="1" applyBorder="1" applyAlignment="1" applyProtection="1">
      <alignment vertical="center"/>
    </xf>
    <xf numFmtId="3" fontId="34" fillId="13" borderId="13" xfId="7" applyNumberFormat="1" applyFont="1" applyFill="1" applyBorder="1" applyAlignment="1" applyProtection="1">
      <alignment vertical="center"/>
    </xf>
    <xf numFmtId="0" fontId="34" fillId="13" borderId="13" xfId="7" applyFont="1" applyFill="1" applyBorder="1" applyAlignment="1" applyProtection="1">
      <alignment vertical="center" wrapText="1"/>
    </xf>
    <xf numFmtId="0" fontId="35" fillId="13" borderId="13" xfId="7" applyFont="1" applyFill="1" applyBorder="1" applyAlignment="1" applyProtection="1">
      <alignment horizontal="center" vertical="center" wrapText="1"/>
    </xf>
    <xf numFmtId="0" fontId="29" fillId="13" borderId="13" xfId="7" applyFont="1" applyFill="1" applyBorder="1" applyAlignment="1" applyProtection="1">
      <alignment horizontal="center" vertical="center"/>
    </xf>
    <xf numFmtId="0" fontId="29" fillId="13" borderId="13" xfId="7" applyFont="1" applyFill="1" applyBorder="1" applyAlignment="1" applyProtection="1">
      <alignment horizontal="right" vertical="center" wrapText="1"/>
    </xf>
    <xf numFmtId="4" fontId="9" fillId="0" borderId="5" xfId="10" applyNumberFormat="1" applyFont="1" applyBorder="1" applyAlignment="1">
      <alignment vertical="center"/>
    </xf>
    <xf numFmtId="4" fontId="9" fillId="3" borderId="5" xfId="10" applyNumberFormat="1" applyFont="1" applyFill="1" applyBorder="1" applyAlignment="1">
      <alignment vertical="center"/>
    </xf>
    <xf numFmtId="4" fontId="10" fillId="6" borderId="5" xfId="10" applyNumberFormat="1" applyFont="1" applyFill="1" applyBorder="1" applyAlignment="1">
      <alignment vertical="center"/>
    </xf>
    <xf numFmtId="4" fontId="10" fillId="5" borderId="5" xfId="10" applyNumberFormat="1" applyFont="1" applyFill="1" applyBorder="1" applyAlignment="1">
      <alignment vertical="center"/>
    </xf>
    <xf numFmtId="4" fontId="6" fillId="0" borderId="5" xfId="10" applyNumberFormat="1" applyFont="1" applyFill="1" applyBorder="1" applyAlignment="1">
      <alignment vertical="center"/>
    </xf>
    <xf numFmtId="0" fontId="6" fillId="0" borderId="0" xfId="7" applyFont="1" applyAlignment="1">
      <alignment horizontal="center" vertical="center"/>
    </xf>
    <xf numFmtId="0" fontId="6" fillId="0" borderId="0" xfId="7" applyFont="1" applyAlignment="1"/>
    <xf numFmtId="0" fontId="12" fillId="0" borderId="0" xfId="7" applyFont="1" applyAlignment="1">
      <alignment vertical="center" wrapText="1"/>
    </xf>
    <xf numFmtId="0" fontId="15" fillId="0" borderId="0" xfId="7" applyFont="1"/>
    <xf numFmtId="0" fontId="7" fillId="2" borderId="5" xfId="7" applyFont="1" applyFill="1" applyBorder="1" applyAlignment="1">
      <alignment horizontal="center" vertical="center"/>
    </xf>
    <xf numFmtId="0" fontId="40" fillId="14" borderId="5" xfId="7" applyFont="1" applyFill="1" applyBorder="1" applyAlignment="1">
      <alignment horizontal="center" vertical="center"/>
    </xf>
    <xf numFmtId="0" fontId="40" fillId="0" borderId="0" xfId="7" applyFont="1"/>
    <xf numFmtId="0" fontId="7" fillId="3" borderId="5" xfId="7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5" xfId="11" applyFont="1" applyBorder="1" applyAlignment="1">
      <alignment vertical="center" wrapText="1"/>
    </xf>
    <xf numFmtId="0" fontId="21" fillId="0" borderId="5" xfId="7" applyFont="1" applyBorder="1" applyAlignment="1">
      <alignment horizontal="center" vertical="center"/>
    </xf>
    <xf numFmtId="3" fontId="6" fillId="7" borderId="5" xfId="7" applyNumberFormat="1" applyFont="1" applyFill="1" applyBorder="1" applyAlignment="1">
      <alignment horizontal="right" vertical="center"/>
    </xf>
    <xf numFmtId="0" fontId="6" fillId="0" borderId="0" xfId="7" applyFont="1" applyAlignment="1">
      <alignment vertical="center"/>
    </xf>
    <xf numFmtId="0" fontId="6" fillId="0" borderId="5" xfId="7" applyFont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left" vertical="center" wrapText="1"/>
    </xf>
    <xf numFmtId="0" fontId="21" fillId="0" borderId="5" xfId="7" applyFont="1" applyBorder="1" applyAlignment="1">
      <alignment vertical="center"/>
    </xf>
    <xf numFmtId="3" fontId="6" fillId="7" borderId="5" xfId="7" applyNumberFormat="1" applyFont="1" applyFill="1" applyBorder="1" applyAlignment="1">
      <alignment vertical="center"/>
    </xf>
    <xf numFmtId="0" fontId="21" fillId="0" borderId="5" xfId="7" applyFont="1" applyBorder="1" applyAlignment="1">
      <alignment vertical="center" wrapText="1"/>
    </xf>
    <xf numFmtId="3" fontId="6" fillId="7" borderId="5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3" fontId="6" fillId="7" borderId="5" xfId="7" applyNumberFormat="1" applyFont="1" applyFill="1" applyBorder="1" applyAlignment="1">
      <alignment vertical="center" wrapText="1"/>
    </xf>
    <xf numFmtId="3" fontId="21" fillId="0" borderId="5" xfId="7" applyNumberFormat="1" applyFont="1" applyFill="1" applyBorder="1" applyAlignment="1">
      <alignment horizontal="right" vertical="center" wrapText="1"/>
    </xf>
    <xf numFmtId="3" fontId="7" fillId="2" borderId="5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3" fontId="7" fillId="0" borderId="0" xfId="7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49" fontId="6" fillId="0" borderId="5" xfId="7" applyNumberFormat="1" applyFont="1" applyBorder="1" applyAlignment="1">
      <alignment horizontal="center" vertical="center"/>
    </xf>
    <xf numFmtId="49" fontId="6" fillId="0" borderId="5" xfId="7" applyNumberFormat="1" applyFont="1" applyFill="1" applyBorder="1" applyAlignment="1">
      <alignment horizontal="center" vertical="center"/>
    </xf>
    <xf numFmtId="3" fontId="6" fillId="0" borderId="0" xfId="7" applyNumberFormat="1" applyFont="1" applyAlignment="1">
      <alignment vertical="center"/>
    </xf>
    <xf numFmtId="3" fontId="21" fillId="0" borderId="5" xfId="7" applyNumberFormat="1" applyFont="1" applyBorder="1" applyAlignment="1">
      <alignment vertical="center"/>
    </xf>
    <xf numFmtId="3" fontId="21" fillId="0" borderId="5" xfId="7" applyNumberFormat="1" applyFont="1" applyBorder="1" applyAlignment="1">
      <alignment vertical="center" wrapText="1"/>
    </xf>
    <xf numFmtId="0" fontId="21" fillId="7" borderId="5" xfId="7" applyFont="1" applyFill="1" applyBorder="1" applyAlignment="1">
      <alignment vertical="center" wrapText="1"/>
    </xf>
    <xf numFmtId="3" fontId="21" fillId="7" borderId="5" xfId="7" applyNumberFormat="1" applyFont="1" applyFill="1" applyBorder="1" applyAlignment="1">
      <alignment vertical="center" wrapText="1"/>
    </xf>
    <xf numFmtId="0" fontId="24" fillId="0" borderId="5" xfId="7" applyFont="1" applyBorder="1" applyAlignment="1">
      <alignment horizontal="center" vertical="center"/>
    </xf>
    <xf numFmtId="0" fontId="24" fillId="0" borderId="5" xfId="7" applyFont="1" applyFill="1" applyBorder="1" applyAlignment="1">
      <alignment horizontal="center" vertical="center"/>
    </xf>
    <xf numFmtId="0" fontId="24" fillId="0" borderId="0" xfId="7" applyFont="1" applyAlignment="1">
      <alignment vertical="center"/>
    </xf>
    <xf numFmtId="0" fontId="6" fillId="0" borderId="5" xfId="7" applyFont="1" applyFill="1" applyBorder="1" applyAlignment="1">
      <alignment vertical="center" wrapText="1"/>
    </xf>
    <xf numFmtId="1" fontId="21" fillId="0" borderId="5" xfId="7" applyNumberFormat="1" applyFont="1" applyBorder="1" applyAlignment="1">
      <alignment vertical="center" wrapText="1"/>
    </xf>
    <xf numFmtId="3" fontId="12" fillId="15" borderId="5" xfId="7" applyNumberFormat="1" applyFont="1" applyFill="1" applyBorder="1" applyAlignment="1">
      <alignment horizontal="right"/>
    </xf>
    <xf numFmtId="0" fontId="41" fillId="0" borderId="0" xfId="7" applyFont="1"/>
    <xf numFmtId="0" fontId="6" fillId="7" borderId="5" xfId="7" applyFont="1" applyFill="1" applyBorder="1" applyAlignment="1">
      <alignment vertical="center" wrapText="1"/>
    </xf>
    <xf numFmtId="0" fontId="29" fillId="13" borderId="13" xfId="7" applyFont="1" applyFill="1" applyBorder="1" applyAlignment="1" applyProtection="1">
      <alignment vertical="center" wrapText="1"/>
    </xf>
    <xf numFmtId="0" fontId="43" fillId="13" borderId="13" xfId="7" applyFont="1" applyFill="1" applyBorder="1" applyAlignment="1" applyProtection="1">
      <alignment horizontal="center" vertical="center" wrapText="1"/>
    </xf>
    <xf numFmtId="0" fontId="24" fillId="0" borderId="5" xfId="7" applyFont="1" applyBorder="1" applyAlignment="1">
      <alignment vertical="center" wrapText="1"/>
    </xf>
    <xf numFmtId="49" fontId="6" fillId="16" borderId="5" xfId="10" applyNumberFormat="1" applyFont="1" applyFill="1" applyBorder="1" applyAlignment="1">
      <alignment horizontal="center" vertical="center"/>
    </xf>
    <xf numFmtId="0" fontId="6" fillId="16" borderId="5" xfId="10" applyFont="1" applyFill="1" applyBorder="1" applyAlignment="1">
      <alignment horizontal="center" vertical="center"/>
    </xf>
    <xf numFmtId="0" fontId="6" fillId="16" borderId="5" xfId="10" applyFont="1" applyFill="1" applyBorder="1" applyAlignment="1">
      <alignment vertical="center" wrapText="1"/>
    </xf>
    <xf numFmtId="3" fontId="6" fillId="16" borderId="5" xfId="10" applyNumberFormat="1" applyFont="1" applyFill="1" applyBorder="1" applyAlignment="1">
      <alignment vertical="center"/>
    </xf>
    <xf numFmtId="0" fontId="29" fillId="13" borderId="13" xfId="7" applyFont="1" applyFill="1" applyBorder="1" applyAlignment="1" applyProtection="1">
      <alignment horizontal="left" vertical="center" wrapText="1"/>
    </xf>
    <xf numFmtId="0" fontId="29" fillId="13" borderId="0" xfId="16" applyFont="1" applyFill="1" applyAlignment="1">
      <alignment vertical="center" wrapText="1"/>
    </xf>
    <xf numFmtId="3" fontId="24" fillId="7" borderId="5" xfId="7" applyNumberFormat="1" applyFont="1" applyFill="1" applyBorder="1" applyAlignment="1">
      <alignment vertical="center" wrapText="1"/>
    </xf>
    <xf numFmtId="0" fontId="42" fillId="7" borderId="5" xfId="7" applyFont="1" applyFill="1" applyBorder="1" applyAlignment="1">
      <alignment vertical="center" wrapText="1"/>
    </xf>
    <xf numFmtId="3" fontId="42" fillId="7" borderId="5" xfId="7" applyNumberFormat="1" applyFont="1" applyFill="1" applyBorder="1" applyAlignment="1">
      <alignment vertical="center" wrapText="1"/>
    </xf>
    <xf numFmtId="0" fontId="44" fillId="17" borderId="15" xfId="0" applyFont="1" applyFill="1" applyBorder="1" applyAlignment="1">
      <alignment horizontal="left" vertical="center" wrapText="1"/>
    </xf>
    <xf numFmtId="0" fontId="29" fillId="18" borderId="13" xfId="16" applyFont="1" applyFill="1" applyBorder="1" applyAlignment="1" applyProtection="1">
      <alignment vertical="center" wrapText="1"/>
    </xf>
    <xf numFmtId="0" fontId="29" fillId="18" borderId="13" xfId="7" applyFont="1" applyFill="1" applyBorder="1" applyAlignment="1" applyProtection="1">
      <alignment horizontal="center" vertical="center"/>
    </xf>
    <xf numFmtId="0" fontId="29" fillId="18" borderId="13" xfId="7" applyFont="1" applyFill="1" applyBorder="1" applyAlignment="1" applyProtection="1">
      <alignment horizontal="center" vertical="center" wrapText="1"/>
    </xf>
    <xf numFmtId="3" fontId="29" fillId="18" borderId="13" xfId="7" applyNumberFormat="1" applyFont="1" applyFill="1" applyBorder="1" applyAlignment="1" applyProtection="1">
      <alignment vertical="center"/>
    </xf>
    <xf numFmtId="3" fontId="34" fillId="18" borderId="13" xfId="7" applyNumberFormat="1" applyFont="1" applyFill="1" applyBorder="1" applyAlignment="1" applyProtection="1">
      <alignment vertical="center"/>
    </xf>
    <xf numFmtId="0" fontId="34" fillId="18" borderId="13" xfId="7" applyFont="1" applyFill="1" applyBorder="1" applyAlignment="1" applyProtection="1">
      <alignment vertical="center" wrapText="1"/>
    </xf>
    <xf numFmtId="0" fontId="29" fillId="18" borderId="13" xfId="7" applyFont="1" applyFill="1" applyBorder="1" applyAlignment="1" applyProtection="1">
      <alignment horizontal="right" vertical="center" wrapText="1"/>
    </xf>
    <xf numFmtId="0" fontId="35" fillId="18" borderId="13" xfId="7" applyFont="1" applyFill="1" applyBorder="1" applyAlignment="1" applyProtection="1">
      <alignment horizontal="center" vertical="center" wrapText="1"/>
    </xf>
    <xf numFmtId="0" fontId="29" fillId="18" borderId="13" xfId="7" applyFont="1" applyFill="1" applyBorder="1" applyAlignment="1" applyProtection="1">
      <alignment horizontal="left" vertical="center" wrapText="1"/>
    </xf>
    <xf numFmtId="3" fontId="29" fillId="18" borderId="13" xfId="7" applyNumberFormat="1" applyFont="1" applyFill="1" applyBorder="1" applyAlignment="1" applyProtection="1">
      <alignment vertical="center" wrapText="1"/>
    </xf>
    <xf numFmtId="0" fontId="29" fillId="18" borderId="13" xfId="7" applyFont="1" applyFill="1" applyBorder="1" applyAlignment="1" applyProtection="1">
      <alignment vertical="center" wrapText="1"/>
    </xf>
    <xf numFmtId="0" fontId="43" fillId="18" borderId="13" xfId="7" applyFont="1" applyFill="1" applyBorder="1" applyAlignment="1" applyProtection="1">
      <alignment horizontal="center" vertical="center" wrapText="1"/>
    </xf>
    <xf numFmtId="3" fontId="13" fillId="0" borderId="0" xfId="7" applyNumberFormat="1" applyFont="1" applyFill="1" applyAlignment="1" applyProtection="1">
      <alignment horizontal="left" vertical="center"/>
      <protection locked="0"/>
    </xf>
    <xf numFmtId="0" fontId="13" fillId="0" borderId="0" xfId="7" applyFont="1" applyFill="1" applyAlignment="1" applyProtection="1">
      <alignment horizontal="left"/>
      <protection locked="0"/>
    </xf>
    <xf numFmtId="0" fontId="27" fillId="0" borderId="0" xfId="7" applyFont="1" applyFill="1" applyAlignment="1" applyProtection="1">
      <alignment horizontal="left"/>
      <protection locked="0"/>
    </xf>
    <xf numFmtId="0" fontId="13" fillId="0" borderId="0" xfId="7" applyFont="1" applyFill="1" applyAlignment="1" applyProtection="1">
      <alignment horizontal="left" vertical="center"/>
      <protection locked="0"/>
    </xf>
    <xf numFmtId="0" fontId="29" fillId="0" borderId="0" xfId="7" applyFont="1" applyFill="1" applyAlignment="1" applyProtection="1">
      <alignment horizontal="left" vertical="center"/>
      <protection locked="0"/>
    </xf>
    <xf numFmtId="0" fontId="13" fillId="0" borderId="0" xfId="7" applyFont="1" applyFill="1" applyBorder="1" applyAlignment="1" applyProtection="1">
      <alignment horizontal="left" vertical="center"/>
      <protection locked="0"/>
    </xf>
    <xf numFmtId="3" fontId="29" fillId="18" borderId="13" xfId="7" applyNumberFormat="1" applyFont="1" applyFill="1" applyBorder="1" applyAlignment="1" applyProtection="1">
      <alignment horizontal="center" vertical="center"/>
    </xf>
    <xf numFmtId="0" fontId="29" fillId="18" borderId="13" xfId="7" applyNumberFormat="1" applyFont="1" applyFill="1" applyBorder="1" applyAlignment="1" applyProtection="1">
      <alignment horizontal="center" vertical="center"/>
    </xf>
    <xf numFmtId="0" fontId="29" fillId="18" borderId="13" xfId="16" applyFont="1" applyFill="1" applyBorder="1" applyAlignment="1">
      <alignment vertical="center" wrapText="1"/>
    </xf>
    <xf numFmtId="3" fontId="29" fillId="0" borderId="0" xfId="7" applyNumberFormat="1" applyFont="1" applyFill="1" applyAlignment="1" applyProtection="1">
      <alignment horizontal="left" vertical="center"/>
      <protection locked="0"/>
    </xf>
    <xf numFmtId="0" fontId="9" fillId="0" borderId="0" xfId="11" applyFont="1" applyAlignment="1">
      <alignment horizontal="center" vertical="center"/>
    </xf>
    <xf numFmtId="0" fontId="9" fillId="0" borderId="0" xfId="11" applyFont="1" applyAlignment="1">
      <alignment vertical="center" wrapText="1"/>
    </xf>
    <xf numFmtId="3" fontId="9" fillId="0" borderId="0" xfId="11" applyNumberFormat="1" applyFont="1" applyAlignment="1">
      <alignment vertical="center"/>
    </xf>
    <xf numFmtId="0" fontId="9" fillId="0" borderId="0" xfId="11" applyFont="1"/>
    <xf numFmtId="0" fontId="18" fillId="0" borderId="0" xfId="11" applyFont="1" applyAlignment="1">
      <alignment horizontal="center" vertical="center" wrapText="1"/>
    </xf>
    <xf numFmtId="0" fontId="10" fillId="19" borderId="5" xfId="11" applyFont="1" applyFill="1" applyBorder="1" applyAlignment="1">
      <alignment horizontal="center" vertical="center"/>
    </xf>
    <xf numFmtId="0" fontId="10" fillId="19" borderId="5" xfId="11" applyFont="1" applyFill="1" applyBorder="1" applyAlignment="1">
      <alignment horizontal="center" vertical="center" wrapText="1"/>
    </xf>
    <xf numFmtId="3" fontId="10" fillId="19" borderId="5" xfId="11" applyNumberFormat="1" applyFont="1" applyFill="1" applyBorder="1" applyAlignment="1">
      <alignment horizontal="center" vertical="center"/>
    </xf>
    <xf numFmtId="0" fontId="10" fillId="0" borderId="0" xfId="11" applyFont="1" applyAlignment="1">
      <alignment vertical="center"/>
    </xf>
    <xf numFmtId="0" fontId="10" fillId="20" borderId="5" xfId="11" applyFont="1" applyFill="1" applyBorder="1" applyAlignment="1">
      <alignment horizontal="center" vertical="center"/>
    </xf>
    <xf numFmtId="0" fontId="10" fillId="20" borderId="5" xfId="11" applyFont="1" applyFill="1" applyBorder="1" applyAlignment="1">
      <alignment vertical="center" wrapText="1"/>
    </xf>
    <xf numFmtId="3" fontId="10" fillId="20" borderId="5" xfId="11" applyNumberFormat="1" applyFont="1" applyFill="1" applyBorder="1" applyAlignment="1">
      <alignment vertical="center"/>
    </xf>
    <xf numFmtId="0" fontId="9" fillId="6" borderId="5" xfId="11" applyFont="1" applyFill="1" applyBorder="1" applyAlignment="1">
      <alignment horizontal="center" vertical="center"/>
    </xf>
    <xf numFmtId="0" fontId="9" fillId="6" borderId="5" xfId="11" applyFont="1" applyFill="1" applyBorder="1" applyAlignment="1">
      <alignment vertical="center" wrapText="1"/>
    </xf>
    <xf numFmtId="3" fontId="9" fillId="6" borderId="5" xfId="11" applyNumberFormat="1" applyFont="1" applyFill="1" applyBorder="1" applyAlignment="1">
      <alignment vertical="center"/>
    </xf>
    <xf numFmtId="0" fontId="9" fillId="0" borderId="0" xfId="11" applyFont="1" applyAlignment="1">
      <alignment vertical="center"/>
    </xf>
    <xf numFmtId="0" fontId="6" fillId="0" borderId="5" xfId="11" applyFont="1" applyBorder="1" applyAlignment="1">
      <alignment horizontal="center" vertical="center"/>
    </xf>
    <xf numFmtId="3" fontId="6" fillId="0" borderId="5" xfId="11" applyNumberFormat="1" applyFont="1" applyBorder="1" applyAlignment="1">
      <alignment vertical="center"/>
    </xf>
    <xf numFmtId="0" fontId="6" fillId="0" borderId="0" xfId="11" applyFont="1" applyAlignment="1">
      <alignment vertical="center"/>
    </xf>
    <xf numFmtId="0" fontId="9" fillId="0" borderId="5" xfId="11" applyFont="1" applyFill="1" applyBorder="1" applyAlignment="1">
      <alignment horizontal="center" vertical="center"/>
    </xf>
    <xf numFmtId="3" fontId="9" fillId="0" borderId="5" xfId="11" applyNumberFormat="1" applyFont="1" applyFill="1" applyBorder="1" applyAlignment="1">
      <alignment vertical="center"/>
    </xf>
    <xf numFmtId="0" fontId="9" fillId="0" borderId="0" xfId="11" applyFont="1" applyFill="1" applyAlignment="1">
      <alignment vertical="center"/>
    </xf>
    <xf numFmtId="0" fontId="24" fillId="0" borderId="5" xfId="11" applyFont="1" applyBorder="1" applyAlignment="1">
      <alignment horizontal="center" vertical="center"/>
    </xf>
    <xf numFmtId="0" fontId="24" fillId="0" borderId="5" xfId="11" applyFont="1" applyBorder="1" applyAlignment="1">
      <alignment vertical="center" wrapText="1"/>
    </xf>
    <xf numFmtId="3" fontId="24" fillId="0" borderId="5" xfId="11" applyNumberFormat="1" applyFont="1" applyBorder="1" applyAlignment="1">
      <alignment vertical="center"/>
    </xf>
    <xf numFmtId="0" fontId="24" fillId="0" borderId="0" xfId="11" applyFont="1" applyAlignment="1">
      <alignment vertical="center"/>
    </xf>
    <xf numFmtId="0" fontId="9" fillId="0" borderId="5" xfId="11" applyFont="1" applyBorder="1" applyAlignment="1">
      <alignment horizontal="center" vertical="center"/>
    </xf>
    <xf numFmtId="3" fontId="9" fillId="0" borderId="5" xfId="11" applyNumberFormat="1" applyFont="1" applyBorder="1" applyAlignment="1">
      <alignment vertical="center"/>
    </xf>
    <xf numFmtId="0" fontId="9" fillId="0" borderId="5" xfId="11" applyFont="1" applyBorder="1" applyAlignment="1">
      <alignment vertical="center" wrapText="1"/>
    </xf>
    <xf numFmtId="3" fontId="10" fillId="20" borderId="5" xfId="11" applyNumberFormat="1" applyFont="1" applyFill="1" applyBorder="1" applyAlignment="1">
      <alignment vertical="center" wrapText="1"/>
    </xf>
    <xf numFmtId="0" fontId="9" fillId="6" borderId="5" xfId="11" applyFont="1" applyFill="1" applyBorder="1" applyAlignment="1">
      <alignment horizontal="left" vertical="center"/>
    </xf>
    <xf numFmtId="3" fontId="9" fillId="6" borderId="5" xfId="11" applyNumberFormat="1" applyFont="1" applyFill="1" applyBorder="1" applyAlignment="1">
      <alignment horizontal="right" vertical="center"/>
    </xf>
    <xf numFmtId="3" fontId="9" fillId="6" borderId="5" xfId="11" applyNumberFormat="1" applyFont="1" applyFill="1" applyBorder="1" applyAlignment="1">
      <alignment horizontal="center" vertical="center"/>
    </xf>
    <xf numFmtId="0" fontId="9" fillId="0" borderId="5" xfId="11" applyFont="1" applyFill="1" applyBorder="1" applyAlignment="1">
      <alignment vertical="center"/>
    </xf>
    <xf numFmtId="0" fontId="9" fillId="6" borderId="5" xfId="11" applyFont="1" applyFill="1" applyBorder="1" applyAlignment="1">
      <alignment vertical="center"/>
    </xf>
    <xf numFmtId="0" fontId="6" fillId="6" borderId="5" xfId="11" applyFont="1" applyFill="1" applyBorder="1" applyAlignment="1">
      <alignment horizontal="center" vertical="center"/>
    </xf>
    <xf numFmtId="0" fontId="6" fillId="6" borderId="5" xfId="11" applyFont="1" applyFill="1" applyBorder="1" applyAlignment="1">
      <alignment vertical="center" wrapText="1"/>
    </xf>
    <xf numFmtId="3" fontId="6" fillId="6" borderId="5" xfId="11" applyNumberFormat="1" applyFont="1" applyFill="1" applyBorder="1" applyAlignment="1">
      <alignment vertical="center"/>
    </xf>
    <xf numFmtId="3" fontId="10" fillId="19" borderId="5" xfId="11" applyNumberFormat="1" applyFont="1" applyFill="1" applyBorder="1" applyAlignment="1">
      <alignment vertical="center"/>
    </xf>
    <xf numFmtId="0" fontId="45" fillId="18" borderId="0" xfId="0" applyFont="1" applyFill="1" applyAlignment="1">
      <alignment vertical="center" wrapText="1"/>
    </xf>
    <xf numFmtId="3" fontId="11" fillId="13" borderId="13" xfId="7" applyNumberFormat="1" applyFont="1" applyFill="1" applyBorder="1" applyAlignment="1" applyProtection="1">
      <alignment vertical="center" wrapText="1"/>
    </xf>
    <xf numFmtId="0" fontId="6" fillId="0" borderId="5" xfId="2" applyFont="1" applyFill="1" applyBorder="1" applyAlignment="1">
      <alignment vertical="center" wrapText="1"/>
    </xf>
    <xf numFmtId="0" fontId="13" fillId="2" borderId="13" xfId="7" applyFont="1" applyFill="1" applyBorder="1" applyAlignment="1" applyProtection="1">
      <alignment horizontal="center" vertical="center" wrapText="1"/>
    </xf>
    <xf numFmtId="166" fontId="13" fillId="12" borderId="13" xfId="8" applyNumberFormat="1" applyFont="1" applyFill="1" applyBorder="1" applyAlignment="1" applyProtection="1">
      <alignment horizontal="center" vertical="center" wrapText="1"/>
    </xf>
    <xf numFmtId="0" fontId="20" fillId="9" borderId="13" xfId="7" applyFont="1" applyFill="1" applyBorder="1" applyAlignment="1" applyProtection="1">
      <alignment horizontal="center" vertical="center"/>
    </xf>
    <xf numFmtId="0" fontId="13" fillId="2" borderId="8" xfId="7" applyFont="1" applyFill="1" applyBorder="1" applyAlignment="1" applyProtection="1">
      <alignment horizontal="center" vertical="center" wrapText="1"/>
      <protection locked="0"/>
    </xf>
    <xf numFmtId="0" fontId="13" fillId="2" borderId="11" xfId="7" applyFont="1" applyFill="1" applyBorder="1" applyAlignment="1" applyProtection="1">
      <alignment horizontal="center" vertical="center" wrapText="1"/>
      <protection locked="0"/>
    </xf>
    <xf numFmtId="0" fontId="12" fillId="0" borderId="0" xfId="7" applyFont="1" applyBorder="1" applyAlignment="1" applyProtection="1">
      <alignment horizontal="center"/>
    </xf>
    <xf numFmtId="0" fontId="13" fillId="8" borderId="13" xfId="7" applyFont="1" applyFill="1" applyBorder="1" applyAlignment="1" applyProtection="1">
      <alignment horizontal="center" vertical="center"/>
    </xf>
    <xf numFmtId="0" fontId="13" fillId="8" borderId="13" xfId="7" applyFont="1" applyFill="1" applyBorder="1" applyAlignment="1" applyProtection="1">
      <alignment horizontal="center" vertical="center" wrapText="1"/>
    </xf>
    <xf numFmtId="0" fontId="13" fillId="8" borderId="8" xfId="7" applyFont="1" applyFill="1" applyBorder="1" applyAlignment="1" applyProtection="1">
      <alignment horizontal="center" vertical="center" wrapText="1"/>
    </xf>
    <xf numFmtId="0" fontId="13" fillId="8" borderId="11" xfId="7" applyFont="1" applyFill="1" applyBorder="1" applyAlignment="1" applyProtection="1">
      <alignment horizontal="center" vertical="center" wrapText="1"/>
    </xf>
    <xf numFmtId="0" fontId="13" fillId="8" borderId="9" xfId="7" applyFont="1" applyFill="1" applyBorder="1" applyAlignment="1" applyProtection="1">
      <alignment horizontal="center" vertical="center" wrapText="1"/>
    </xf>
    <xf numFmtId="0" fontId="13" fillId="8" borderId="10" xfId="7" applyFont="1" applyFill="1" applyBorder="1" applyAlignment="1" applyProtection="1">
      <alignment horizontal="center" vertical="center" wrapText="1"/>
    </xf>
    <xf numFmtId="0" fontId="12" fillId="0" borderId="0" xfId="9" applyFont="1" applyAlignment="1">
      <alignment horizontal="center" vertical="center"/>
    </xf>
    <xf numFmtId="0" fontId="13" fillId="4" borderId="6" xfId="9" applyFont="1" applyFill="1" applyBorder="1" applyAlignment="1">
      <alignment horizontal="center" vertical="center"/>
    </xf>
    <xf numFmtId="0" fontId="13" fillId="4" borderId="2" xfId="9" applyFont="1" applyFill="1" applyBorder="1" applyAlignment="1">
      <alignment horizontal="center" vertical="center"/>
    </xf>
    <xf numFmtId="49" fontId="18" fillId="0" borderId="0" xfId="10" applyNumberFormat="1" applyFont="1" applyAlignment="1">
      <alignment horizontal="center" vertical="center" wrapText="1"/>
    </xf>
    <xf numFmtId="0" fontId="10" fillId="5" borderId="5" xfId="10" applyFont="1" applyFill="1" applyBorder="1" applyAlignment="1">
      <alignment horizontal="center" vertical="center" wrapText="1"/>
    </xf>
    <xf numFmtId="0" fontId="18" fillId="0" borderId="0" xfId="11" applyFont="1" applyAlignment="1">
      <alignment horizontal="center" vertical="center" wrapText="1"/>
    </xf>
    <xf numFmtId="0" fontId="10" fillId="19" borderId="6" xfId="11" applyFont="1" applyFill="1" applyBorder="1" applyAlignment="1">
      <alignment horizontal="center" vertical="center" wrapText="1"/>
    </xf>
    <xf numFmtId="0" fontId="10" fillId="19" borderId="16" xfId="11" applyFont="1" applyFill="1" applyBorder="1" applyAlignment="1">
      <alignment horizontal="center" vertical="center" wrapText="1"/>
    </xf>
    <xf numFmtId="0" fontId="10" fillId="19" borderId="2" xfId="11" applyFont="1" applyFill="1" applyBorder="1" applyAlignment="1">
      <alignment horizontal="center" vertical="center" wrapText="1"/>
    </xf>
    <xf numFmtId="0" fontId="7" fillId="3" borderId="5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/>
    </xf>
    <xf numFmtId="44" fontId="7" fillId="2" borderId="5" xfId="12" applyFont="1" applyFill="1" applyBorder="1" applyAlignment="1">
      <alignment horizontal="center" vertical="center"/>
    </xf>
    <xf numFmtId="44" fontId="12" fillId="15" borderId="5" xfId="12" applyFont="1" applyFill="1" applyBorder="1" applyAlignment="1">
      <alignment horizontal="center"/>
    </xf>
    <xf numFmtId="0" fontId="20" fillId="0" borderId="0" xfId="7" applyFont="1" applyAlignment="1">
      <alignment horizontal="center" vertical="center" wrapText="1"/>
    </xf>
  </cellXfs>
  <cellStyles count="22">
    <cellStyle name="Dziesiętny 2" xfId="21"/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  <color rgb="FF55F54D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H117"/>
  <sheetViews>
    <sheetView tabSelected="1" topLeftCell="A22" zoomScaleNormal="100" workbookViewId="0">
      <selection activeCell="E29" sqref="E29"/>
    </sheetView>
  </sheetViews>
  <sheetFormatPr defaultColWidth="11.6640625" defaultRowHeight="12.75"/>
  <cols>
    <col min="1" max="1" width="5.6640625" style="89" customWidth="1"/>
    <col min="2" max="2" width="6.6640625" style="89" customWidth="1"/>
    <col min="3" max="3" width="9.33203125" style="89" customWidth="1"/>
    <col min="4" max="4" width="7.33203125" style="89" customWidth="1"/>
    <col min="5" max="5" width="87.6640625" style="89" customWidth="1"/>
    <col min="6" max="9" width="14.33203125" style="89" customWidth="1"/>
    <col min="10" max="10" width="15.33203125" style="89" customWidth="1"/>
    <col min="11" max="11" width="31.83203125" style="90" customWidth="1"/>
    <col min="12" max="12" width="7.33203125" style="91" hidden="1" customWidth="1"/>
    <col min="13" max="13" width="22.1640625" style="321" hidden="1" customWidth="1"/>
    <col min="14" max="14" width="8.5" style="92" hidden="1" customWidth="1"/>
    <col min="15" max="16" width="8.83203125" style="92" customWidth="1"/>
    <col min="17" max="17" width="14.33203125" style="92" customWidth="1"/>
    <col min="18" max="86" width="11.6640625" style="92"/>
    <col min="87" max="16384" width="11.6640625" style="89"/>
  </cols>
  <sheetData>
    <row r="1" spans="1:86" ht="12" customHeight="1"/>
    <row r="2" spans="1:86" ht="15.75" customHeight="1">
      <c r="A2" s="377" t="s">
        <v>128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86" ht="15" customHeight="1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86" ht="19.5" customHeight="1" thickBot="1">
      <c r="A4" s="378" t="s">
        <v>53</v>
      </c>
      <c r="B4" s="379" t="s">
        <v>0</v>
      </c>
      <c r="C4" s="379" t="s">
        <v>129</v>
      </c>
      <c r="D4" s="380" t="s">
        <v>109</v>
      </c>
      <c r="E4" s="379" t="s">
        <v>110</v>
      </c>
      <c r="F4" s="379" t="s">
        <v>130</v>
      </c>
      <c r="G4" s="382" t="s">
        <v>131</v>
      </c>
      <c r="H4" s="383"/>
      <c r="I4" s="383"/>
      <c r="J4" s="383"/>
      <c r="K4" s="380" t="s">
        <v>132</v>
      </c>
      <c r="L4" s="375"/>
    </row>
    <row r="5" spans="1:86" ht="95.25" customHeight="1" thickBot="1">
      <c r="A5" s="378"/>
      <c r="B5" s="379"/>
      <c r="C5" s="379"/>
      <c r="D5" s="381"/>
      <c r="E5" s="379"/>
      <c r="F5" s="379"/>
      <c r="G5" s="125" t="s">
        <v>133</v>
      </c>
      <c r="H5" s="125" t="s">
        <v>134</v>
      </c>
      <c r="I5" s="125" t="s">
        <v>135</v>
      </c>
      <c r="J5" s="125" t="s">
        <v>136</v>
      </c>
      <c r="K5" s="381"/>
      <c r="L5" s="376"/>
    </row>
    <row r="6" spans="1:86" s="98" customFormat="1" ht="15" customHeight="1" thickBot="1">
      <c r="A6" s="95" t="s">
        <v>54</v>
      </c>
      <c r="B6" s="95" t="s">
        <v>55</v>
      </c>
      <c r="C6" s="95" t="s">
        <v>56</v>
      </c>
      <c r="D6" s="95" t="s">
        <v>57</v>
      </c>
      <c r="E6" s="96" t="s">
        <v>137</v>
      </c>
      <c r="F6" s="95" t="s">
        <v>138</v>
      </c>
      <c r="G6" s="95" t="s">
        <v>139</v>
      </c>
      <c r="H6" s="95" t="s">
        <v>140</v>
      </c>
      <c r="I6" s="95" t="s">
        <v>141</v>
      </c>
      <c r="J6" s="95" t="s">
        <v>142</v>
      </c>
      <c r="K6" s="95" t="s">
        <v>143</v>
      </c>
      <c r="L6" s="97"/>
      <c r="M6" s="322"/>
    </row>
    <row r="7" spans="1:86" s="100" customFormat="1" ht="32.25" customHeight="1" thickBot="1">
      <c r="A7" s="374" t="s">
        <v>144</v>
      </c>
      <c r="B7" s="374"/>
      <c r="C7" s="374"/>
      <c r="D7" s="374"/>
      <c r="E7" s="374"/>
      <c r="F7" s="126">
        <f>SUM(G7:J7)</f>
        <v>1704083</v>
      </c>
      <c r="G7" s="126">
        <f>SUM(G8:G11)</f>
        <v>572083</v>
      </c>
      <c r="H7" s="126">
        <f t="shared" ref="H7:I7" si="0">SUM(H8:H11)</f>
        <v>0</v>
      </c>
      <c r="I7" s="126">
        <f t="shared" si="0"/>
        <v>0</v>
      </c>
      <c r="J7" s="127">
        <v>1132000</v>
      </c>
      <c r="K7" s="128"/>
      <c r="L7" s="129"/>
      <c r="M7" s="323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</row>
    <row r="8" spans="1:86" s="99" customFormat="1" ht="52.5" customHeight="1" thickBot="1">
      <c r="A8" s="244" t="s">
        <v>54</v>
      </c>
      <c r="B8" s="237">
        <v>600</v>
      </c>
      <c r="C8" s="237">
        <v>60014</v>
      </c>
      <c r="D8" s="237">
        <v>6050</v>
      </c>
      <c r="E8" s="303" t="s">
        <v>145</v>
      </c>
      <c r="F8" s="239">
        <f>100000+14083-50000</f>
        <v>64083</v>
      </c>
      <c r="G8" s="240">
        <f>50000+14083</f>
        <v>64083</v>
      </c>
      <c r="H8" s="240"/>
      <c r="I8" s="295"/>
      <c r="J8" s="245" t="s">
        <v>159</v>
      </c>
      <c r="K8" s="296"/>
      <c r="L8" s="130"/>
      <c r="M8" s="323" t="s">
        <v>364</v>
      </c>
    </row>
    <row r="9" spans="1:86" s="99" customFormat="1" ht="42" customHeight="1" thickBot="1">
      <c r="A9" s="244" t="s">
        <v>55</v>
      </c>
      <c r="B9" s="237">
        <v>600</v>
      </c>
      <c r="C9" s="237">
        <v>60014</v>
      </c>
      <c r="D9" s="237">
        <v>6050</v>
      </c>
      <c r="E9" s="238" t="s">
        <v>147</v>
      </c>
      <c r="F9" s="239">
        <f>G9+1132000</f>
        <v>1540000</v>
      </c>
      <c r="G9" s="240">
        <f>250000+158000</f>
        <v>408000</v>
      </c>
      <c r="H9" s="240"/>
      <c r="I9" s="295"/>
      <c r="J9" s="245" t="s">
        <v>344</v>
      </c>
      <c r="K9" s="296" t="s">
        <v>148</v>
      </c>
      <c r="L9" s="166" t="s">
        <v>149</v>
      </c>
      <c r="M9" s="320" t="s">
        <v>365</v>
      </c>
    </row>
    <row r="10" spans="1:86" s="99" customFormat="1" ht="42" customHeight="1" thickBot="1">
      <c r="A10" s="131" t="s">
        <v>56</v>
      </c>
      <c r="B10" s="132">
        <v>600</v>
      </c>
      <c r="C10" s="132">
        <v>60014</v>
      </c>
      <c r="D10" s="132">
        <v>6050</v>
      </c>
      <c r="E10" s="133" t="s">
        <v>150</v>
      </c>
      <c r="F10" s="134">
        <f>G10</f>
        <v>50000</v>
      </c>
      <c r="G10" s="135">
        <v>50000</v>
      </c>
      <c r="H10" s="135"/>
      <c r="I10" s="136"/>
      <c r="J10" s="137"/>
      <c r="K10" s="138" t="s">
        <v>151</v>
      </c>
      <c r="L10" s="166" t="s">
        <v>149</v>
      </c>
      <c r="M10" s="323"/>
    </row>
    <row r="11" spans="1:86" s="99" customFormat="1" ht="42" customHeight="1" thickBot="1">
      <c r="A11" s="131" t="s">
        <v>57</v>
      </c>
      <c r="B11" s="132">
        <v>600</v>
      </c>
      <c r="C11" s="132">
        <v>60014</v>
      </c>
      <c r="D11" s="132">
        <v>6050</v>
      </c>
      <c r="E11" s="139" t="s">
        <v>152</v>
      </c>
      <c r="F11" s="134">
        <f>G11</f>
        <v>50000</v>
      </c>
      <c r="G11" s="135">
        <v>50000</v>
      </c>
      <c r="H11" s="135"/>
      <c r="I11" s="136"/>
      <c r="J11" s="137"/>
      <c r="K11" s="138"/>
      <c r="L11" s="130"/>
      <c r="M11" s="323"/>
    </row>
    <row r="12" spans="1:86" s="100" customFormat="1" ht="32.25" customHeight="1" thickBot="1">
      <c r="A12" s="374" t="s">
        <v>153</v>
      </c>
      <c r="B12" s="374"/>
      <c r="C12" s="374"/>
      <c r="D12" s="374"/>
      <c r="E12" s="374"/>
      <c r="F12" s="126">
        <f>SUM(G12:J12)</f>
        <v>843000</v>
      </c>
      <c r="G12" s="126">
        <f>SUM(G13:G20)</f>
        <v>668000</v>
      </c>
      <c r="H12" s="140"/>
      <c r="I12" s="141"/>
      <c r="J12" s="127">
        <v>175000</v>
      </c>
      <c r="K12" s="128"/>
      <c r="L12" s="142"/>
      <c r="M12" s="323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</row>
    <row r="13" spans="1:86" s="102" customFormat="1" ht="35.25" customHeight="1" thickBot="1">
      <c r="A13" s="131" t="s">
        <v>137</v>
      </c>
      <c r="B13" s="132">
        <v>600</v>
      </c>
      <c r="C13" s="132">
        <v>60014</v>
      </c>
      <c r="D13" s="132">
        <v>6050</v>
      </c>
      <c r="E13" s="139" t="s">
        <v>154</v>
      </c>
      <c r="F13" s="134">
        <f>SUM(G13:I13)</f>
        <v>0</v>
      </c>
      <c r="G13" s="135">
        <v>0</v>
      </c>
      <c r="H13" s="143"/>
      <c r="I13" s="144"/>
      <c r="J13" s="145"/>
      <c r="K13" s="146"/>
      <c r="L13" s="147"/>
      <c r="M13" s="323"/>
    </row>
    <row r="14" spans="1:86" s="102" customFormat="1" ht="30" customHeight="1" thickBot="1">
      <c r="A14" s="131" t="s">
        <v>138</v>
      </c>
      <c r="B14" s="132">
        <v>600</v>
      </c>
      <c r="C14" s="132">
        <v>60014</v>
      </c>
      <c r="D14" s="132">
        <v>6050</v>
      </c>
      <c r="E14" s="139" t="s">
        <v>155</v>
      </c>
      <c r="F14" s="134">
        <f>SUM(G14:I14)</f>
        <v>100000</v>
      </c>
      <c r="G14" s="135">
        <v>100000</v>
      </c>
      <c r="H14" s="143"/>
      <c r="I14" s="144"/>
      <c r="J14" s="145"/>
      <c r="K14" s="146"/>
      <c r="L14" s="166" t="s">
        <v>149</v>
      </c>
      <c r="M14" s="323"/>
    </row>
    <row r="15" spans="1:86" s="102" customFormat="1" ht="30" customHeight="1" thickBot="1">
      <c r="A15" s="131" t="s">
        <v>139</v>
      </c>
      <c r="B15" s="132">
        <v>600</v>
      </c>
      <c r="C15" s="132">
        <v>60014</v>
      </c>
      <c r="D15" s="132">
        <v>6050</v>
      </c>
      <c r="E15" s="139" t="s">
        <v>156</v>
      </c>
      <c r="F15" s="134">
        <f>SUM(G15:I15)</f>
        <v>150000</v>
      </c>
      <c r="G15" s="135">
        <v>150000</v>
      </c>
      <c r="H15" s="143"/>
      <c r="I15" s="144"/>
      <c r="J15" s="145"/>
      <c r="K15" s="146"/>
      <c r="L15" s="147"/>
      <c r="M15" s="323"/>
    </row>
    <row r="16" spans="1:86" s="102" customFormat="1" ht="30" customHeight="1" thickBot="1">
      <c r="A16" s="131" t="s">
        <v>140</v>
      </c>
      <c r="B16" s="132">
        <v>600</v>
      </c>
      <c r="C16" s="132">
        <v>60014</v>
      </c>
      <c r="D16" s="132">
        <v>6050</v>
      </c>
      <c r="E16" s="139" t="s">
        <v>157</v>
      </c>
      <c r="F16" s="134">
        <f>SUM(G16:I16)</f>
        <v>200000</v>
      </c>
      <c r="G16" s="135">
        <v>200000</v>
      </c>
      <c r="H16" s="143"/>
      <c r="I16" s="144"/>
      <c r="J16" s="148"/>
      <c r="K16" s="146"/>
      <c r="L16" s="147"/>
      <c r="M16" s="323"/>
    </row>
    <row r="17" spans="1:13" s="102" customFormat="1" ht="37.9" customHeight="1" thickBot="1">
      <c r="A17" s="149" t="s">
        <v>141</v>
      </c>
      <c r="B17" s="132">
        <v>600</v>
      </c>
      <c r="C17" s="132">
        <v>60014</v>
      </c>
      <c r="D17" s="132">
        <v>6050</v>
      </c>
      <c r="E17" s="133" t="s">
        <v>158</v>
      </c>
      <c r="F17" s="134">
        <v>0</v>
      </c>
      <c r="G17" s="135">
        <v>0</v>
      </c>
      <c r="H17" s="143"/>
      <c r="I17" s="144"/>
      <c r="J17" s="137" t="s">
        <v>159</v>
      </c>
      <c r="K17" s="146"/>
      <c r="L17" s="147"/>
      <c r="M17" s="323"/>
    </row>
    <row r="18" spans="1:13" s="102" customFormat="1" ht="33.6" customHeight="1" thickBot="1">
      <c r="A18" s="149" t="s">
        <v>142</v>
      </c>
      <c r="B18" s="132">
        <v>600</v>
      </c>
      <c r="C18" s="132">
        <v>60014</v>
      </c>
      <c r="D18" s="132">
        <v>6050</v>
      </c>
      <c r="E18" s="133" t="s">
        <v>160</v>
      </c>
      <c r="F18" s="134">
        <f>G18</f>
        <v>30000</v>
      </c>
      <c r="G18" s="135">
        <v>30000</v>
      </c>
      <c r="H18" s="143"/>
      <c r="I18" s="144"/>
      <c r="J18" s="148"/>
      <c r="K18" s="146"/>
      <c r="L18" s="147"/>
      <c r="M18" s="323"/>
    </row>
    <row r="19" spans="1:13" s="102" customFormat="1" ht="32.450000000000003" customHeight="1" thickBot="1">
      <c r="A19" s="149" t="s">
        <v>143</v>
      </c>
      <c r="B19" s="132">
        <v>600</v>
      </c>
      <c r="C19" s="132">
        <v>60014</v>
      </c>
      <c r="D19" s="132">
        <v>6050</v>
      </c>
      <c r="E19" s="133" t="s">
        <v>161</v>
      </c>
      <c r="F19" s="134">
        <f>G19</f>
        <v>63000</v>
      </c>
      <c r="G19" s="135">
        <f>40000+23000</f>
        <v>63000</v>
      </c>
      <c r="H19" s="143"/>
      <c r="I19" s="144"/>
      <c r="J19" s="148"/>
      <c r="K19" s="146"/>
      <c r="L19" s="147"/>
      <c r="M19" s="323"/>
    </row>
    <row r="20" spans="1:13" s="102" customFormat="1" ht="50.25" customHeight="1" thickBot="1">
      <c r="A20" s="149" t="s">
        <v>162</v>
      </c>
      <c r="B20" s="132">
        <v>600</v>
      </c>
      <c r="C20" s="132">
        <v>60014</v>
      </c>
      <c r="D20" s="132">
        <v>6050</v>
      </c>
      <c r="E20" s="133" t="s">
        <v>163</v>
      </c>
      <c r="F20" s="134">
        <f>250000+50000</f>
        <v>300000</v>
      </c>
      <c r="G20" s="135">
        <f>100000+25000</f>
        <v>125000</v>
      </c>
      <c r="H20" s="143"/>
      <c r="I20" s="144"/>
      <c r="J20" s="137" t="s">
        <v>164</v>
      </c>
      <c r="K20" s="146"/>
      <c r="L20" s="147"/>
      <c r="M20" s="323"/>
    </row>
    <row r="21" spans="1:13" s="103" customFormat="1" ht="27" customHeight="1" thickBot="1">
      <c r="A21" s="374" t="s">
        <v>165</v>
      </c>
      <c r="B21" s="374"/>
      <c r="C21" s="374"/>
      <c r="D21" s="374"/>
      <c r="E21" s="374"/>
      <c r="F21" s="126">
        <f>SUM(G21:J21)</f>
        <v>4377068</v>
      </c>
      <c r="G21" s="126">
        <f>SUM(G22:G30)</f>
        <v>1302068</v>
      </c>
      <c r="H21" s="150"/>
      <c r="I21" s="151"/>
      <c r="J21" s="152">
        <f>1419000-70000+7500-849000+2544000+23500</f>
        <v>3075000</v>
      </c>
      <c r="K21" s="153"/>
      <c r="L21" s="154"/>
      <c r="M21" s="323"/>
    </row>
    <row r="22" spans="1:13" s="102" customFormat="1" ht="42" customHeight="1" thickBot="1">
      <c r="A22" s="131" t="s">
        <v>166</v>
      </c>
      <c r="B22" s="132">
        <v>600</v>
      </c>
      <c r="C22" s="132">
        <v>60014</v>
      </c>
      <c r="D22" s="132">
        <v>6050</v>
      </c>
      <c r="E22" s="133" t="s">
        <v>167</v>
      </c>
      <c r="F22" s="134">
        <v>500000</v>
      </c>
      <c r="G22" s="135">
        <f>902000-451000-451000</f>
        <v>0</v>
      </c>
      <c r="H22" s="143"/>
      <c r="I22" s="144"/>
      <c r="J22" s="137" t="s">
        <v>310</v>
      </c>
      <c r="K22" s="146"/>
      <c r="L22" s="155" t="s">
        <v>149</v>
      </c>
      <c r="M22" s="323"/>
    </row>
    <row r="23" spans="1:13" s="101" customFormat="1" ht="30" customHeight="1" thickBot="1">
      <c r="A23" s="244" t="s">
        <v>168</v>
      </c>
      <c r="B23" s="237">
        <v>600</v>
      </c>
      <c r="C23" s="237">
        <v>60014</v>
      </c>
      <c r="D23" s="237">
        <v>6050</v>
      </c>
      <c r="E23" s="302" t="s">
        <v>169</v>
      </c>
      <c r="F23" s="239">
        <f t="shared" ref="F23:F28" si="1">SUM(G23:H23)</f>
        <v>0</v>
      </c>
      <c r="G23" s="240">
        <f>400000-400000</f>
        <v>0</v>
      </c>
      <c r="H23" s="240"/>
      <c r="I23" s="295"/>
      <c r="J23" s="245"/>
      <c r="K23" s="296"/>
      <c r="L23" s="155" t="s">
        <v>149</v>
      </c>
      <c r="M23" s="324" t="s">
        <v>366</v>
      </c>
    </row>
    <row r="24" spans="1:13" s="104" customFormat="1" ht="34.5" customHeight="1" thickBot="1">
      <c r="A24" s="309" t="s">
        <v>170</v>
      </c>
      <c r="B24" s="310">
        <v>600</v>
      </c>
      <c r="C24" s="310">
        <v>60014</v>
      </c>
      <c r="D24" s="310">
        <v>6050</v>
      </c>
      <c r="E24" s="308" t="s">
        <v>347</v>
      </c>
      <c r="F24" s="317">
        <f t="shared" si="1"/>
        <v>132000</v>
      </c>
      <c r="G24" s="311">
        <f>80000+52000</f>
        <v>132000</v>
      </c>
      <c r="H24" s="311"/>
      <c r="I24" s="318"/>
      <c r="J24" s="314" t="s">
        <v>171</v>
      </c>
      <c r="K24" s="319"/>
      <c r="L24" s="156"/>
      <c r="M24" s="329">
        <v>52000</v>
      </c>
    </row>
    <row r="25" spans="1:13" s="102" customFormat="1" ht="34.5" customHeight="1" thickBot="1">
      <c r="A25" s="131" t="s">
        <v>172</v>
      </c>
      <c r="B25" s="132">
        <v>600</v>
      </c>
      <c r="C25" s="132">
        <v>60014</v>
      </c>
      <c r="D25" s="132">
        <v>6050</v>
      </c>
      <c r="E25" s="133" t="s">
        <v>173</v>
      </c>
      <c r="F25" s="134">
        <f t="shared" si="1"/>
        <v>150000</v>
      </c>
      <c r="G25" s="135">
        <v>150000</v>
      </c>
      <c r="H25" s="143"/>
      <c r="I25" s="144"/>
      <c r="J25" s="148"/>
      <c r="K25" s="146"/>
      <c r="L25" s="147"/>
      <c r="M25" s="323"/>
    </row>
    <row r="26" spans="1:13" s="104" customFormat="1" ht="44.25" customHeight="1" thickBot="1">
      <c r="A26" s="244" t="s">
        <v>174</v>
      </c>
      <c r="B26" s="237">
        <v>600</v>
      </c>
      <c r="C26" s="237">
        <v>60014</v>
      </c>
      <c r="D26" s="237">
        <v>6050</v>
      </c>
      <c r="E26" s="238" t="s">
        <v>378</v>
      </c>
      <c r="F26" s="240">
        <v>0</v>
      </c>
      <c r="G26" s="240">
        <v>0</v>
      </c>
      <c r="H26" s="241"/>
      <c r="I26" s="242"/>
      <c r="J26" s="245"/>
      <c r="K26" s="243"/>
      <c r="L26" s="177"/>
      <c r="M26" s="324" t="s">
        <v>367</v>
      </c>
    </row>
    <row r="27" spans="1:13" s="102" customFormat="1" ht="34.5" customHeight="1" thickBot="1">
      <c r="A27" s="131" t="s">
        <v>175</v>
      </c>
      <c r="B27" s="132">
        <v>600</v>
      </c>
      <c r="C27" s="132">
        <v>60014</v>
      </c>
      <c r="D27" s="132">
        <v>6050</v>
      </c>
      <c r="E27" s="133" t="s">
        <v>176</v>
      </c>
      <c r="F27" s="135">
        <f t="shared" si="1"/>
        <v>15068</v>
      </c>
      <c r="G27" s="135">
        <v>15068</v>
      </c>
      <c r="H27" s="143"/>
      <c r="I27" s="144"/>
      <c r="J27" s="148"/>
      <c r="K27" s="146"/>
      <c r="L27" s="147"/>
      <c r="M27" s="323"/>
    </row>
    <row r="28" spans="1:13" s="104" customFormat="1" ht="34.5" customHeight="1" thickBot="1">
      <c r="A28" s="131" t="s">
        <v>177</v>
      </c>
      <c r="B28" s="132">
        <v>600</v>
      </c>
      <c r="C28" s="132">
        <v>60014</v>
      </c>
      <c r="D28" s="132">
        <v>6050</v>
      </c>
      <c r="E28" s="133" t="s">
        <v>178</v>
      </c>
      <c r="F28" s="135">
        <f t="shared" si="1"/>
        <v>300000</v>
      </c>
      <c r="G28" s="135">
        <v>300000</v>
      </c>
      <c r="H28" s="157"/>
      <c r="I28" s="158"/>
      <c r="J28" s="159"/>
      <c r="K28" s="160"/>
      <c r="L28" s="156"/>
      <c r="M28" s="324"/>
    </row>
    <row r="29" spans="1:13" s="102" customFormat="1" ht="62.25" customHeight="1" thickBot="1">
      <c r="A29" s="309" t="s">
        <v>179</v>
      </c>
      <c r="B29" s="310">
        <v>600</v>
      </c>
      <c r="C29" s="310">
        <v>60014</v>
      </c>
      <c r="D29" s="310">
        <v>6050</v>
      </c>
      <c r="E29" s="308" t="s">
        <v>381</v>
      </c>
      <c r="F29" s="311">
        <f>12500+23500</f>
        <v>36000</v>
      </c>
      <c r="G29" s="311">
        <v>5000</v>
      </c>
      <c r="H29" s="312"/>
      <c r="I29" s="313"/>
      <c r="J29" s="314" t="s">
        <v>345</v>
      </c>
      <c r="K29" s="319" t="s">
        <v>375</v>
      </c>
      <c r="L29" s="147"/>
      <c r="M29" s="320" t="s">
        <v>368</v>
      </c>
    </row>
    <row r="30" spans="1:13" s="102" customFormat="1" ht="40.5" customHeight="1" thickBot="1">
      <c r="A30" s="309" t="s">
        <v>380</v>
      </c>
      <c r="B30" s="310">
        <v>600</v>
      </c>
      <c r="C30" s="310">
        <v>60014</v>
      </c>
      <c r="D30" s="310">
        <v>6050</v>
      </c>
      <c r="E30" s="369" t="s">
        <v>374</v>
      </c>
      <c r="F30" s="311">
        <v>3244000</v>
      </c>
      <c r="G30" s="311">
        <v>700000</v>
      </c>
      <c r="H30" s="312"/>
      <c r="I30" s="313"/>
      <c r="J30" s="314" t="s">
        <v>377</v>
      </c>
      <c r="K30" s="319"/>
      <c r="L30" s="155" t="s">
        <v>149</v>
      </c>
      <c r="M30" s="324" t="s">
        <v>367</v>
      </c>
    </row>
    <row r="31" spans="1:13" s="103" customFormat="1" ht="27.75" customHeight="1" thickBot="1">
      <c r="A31" s="374" t="s">
        <v>180</v>
      </c>
      <c r="B31" s="374"/>
      <c r="C31" s="374"/>
      <c r="D31" s="374"/>
      <c r="E31" s="374"/>
      <c r="F31" s="126">
        <f>SUM(G31:J31)</f>
        <v>3212469</v>
      </c>
      <c r="G31" s="126">
        <f>SUM(G32:G42)</f>
        <v>1105469</v>
      </c>
      <c r="H31" s="150"/>
      <c r="I31" s="151"/>
      <c r="J31" s="152">
        <f>300000-150000-100000+80000+949000+1028000</f>
        <v>2107000</v>
      </c>
      <c r="K31" s="153"/>
      <c r="L31" s="154"/>
      <c r="M31" s="323"/>
    </row>
    <row r="32" spans="1:13" s="102" customFormat="1" ht="34.5" customHeight="1" thickBot="1">
      <c r="A32" s="131" t="s">
        <v>182</v>
      </c>
      <c r="B32" s="132">
        <v>600</v>
      </c>
      <c r="C32" s="132">
        <v>60014</v>
      </c>
      <c r="D32" s="132">
        <v>6050</v>
      </c>
      <c r="E32" s="161" t="s">
        <v>181</v>
      </c>
      <c r="F32" s="134">
        <f>SUM(G32:H32)</f>
        <v>150000</v>
      </c>
      <c r="G32" s="135">
        <v>150000</v>
      </c>
      <c r="H32" s="162"/>
      <c r="I32" s="163"/>
      <c r="J32" s="164"/>
      <c r="K32" s="165"/>
      <c r="L32" s="166" t="s">
        <v>149</v>
      </c>
      <c r="M32" s="323"/>
    </row>
    <row r="33" spans="1:86" s="102" customFormat="1" ht="34.5" customHeight="1" thickBot="1">
      <c r="A33" s="309" t="s">
        <v>184</v>
      </c>
      <c r="B33" s="310">
        <v>600</v>
      </c>
      <c r="C33" s="310">
        <v>60014</v>
      </c>
      <c r="D33" s="310">
        <v>6050</v>
      </c>
      <c r="E33" s="316" t="s">
        <v>183</v>
      </c>
      <c r="F33" s="317">
        <f>G33+1028000</f>
        <v>1420000</v>
      </c>
      <c r="G33" s="311">
        <f>150000+242000</f>
        <v>392000</v>
      </c>
      <c r="H33" s="311"/>
      <c r="I33" s="318"/>
      <c r="J33" s="314" t="s">
        <v>346</v>
      </c>
      <c r="K33" s="319"/>
      <c r="L33" s="166" t="s">
        <v>149</v>
      </c>
      <c r="M33" s="320" t="s">
        <v>369</v>
      </c>
    </row>
    <row r="34" spans="1:86" s="99" customFormat="1" ht="48.75" customHeight="1" thickBot="1">
      <c r="A34" s="131" t="s">
        <v>186</v>
      </c>
      <c r="B34" s="132">
        <v>600</v>
      </c>
      <c r="C34" s="132">
        <v>60014</v>
      </c>
      <c r="D34" s="132">
        <v>6050</v>
      </c>
      <c r="E34" s="161" t="s">
        <v>185</v>
      </c>
      <c r="F34" s="134">
        <f>SUM(G34:H34)</f>
        <v>200000</v>
      </c>
      <c r="G34" s="135">
        <v>200000</v>
      </c>
      <c r="H34" s="135"/>
      <c r="I34" s="136"/>
      <c r="J34" s="137"/>
      <c r="K34" s="138"/>
      <c r="L34" s="130"/>
      <c r="M34" s="323"/>
    </row>
    <row r="35" spans="1:86" s="99" customFormat="1" ht="33.75" customHeight="1" thickBot="1">
      <c r="A35" s="131" t="s">
        <v>188</v>
      </c>
      <c r="B35" s="132">
        <v>600</v>
      </c>
      <c r="C35" s="132">
        <v>60014</v>
      </c>
      <c r="D35" s="132">
        <v>6050</v>
      </c>
      <c r="E35" s="161" t="s">
        <v>187</v>
      </c>
      <c r="F35" s="134">
        <v>116266</v>
      </c>
      <c r="G35" s="135">
        <f>50000+16266</f>
        <v>66266</v>
      </c>
      <c r="H35" s="135"/>
      <c r="I35" s="136"/>
      <c r="J35" s="137" t="s">
        <v>146</v>
      </c>
      <c r="K35" s="146"/>
      <c r="L35" s="166" t="s">
        <v>149</v>
      </c>
      <c r="M35" s="323"/>
    </row>
    <row r="36" spans="1:86" s="99" customFormat="1" ht="54.75" customHeight="1" thickBot="1">
      <c r="A36" s="131" t="s">
        <v>190</v>
      </c>
      <c r="B36" s="149">
        <v>600</v>
      </c>
      <c r="C36" s="167">
        <v>60014</v>
      </c>
      <c r="D36" s="167">
        <v>6050</v>
      </c>
      <c r="E36" s="168" t="s">
        <v>189</v>
      </c>
      <c r="F36" s="134">
        <v>0</v>
      </c>
      <c r="G36" s="135">
        <v>0</v>
      </c>
      <c r="H36" s="135"/>
      <c r="I36" s="136"/>
      <c r="J36" s="137" t="s">
        <v>159</v>
      </c>
      <c r="K36" s="146"/>
      <c r="L36" s="130"/>
      <c r="M36" s="323"/>
    </row>
    <row r="37" spans="1:86" s="99" customFormat="1" ht="39" customHeight="1" thickBot="1">
      <c r="A37" s="131" t="s">
        <v>192</v>
      </c>
      <c r="B37" s="149">
        <v>600</v>
      </c>
      <c r="C37" s="149">
        <v>60014</v>
      </c>
      <c r="D37" s="167">
        <v>6050</v>
      </c>
      <c r="E37" s="133" t="s">
        <v>191</v>
      </c>
      <c r="F37" s="134">
        <f>G37</f>
        <v>45203</v>
      </c>
      <c r="G37" s="135">
        <v>45203</v>
      </c>
      <c r="H37" s="135"/>
      <c r="I37" s="136"/>
      <c r="J37" s="137"/>
      <c r="K37" s="146"/>
      <c r="L37" s="130"/>
      <c r="M37" s="323"/>
    </row>
    <row r="38" spans="1:86" s="99" customFormat="1" ht="39.75" customHeight="1" thickBot="1">
      <c r="A38" s="131" t="s">
        <v>195</v>
      </c>
      <c r="B38" s="149">
        <v>600</v>
      </c>
      <c r="C38" s="149">
        <v>60014</v>
      </c>
      <c r="D38" s="167">
        <v>6050</v>
      </c>
      <c r="E38" s="133" t="s">
        <v>193</v>
      </c>
      <c r="F38" s="134">
        <v>0</v>
      </c>
      <c r="G38" s="135">
        <v>0</v>
      </c>
      <c r="H38" s="135"/>
      <c r="I38" s="136"/>
      <c r="J38" s="137" t="s">
        <v>194</v>
      </c>
      <c r="K38" s="146"/>
      <c r="L38" s="130"/>
      <c r="M38" s="323"/>
    </row>
    <row r="39" spans="1:86" s="99" customFormat="1" ht="42" customHeight="1" thickBot="1">
      <c r="A39" s="131" t="s">
        <v>198</v>
      </c>
      <c r="B39" s="149">
        <v>600</v>
      </c>
      <c r="C39" s="149">
        <v>60014</v>
      </c>
      <c r="D39" s="167">
        <v>6050</v>
      </c>
      <c r="E39" s="169" t="s">
        <v>196</v>
      </c>
      <c r="F39" s="134">
        <v>90000</v>
      </c>
      <c r="G39" s="135">
        <v>50000</v>
      </c>
      <c r="H39" s="135"/>
      <c r="I39" s="136"/>
      <c r="J39" s="137" t="s">
        <v>197</v>
      </c>
      <c r="K39" s="146"/>
      <c r="L39" s="166" t="s">
        <v>149</v>
      </c>
      <c r="M39" s="323"/>
    </row>
    <row r="40" spans="1:86" s="99" customFormat="1" ht="41.25" customHeight="1" thickBot="1">
      <c r="A40" s="131" t="s">
        <v>200</v>
      </c>
      <c r="B40" s="149">
        <v>600</v>
      </c>
      <c r="C40" s="149">
        <v>60014</v>
      </c>
      <c r="D40" s="167">
        <v>6050</v>
      </c>
      <c r="E40" s="105" t="s">
        <v>199</v>
      </c>
      <c r="F40" s="134">
        <v>90000</v>
      </c>
      <c r="G40" s="135">
        <v>50000</v>
      </c>
      <c r="H40" s="135"/>
      <c r="I40" s="136"/>
      <c r="J40" s="137" t="s">
        <v>197</v>
      </c>
      <c r="K40" s="146"/>
      <c r="L40" s="166" t="s">
        <v>149</v>
      </c>
      <c r="M40" s="323"/>
    </row>
    <row r="41" spans="1:86" s="99" customFormat="1" ht="33.75" customHeight="1" thickBot="1">
      <c r="A41" s="131" t="s">
        <v>203</v>
      </c>
      <c r="B41" s="149">
        <v>600</v>
      </c>
      <c r="C41" s="149">
        <v>60014</v>
      </c>
      <c r="D41" s="167">
        <v>6050</v>
      </c>
      <c r="E41" s="170" t="s">
        <v>201</v>
      </c>
      <c r="F41" s="134">
        <f>G41</f>
        <v>150000</v>
      </c>
      <c r="G41" s="135">
        <v>150000</v>
      </c>
      <c r="H41" s="135"/>
      <c r="I41" s="136"/>
      <c r="J41" s="137"/>
      <c r="K41" s="146"/>
      <c r="L41" s="171"/>
      <c r="M41" s="323"/>
    </row>
    <row r="42" spans="1:86" s="101" customFormat="1" ht="41.25" customHeight="1" thickBot="1">
      <c r="A42" s="309" t="s">
        <v>205</v>
      </c>
      <c r="B42" s="326">
        <v>600</v>
      </c>
      <c r="C42" s="326">
        <v>60014</v>
      </c>
      <c r="D42" s="327">
        <v>6050</v>
      </c>
      <c r="E42" s="328" t="s">
        <v>340</v>
      </c>
      <c r="F42" s="317">
        <f>949000+G42</f>
        <v>951000</v>
      </c>
      <c r="G42" s="311">
        <v>2000</v>
      </c>
      <c r="H42" s="311"/>
      <c r="I42" s="318"/>
      <c r="J42" s="314" t="s">
        <v>341</v>
      </c>
      <c r="K42" s="315"/>
      <c r="L42" s="155" t="s">
        <v>149</v>
      </c>
      <c r="M42" s="324" t="s">
        <v>370</v>
      </c>
    </row>
    <row r="43" spans="1:86" s="106" customFormat="1" ht="27" customHeight="1" thickBot="1">
      <c r="A43" s="374" t="s">
        <v>202</v>
      </c>
      <c r="B43" s="374"/>
      <c r="C43" s="374"/>
      <c r="D43" s="374"/>
      <c r="E43" s="374"/>
      <c r="F43" s="126">
        <f>SUM(G43:J43)</f>
        <v>800000</v>
      </c>
      <c r="G43" s="126">
        <f>SUM(G44:G49)</f>
        <v>700000</v>
      </c>
      <c r="H43" s="150"/>
      <c r="I43" s="151"/>
      <c r="J43" s="152">
        <v>100000</v>
      </c>
      <c r="K43" s="172"/>
      <c r="L43" s="173"/>
      <c r="M43" s="32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</row>
    <row r="44" spans="1:86" s="107" customFormat="1" ht="30" customHeight="1" thickBot="1">
      <c r="A44" s="131" t="s">
        <v>207</v>
      </c>
      <c r="B44" s="132">
        <v>600</v>
      </c>
      <c r="C44" s="132">
        <v>60014</v>
      </c>
      <c r="D44" s="132">
        <v>6050</v>
      </c>
      <c r="E44" s="139" t="s">
        <v>204</v>
      </c>
      <c r="F44" s="134">
        <v>150000</v>
      </c>
      <c r="G44" s="135">
        <v>100000</v>
      </c>
      <c r="H44" s="135"/>
      <c r="I44" s="136"/>
      <c r="J44" s="137" t="s">
        <v>146</v>
      </c>
      <c r="K44" s="146"/>
      <c r="L44" s="166" t="s">
        <v>149</v>
      </c>
      <c r="M44" s="323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</row>
    <row r="45" spans="1:86" s="107" customFormat="1" ht="30" customHeight="1" thickBot="1">
      <c r="A45" s="131" t="s">
        <v>209</v>
      </c>
      <c r="B45" s="132">
        <v>600</v>
      </c>
      <c r="C45" s="132">
        <v>60014</v>
      </c>
      <c r="D45" s="132">
        <v>6050</v>
      </c>
      <c r="E45" s="139" t="s">
        <v>206</v>
      </c>
      <c r="F45" s="134">
        <v>200000</v>
      </c>
      <c r="G45" s="135">
        <v>150000</v>
      </c>
      <c r="H45" s="135"/>
      <c r="I45" s="136"/>
      <c r="J45" s="137" t="s">
        <v>146</v>
      </c>
      <c r="K45" s="146"/>
      <c r="L45" s="166" t="s">
        <v>149</v>
      </c>
      <c r="M45" s="323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</row>
    <row r="46" spans="1:86" s="107" customFormat="1" ht="30" customHeight="1" thickBot="1">
      <c r="A46" s="131" t="s">
        <v>211</v>
      </c>
      <c r="B46" s="132">
        <v>600</v>
      </c>
      <c r="C46" s="132">
        <v>60014</v>
      </c>
      <c r="D46" s="132">
        <v>6050</v>
      </c>
      <c r="E46" s="161" t="s">
        <v>208</v>
      </c>
      <c r="F46" s="134">
        <f>SUM(G46)</f>
        <v>150000</v>
      </c>
      <c r="G46" s="135">
        <v>150000</v>
      </c>
      <c r="H46" s="135"/>
      <c r="I46" s="136"/>
      <c r="J46" s="137"/>
      <c r="K46" s="146"/>
      <c r="L46" s="147"/>
      <c r="M46" s="323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</row>
    <row r="47" spans="1:86" s="107" customFormat="1" ht="35.25" customHeight="1" thickBot="1">
      <c r="A47" s="131" t="s">
        <v>213</v>
      </c>
      <c r="B47" s="132">
        <v>600</v>
      </c>
      <c r="C47" s="132">
        <v>60014</v>
      </c>
      <c r="D47" s="132">
        <v>6050</v>
      </c>
      <c r="E47" s="161" t="s">
        <v>210</v>
      </c>
      <c r="F47" s="134">
        <f>SUM(G47)</f>
        <v>150000</v>
      </c>
      <c r="G47" s="134">
        <v>150000</v>
      </c>
      <c r="H47" s="174"/>
      <c r="I47" s="144"/>
      <c r="J47" s="148"/>
      <c r="K47" s="146"/>
      <c r="L47" s="175"/>
      <c r="M47" s="323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</row>
    <row r="48" spans="1:86" s="102" customFormat="1" ht="30.75" customHeight="1" thickBot="1">
      <c r="A48" s="131" t="s">
        <v>216</v>
      </c>
      <c r="B48" s="132">
        <v>600</v>
      </c>
      <c r="C48" s="132">
        <v>60014</v>
      </c>
      <c r="D48" s="132">
        <v>6050</v>
      </c>
      <c r="E48" s="161" t="s">
        <v>212</v>
      </c>
      <c r="F48" s="134">
        <f>SUM(G48)</f>
        <v>50000</v>
      </c>
      <c r="G48" s="134">
        <v>50000</v>
      </c>
      <c r="H48" s="134"/>
      <c r="I48" s="136"/>
      <c r="J48" s="137"/>
      <c r="K48" s="138"/>
      <c r="L48" s="130"/>
      <c r="M48" s="323"/>
    </row>
    <row r="49" spans="1:86" s="102" customFormat="1" ht="36" customHeight="1" thickBot="1">
      <c r="A49" s="131" t="s">
        <v>218</v>
      </c>
      <c r="B49" s="132">
        <v>600</v>
      </c>
      <c r="C49" s="132">
        <v>60014</v>
      </c>
      <c r="D49" s="132">
        <v>6050</v>
      </c>
      <c r="E49" s="161" t="s">
        <v>214</v>
      </c>
      <c r="F49" s="134">
        <f>SUM(G49)</f>
        <v>100000</v>
      </c>
      <c r="G49" s="134">
        <v>100000</v>
      </c>
      <c r="H49" s="134"/>
      <c r="I49" s="136"/>
      <c r="J49" s="137"/>
      <c r="K49" s="138"/>
      <c r="L49" s="166" t="s">
        <v>149</v>
      </c>
      <c r="M49" s="323"/>
    </row>
    <row r="50" spans="1:86" s="107" customFormat="1" ht="30.75" customHeight="1" thickBot="1">
      <c r="A50" s="374" t="s">
        <v>215</v>
      </c>
      <c r="B50" s="374"/>
      <c r="C50" s="374"/>
      <c r="D50" s="374"/>
      <c r="E50" s="374"/>
      <c r="F50" s="126">
        <f>SUM(G50:J50)</f>
        <v>300000</v>
      </c>
      <c r="G50" s="126">
        <f>SUM(G51:G53)</f>
        <v>300000</v>
      </c>
      <c r="H50" s="176"/>
      <c r="I50" s="151"/>
      <c r="J50" s="152">
        <f>100000-100000</f>
        <v>0</v>
      </c>
      <c r="K50" s="172"/>
      <c r="L50" s="177"/>
      <c r="M50" s="323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</row>
    <row r="51" spans="1:86" s="107" customFormat="1" ht="30" customHeight="1" thickBot="1">
      <c r="A51" s="131" t="s">
        <v>220</v>
      </c>
      <c r="B51" s="132">
        <v>600</v>
      </c>
      <c r="C51" s="132">
        <v>60014</v>
      </c>
      <c r="D51" s="132">
        <v>6050</v>
      </c>
      <c r="E51" s="108" t="s">
        <v>217</v>
      </c>
      <c r="F51" s="134">
        <f>G51</f>
        <v>30000</v>
      </c>
      <c r="G51" s="134">
        <v>30000</v>
      </c>
      <c r="H51" s="143"/>
      <c r="I51" s="144"/>
      <c r="J51" s="148"/>
      <c r="K51" s="146"/>
      <c r="L51" s="147"/>
      <c r="M51" s="323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</row>
    <row r="52" spans="1:86" s="102" customFormat="1" ht="31.5" customHeight="1" thickBot="1">
      <c r="A52" s="131" t="s">
        <v>223</v>
      </c>
      <c r="B52" s="132">
        <v>600</v>
      </c>
      <c r="C52" s="132">
        <v>60014</v>
      </c>
      <c r="D52" s="132">
        <v>6050</v>
      </c>
      <c r="E52" s="161" t="s">
        <v>219</v>
      </c>
      <c r="F52" s="134">
        <v>20000</v>
      </c>
      <c r="G52" s="134">
        <v>20000</v>
      </c>
      <c r="H52" s="174"/>
      <c r="I52" s="144"/>
      <c r="J52" s="137" t="s">
        <v>194</v>
      </c>
      <c r="K52" s="138" t="s">
        <v>151</v>
      </c>
      <c r="L52" s="166" t="s">
        <v>149</v>
      </c>
      <c r="M52" s="323"/>
    </row>
    <row r="53" spans="1:86" s="102" customFormat="1" ht="30" customHeight="1" thickBot="1">
      <c r="A53" s="131" t="s">
        <v>226</v>
      </c>
      <c r="B53" s="132">
        <v>600</v>
      </c>
      <c r="C53" s="132">
        <v>60014</v>
      </c>
      <c r="D53" s="132">
        <v>6050</v>
      </c>
      <c r="E53" s="161" t="s">
        <v>221</v>
      </c>
      <c r="F53" s="134">
        <f>G53</f>
        <v>250000</v>
      </c>
      <c r="G53" s="134">
        <v>250000</v>
      </c>
      <c r="H53" s="174"/>
      <c r="I53" s="144"/>
      <c r="J53" s="137" t="s">
        <v>159</v>
      </c>
      <c r="K53" s="146"/>
      <c r="L53" s="166" t="s">
        <v>149</v>
      </c>
      <c r="M53" s="323"/>
    </row>
    <row r="54" spans="1:86" s="107" customFormat="1" ht="32.25" customHeight="1" thickBot="1">
      <c r="A54" s="374" t="s">
        <v>222</v>
      </c>
      <c r="B54" s="374"/>
      <c r="C54" s="374"/>
      <c r="D54" s="374"/>
      <c r="E54" s="374"/>
      <c r="F54" s="126">
        <f>SUM(G54:J54)</f>
        <v>701044</v>
      </c>
      <c r="G54" s="126">
        <f>SUM(G55:G57)</f>
        <v>301044</v>
      </c>
      <c r="H54" s="176"/>
      <c r="I54" s="151"/>
      <c r="J54" s="152">
        <v>400000</v>
      </c>
      <c r="K54" s="178"/>
      <c r="L54" s="179"/>
      <c r="M54" s="323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</row>
    <row r="55" spans="1:86" s="102" customFormat="1" ht="36.75" customHeight="1" thickBot="1">
      <c r="A55" s="131" t="s">
        <v>228</v>
      </c>
      <c r="B55" s="132">
        <v>600</v>
      </c>
      <c r="C55" s="132">
        <v>60014</v>
      </c>
      <c r="D55" s="132">
        <v>6050</v>
      </c>
      <c r="E55" s="139" t="s">
        <v>224</v>
      </c>
      <c r="F55" s="134">
        <f>300000+50000</f>
        <v>350000</v>
      </c>
      <c r="G55" s="135">
        <f>100000+50000</f>
        <v>150000</v>
      </c>
      <c r="H55" s="135"/>
      <c r="I55" s="136"/>
      <c r="J55" s="137" t="s">
        <v>225</v>
      </c>
      <c r="K55" s="146"/>
      <c r="L55" s="166" t="s">
        <v>149</v>
      </c>
      <c r="M55" s="323"/>
    </row>
    <row r="56" spans="1:86" s="102" customFormat="1" ht="39" customHeight="1" thickBot="1">
      <c r="A56" s="131" t="s">
        <v>231</v>
      </c>
      <c r="B56" s="132">
        <v>600</v>
      </c>
      <c r="C56" s="132">
        <v>60014</v>
      </c>
      <c r="D56" s="132">
        <v>6050</v>
      </c>
      <c r="E56" s="139" t="s">
        <v>227</v>
      </c>
      <c r="F56" s="134">
        <f>300000+50000</f>
        <v>350000</v>
      </c>
      <c r="G56" s="135">
        <f>100000+50000</f>
        <v>150000</v>
      </c>
      <c r="H56" s="135"/>
      <c r="I56" s="136"/>
      <c r="J56" s="137" t="s">
        <v>225</v>
      </c>
      <c r="K56" s="146"/>
      <c r="L56" s="166" t="s">
        <v>149</v>
      </c>
      <c r="M56" s="323"/>
    </row>
    <row r="57" spans="1:86" s="102" customFormat="1" ht="39" customHeight="1" thickBot="1">
      <c r="A57" s="309" t="s">
        <v>233</v>
      </c>
      <c r="B57" s="310">
        <v>600</v>
      </c>
      <c r="C57" s="310">
        <v>60014</v>
      </c>
      <c r="D57" s="310">
        <v>6050</v>
      </c>
      <c r="E57" s="308" t="s">
        <v>229</v>
      </c>
      <c r="F57" s="317">
        <f>G57</f>
        <v>1044</v>
      </c>
      <c r="G57" s="311">
        <f>200000-198956</f>
        <v>1044</v>
      </c>
      <c r="H57" s="311"/>
      <c r="I57" s="318"/>
      <c r="J57" s="314"/>
      <c r="K57" s="315"/>
      <c r="L57" s="166" t="s">
        <v>149</v>
      </c>
      <c r="M57" s="323" t="s">
        <v>373</v>
      </c>
    </row>
    <row r="58" spans="1:86" s="102" customFormat="1" ht="33" customHeight="1" thickBot="1">
      <c r="A58" s="374" t="s">
        <v>230</v>
      </c>
      <c r="B58" s="374"/>
      <c r="C58" s="374"/>
      <c r="D58" s="374"/>
      <c r="E58" s="374"/>
      <c r="F58" s="126">
        <f>SUM(G58:J58)</f>
        <v>836000</v>
      </c>
      <c r="G58" s="126">
        <f>SUM(G59:G66)</f>
        <v>816000</v>
      </c>
      <c r="H58" s="140"/>
      <c r="I58" s="141"/>
      <c r="J58" s="152">
        <f>140000-100000-20000</f>
        <v>20000</v>
      </c>
      <c r="K58" s="153"/>
      <c r="L58" s="142"/>
      <c r="M58" s="323"/>
    </row>
    <row r="59" spans="1:86" s="102" customFormat="1" ht="30" customHeight="1" thickBot="1">
      <c r="A59" s="131" t="s">
        <v>235</v>
      </c>
      <c r="B59" s="132">
        <v>600</v>
      </c>
      <c r="C59" s="132">
        <v>60014</v>
      </c>
      <c r="D59" s="132">
        <v>6050</v>
      </c>
      <c r="E59" s="139" t="s">
        <v>232</v>
      </c>
      <c r="F59" s="134">
        <f>G59</f>
        <v>146000</v>
      </c>
      <c r="G59" s="135">
        <v>146000</v>
      </c>
      <c r="H59" s="143"/>
      <c r="I59" s="144"/>
      <c r="J59" s="148"/>
      <c r="K59" s="146"/>
      <c r="L59" s="166" t="s">
        <v>149</v>
      </c>
      <c r="M59" s="323"/>
    </row>
    <row r="60" spans="1:86" s="107" customFormat="1" ht="30" customHeight="1" thickBot="1">
      <c r="A60" s="131" t="s">
        <v>237</v>
      </c>
      <c r="B60" s="132">
        <v>600</v>
      </c>
      <c r="C60" s="132">
        <v>60014</v>
      </c>
      <c r="D60" s="132">
        <v>6050</v>
      </c>
      <c r="E60" s="139" t="s">
        <v>234</v>
      </c>
      <c r="F60" s="180">
        <f>SUM(G60:H60)</f>
        <v>100000</v>
      </c>
      <c r="G60" s="135">
        <v>100000</v>
      </c>
      <c r="H60" s="143"/>
      <c r="I60" s="144"/>
      <c r="J60" s="148"/>
      <c r="K60" s="146"/>
      <c r="L60" s="171" t="s">
        <v>149</v>
      </c>
      <c r="M60" s="323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</row>
    <row r="61" spans="1:86" s="110" customFormat="1" ht="30" customHeight="1" thickBot="1">
      <c r="A61" s="131" t="s">
        <v>239</v>
      </c>
      <c r="B61" s="132">
        <v>600</v>
      </c>
      <c r="C61" s="132">
        <v>60014</v>
      </c>
      <c r="D61" s="132">
        <v>6050</v>
      </c>
      <c r="E61" s="181" t="s">
        <v>236</v>
      </c>
      <c r="F61" s="182">
        <f>SUM(G61)</f>
        <v>120000</v>
      </c>
      <c r="G61" s="182">
        <v>120000</v>
      </c>
      <c r="H61" s="182"/>
      <c r="I61" s="163"/>
      <c r="J61" s="164"/>
      <c r="K61" s="165"/>
      <c r="L61" s="183"/>
      <c r="M61" s="324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</row>
    <row r="62" spans="1:86" s="110" customFormat="1" ht="30" customHeight="1" thickBot="1">
      <c r="A62" s="131" t="s">
        <v>241</v>
      </c>
      <c r="B62" s="132">
        <v>600</v>
      </c>
      <c r="C62" s="132">
        <v>60014</v>
      </c>
      <c r="D62" s="132">
        <v>605</v>
      </c>
      <c r="E62" s="184" t="s">
        <v>238</v>
      </c>
      <c r="F62" s="134">
        <f>SUM(G62)</f>
        <v>50000</v>
      </c>
      <c r="G62" s="134">
        <v>50000</v>
      </c>
      <c r="H62" s="134"/>
      <c r="I62" s="136"/>
      <c r="J62" s="137"/>
      <c r="K62" s="138"/>
      <c r="L62" s="155" t="s">
        <v>149</v>
      </c>
      <c r="M62" s="324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</row>
    <row r="63" spans="1:86" s="99" customFormat="1" ht="39.6" customHeight="1" thickBot="1">
      <c r="A63" s="131" t="s">
        <v>244</v>
      </c>
      <c r="B63" s="132">
        <v>600</v>
      </c>
      <c r="C63" s="132">
        <v>60014</v>
      </c>
      <c r="D63" s="132">
        <v>605</v>
      </c>
      <c r="E63" s="184" t="s">
        <v>240</v>
      </c>
      <c r="F63" s="134">
        <f>G63</f>
        <v>0</v>
      </c>
      <c r="G63" s="134">
        <v>0</v>
      </c>
      <c r="H63" s="134"/>
      <c r="I63" s="136"/>
      <c r="J63" s="137"/>
      <c r="K63" s="138"/>
      <c r="L63" s="130" t="s">
        <v>149</v>
      </c>
      <c r="M63" s="323"/>
    </row>
    <row r="64" spans="1:86" s="99" customFormat="1" ht="39.6" customHeight="1" thickBot="1">
      <c r="A64" s="131" t="s">
        <v>246</v>
      </c>
      <c r="B64" s="132">
        <v>600</v>
      </c>
      <c r="C64" s="132">
        <v>60014</v>
      </c>
      <c r="D64" s="132">
        <v>605</v>
      </c>
      <c r="E64" s="184" t="s">
        <v>242</v>
      </c>
      <c r="F64" s="134">
        <v>20000</v>
      </c>
      <c r="G64" s="134"/>
      <c r="H64" s="134"/>
      <c r="I64" s="136"/>
      <c r="J64" s="137" t="s">
        <v>243</v>
      </c>
      <c r="K64" s="138"/>
      <c r="L64" s="130"/>
      <c r="M64" s="323"/>
    </row>
    <row r="65" spans="1:86" s="99" customFormat="1" ht="36" customHeight="1" thickBot="1">
      <c r="A65" s="131" t="s">
        <v>249</v>
      </c>
      <c r="B65" s="132">
        <v>600</v>
      </c>
      <c r="C65" s="132">
        <v>60014</v>
      </c>
      <c r="D65" s="132">
        <v>605</v>
      </c>
      <c r="E65" s="184" t="s">
        <v>245</v>
      </c>
      <c r="F65" s="134">
        <v>300000</v>
      </c>
      <c r="G65" s="134">
        <f>200000+100000</f>
        <v>300000</v>
      </c>
      <c r="H65" s="134"/>
      <c r="I65" s="136"/>
      <c r="J65" s="137" t="s">
        <v>159</v>
      </c>
      <c r="K65" s="138"/>
      <c r="L65" s="130"/>
      <c r="M65" s="323"/>
    </row>
    <row r="66" spans="1:86" s="110" customFormat="1" ht="30.75" customHeight="1" thickBot="1">
      <c r="A66" s="131" t="s">
        <v>252</v>
      </c>
      <c r="B66" s="132">
        <v>600</v>
      </c>
      <c r="C66" s="132">
        <v>60014</v>
      </c>
      <c r="D66" s="132">
        <v>605</v>
      </c>
      <c r="E66" s="184" t="s">
        <v>247</v>
      </c>
      <c r="F66" s="134">
        <f>G66</f>
        <v>100000</v>
      </c>
      <c r="G66" s="134">
        <v>100000</v>
      </c>
      <c r="H66" s="134"/>
      <c r="I66" s="136"/>
      <c r="J66" s="137"/>
      <c r="K66" s="138"/>
      <c r="L66" s="155" t="s">
        <v>149</v>
      </c>
      <c r="M66" s="324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</row>
    <row r="67" spans="1:86" s="110" customFormat="1" ht="21.75" customHeight="1" thickBot="1">
      <c r="A67" s="374" t="s">
        <v>248</v>
      </c>
      <c r="B67" s="374"/>
      <c r="C67" s="374"/>
      <c r="D67" s="374"/>
      <c r="E67" s="374"/>
      <c r="F67" s="126">
        <f>SUM(G67:J67)</f>
        <v>200000</v>
      </c>
      <c r="G67" s="126">
        <f>SUM(G68:G68)</f>
        <v>200000</v>
      </c>
      <c r="H67" s="126"/>
      <c r="I67" s="141"/>
      <c r="J67" s="185"/>
      <c r="K67" s="128"/>
      <c r="L67" s="186"/>
      <c r="M67" s="324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</row>
    <row r="68" spans="1:86" s="107" customFormat="1" ht="30" customHeight="1" thickBot="1">
      <c r="A68" s="131" t="s">
        <v>254</v>
      </c>
      <c r="B68" s="187">
        <v>600</v>
      </c>
      <c r="C68" s="187">
        <v>60014</v>
      </c>
      <c r="D68" s="187">
        <v>6060</v>
      </c>
      <c r="E68" s="188" t="s">
        <v>250</v>
      </c>
      <c r="F68" s="180">
        <f>SUM(G68:H68)</f>
        <v>200000</v>
      </c>
      <c r="G68" s="180">
        <v>200000</v>
      </c>
      <c r="H68" s="189"/>
      <c r="I68" s="190"/>
      <c r="J68" s="190"/>
      <c r="K68" s="191"/>
      <c r="L68" s="147"/>
      <c r="M68" s="323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</row>
    <row r="69" spans="1:86" s="103" customFormat="1" ht="27" customHeight="1" thickBot="1">
      <c r="A69" s="372" t="s">
        <v>251</v>
      </c>
      <c r="B69" s="372"/>
      <c r="C69" s="372"/>
      <c r="D69" s="372"/>
      <c r="E69" s="372"/>
      <c r="F69" s="192">
        <f>SUM(F7,F12,F21,F31,F43,F50,F54,F58,F67)</f>
        <v>12973664</v>
      </c>
      <c r="G69" s="192">
        <f>SUM(G7,G12,G21,G31,G43,G50,G54,G58,G67)</f>
        <v>5964664</v>
      </c>
      <c r="H69" s="192">
        <f>SUM(H7:H68)</f>
        <v>0</v>
      </c>
      <c r="I69" s="192"/>
      <c r="J69" s="192">
        <f>SUM(J7,J12,J21,J31,J43,J50,J54,J58)</f>
        <v>7009000</v>
      </c>
      <c r="K69" s="193"/>
      <c r="L69" s="194"/>
      <c r="M69" s="323"/>
    </row>
    <row r="70" spans="1:86" s="111" customFormat="1" ht="36" customHeight="1" thickBot="1">
      <c r="A70" s="195" t="s">
        <v>258</v>
      </c>
      <c r="B70" s="132">
        <v>700</v>
      </c>
      <c r="C70" s="132">
        <v>70005</v>
      </c>
      <c r="D70" s="132">
        <v>6050</v>
      </c>
      <c r="E70" s="136" t="s">
        <v>253</v>
      </c>
      <c r="F70" s="134">
        <f>SUM(G70)</f>
        <v>20700</v>
      </c>
      <c r="G70" s="134">
        <v>20700</v>
      </c>
      <c r="H70" s="134"/>
      <c r="I70" s="136"/>
      <c r="J70" s="136"/>
      <c r="K70" s="138"/>
      <c r="L70" s="130"/>
      <c r="M70" s="32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</row>
    <row r="71" spans="1:86" s="102" customFormat="1" ht="48" customHeight="1" thickBot="1">
      <c r="A71" s="131" t="s">
        <v>261</v>
      </c>
      <c r="B71" s="132">
        <v>700</v>
      </c>
      <c r="C71" s="132">
        <v>70005</v>
      </c>
      <c r="D71" s="132">
        <v>6050</v>
      </c>
      <c r="E71" s="136" t="s">
        <v>255</v>
      </c>
      <c r="F71" s="134">
        <v>110000</v>
      </c>
      <c r="G71" s="134">
        <v>50000</v>
      </c>
      <c r="H71" s="134"/>
      <c r="I71" s="136"/>
      <c r="J71" s="137" t="s">
        <v>256</v>
      </c>
      <c r="K71" s="138"/>
      <c r="L71" s="130"/>
      <c r="M71" s="323"/>
    </row>
    <row r="72" spans="1:86" s="112" customFormat="1" ht="27" customHeight="1" thickBot="1">
      <c r="A72" s="372" t="s">
        <v>257</v>
      </c>
      <c r="B72" s="372"/>
      <c r="C72" s="372"/>
      <c r="D72" s="372"/>
      <c r="E72" s="372"/>
      <c r="F72" s="192">
        <f>SUM(F70:F71)</f>
        <v>130700</v>
      </c>
      <c r="G72" s="192">
        <f>SUM(G70:G71)</f>
        <v>70700</v>
      </c>
      <c r="H72" s="192">
        <f>SUM(H70:H70)</f>
        <v>0</v>
      </c>
      <c r="I72" s="192"/>
      <c r="J72" s="192">
        <v>60000</v>
      </c>
      <c r="K72" s="193"/>
      <c r="L72" s="196"/>
      <c r="M72" s="323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</row>
    <row r="73" spans="1:86" s="104" customFormat="1" ht="39" customHeight="1" thickBot="1">
      <c r="A73" s="132" t="s">
        <v>264</v>
      </c>
      <c r="B73" s="132">
        <v>710</v>
      </c>
      <c r="C73" s="132">
        <v>71095</v>
      </c>
      <c r="D73" s="132">
        <v>6639</v>
      </c>
      <c r="E73" s="136" t="s">
        <v>259</v>
      </c>
      <c r="F73" s="134">
        <f>G73</f>
        <v>70572</v>
      </c>
      <c r="G73" s="134">
        <f>80330-9758</f>
        <v>70572</v>
      </c>
      <c r="H73" s="134"/>
      <c r="I73" s="136"/>
      <c r="J73" s="136"/>
      <c r="K73" s="138"/>
      <c r="L73" s="197" t="s">
        <v>149</v>
      </c>
      <c r="M73" s="324"/>
    </row>
    <row r="74" spans="1:86" s="102" customFormat="1" ht="27" customHeight="1" thickBot="1">
      <c r="A74" s="372" t="s">
        <v>260</v>
      </c>
      <c r="B74" s="372"/>
      <c r="C74" s="372"/>
      <c r="D74" s="372"/>
      <c r="E74" s="372"/>
      <c r="F74" s="192">
        <f>F73</f>
        <v>70572</v>
      </c>
      <c r="G74" s="192">
        <f>G73</f>
        <v>70572</v>
      </c>
      <c r="H74" s="192">
        <f>H73</f>
        <v>0</v>
      </c>
      <c r="I74" s="192"/>
      <c r="J74" s="192"/>
      <c r="K74" s="193"/>
      <c r="L74" s="196"/>
      <c r="M74" s="323"/>
    </row>
    <row r="75" spans="1:86" s="99" customFormat="1" ht="30" customHeight="1" thickBot="1">
      <c r="A75" s="131" t="s">
        <v>266</v>
      </c>
      <c r="B75" s="132">
        <v>750</v>
      </c>
      <c r="C75" s="132">
        <v>75019</v>
      </c>
      <c r="D75" s="132">
        <v>6060</v>
      </c>
      <c r="E75" s="139" t="s">
        <v>262</v>
      </c>
      <c r="F75" s="134">
        <f>SUM(G75:H75)</f>
        <v>31980</v>
      </c>
      <c r="G75" s="134">
        <f>50000-15000-3020</f>
        <v>31980</v>
      </c>
      <c r="H75" s="134"/>
      <c r="I75" s="144"/>
      <c r="J75" s="144"/>
      <c r="K75" s="146"/>
      <c r="L75" s="198"/>
      <c r="M75" s="323"/>
    </row>
    <row r="76" spans="1:86" s="107" customFormat="1" ht="27" customHeight="1" thickBot="1">
      <c r="A76" s="372" t="s">
        <v>263</v>
      </c>
      <c r="B76" s="372"/>
      <c r="C76" s="372"/>
      <c r="D76" s="372"/>
      <c r="E76" s="372"/>
      <c r="F76" s="192">
        <f>SUM(F75:F75)</f>
        <v>31980</v>
      </c>
      <c r="G76" s="192">
        <f>SUM(G75:G75)</f>
        <v>31980</v>
      </c>
      <c r="H76" s="192"/>
      <c r="I76" s="199"/>
      <c r="J76" s="199"/>
      <c r="K76" s="193"/>
      <c r="L76" s="196"/>
      <c r="M76" s="323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</row>
    <row r="77" spans="1:86" s="113" customFormat="1" ht="51" customHeight="1" thickBot="1">
      <c r="A77" s="237" t="s">
        <v>269</v>
      </c>
      <c r="B77" s="237">
        <v>750</v>
      </c>
      <c r="C77" s="237">
        <v>75020</v>
      </c>
      <c r="D77" s="237">
        <v>6050</v>
      </c>
      <c r="E77" s="302" t="s">
        <v>265</v>
      </c>
      <c r="F77" s="239">
        <f>SUM(G77:H77)</f>
        <v>280000</v>
      </c>
      <c r="G77" s="239">
        <f>200000+80000</f>
        <v>280000</v>
      </c>
      <c r="H77" s="239"/>
      <c r="I77" s="295"/>
      <c r="J77" s="295"/>
      <c r="K77" s="243"/>
      <c r="L77" s="201" t="s">
        <v>149</v>
      </c>
      <c r="M77" s="323"/>
    </row>
    <row r="78" spans="1:86" s="102" customFormat="1" ht="30.75" customHeight="1" thickBot="1">
      <c r="A78" s="202" t="s">
        <v>273</v>
      </c>
      <c r="B78" s="132">
        <v>750</v>
      </c>
      <c r="C78" s="132">
        <v>75020</v>
      </c>
      <c r="D78" s="132">
        <v>6060</v>
      </c>
      <c r="E78" s="203" t="s">
        <v>267</v>
      </c>
      <c r="F78" s="134">
        <f>G78</f>
        <v>50000</v>
      </c>
      <c r="G78" s="134">
        <v>50000</v>
      </c>
      <c r="H78" s="134"/>
      <c r="I78" s="136"/>
      <c r="J78" s="136"/>
      <c r="K78" s="200"/>
      <c r="L78" s="204"/>
      <c r="M78" s="323"/>
    </row>
    <row r="79" spans="1:86" s="104" customFormat="1" ht="27" customHeight="1" thickBot="1">
      <c r="A79" s="372" t="s">
        <v>268</v>
      </c>
      <c r="B79" s="372"/>
      <c r="C79" s="372"/>
      <c r="D79" s="372"/>
      <c r="E79" s="372"/>
      <c r="F79" s="192">
        <f>SUM(F77:F78)</f>
        <v>330000</v>
      </c>
      <c r="G79" s="192">
        <f>SUM(G77:G78)</f>
        <v>330000</v>
      </c>
      <c r="H79" s="192"/>
      <c r="I79" s="199"/>
      <c r="J79" s="199"/>
      <c r="K79" s="193"/>
      <c r="L79" s="205"/>
      <c r="M79" s="324"/>
    </row>
    <row r="80" spans="1:86" s="102" customFormat="1" ht="38.25" customHeight="1" thickBot="1">
      <c r="A80" s="132" t="s">
        <v>276</v>
      </c>
      <c r="B80" s="132">
        <v>752</v>
      </c>
      <c r="C80" s="132">
        <v>75295</v>
      </c>
      <c r="D80" s="132">
        <v>6060</v>
      </c>
      <c r="E80" s="139" t="s">
        <v>270</v>
      </c>
      <c r="F80" s="134">
        <v>17685</v>
      </c>
      <c r="G80" s="134"/>
      <c r="H80" s="134"/>
      <c r="I80" s="136"/>
      <c r="J80" s="137" t="s">
        <v>271</v>
      </c>
      <c r="K80" s="138"/>
      <c r="L80" s="206"/>
      <c r="M80" s="323"/>
    </row>
    <row r="81" spans="1:86" s="104" customFormat="1" ht="27" customHeight="1" thickBot="1">
      <c r="A81" s="372" t="s">
        <v>272</v>
      </c>
      <c r="B81" s="372"/>
      <c r="C81" s="372"/>
      <c r="D81" s="372"/>
      <c r="E81" s="372"/>
      <c r="F81" s="192">
        <f>SUM(F80)</f>
        <v>17685</v>
      </c>
      <c r="G81" s="192">
        <f>SUM(G80)</f>
        <v>0</v>
      </c>
      <c r="H81" s="192"/>
      <c r="I81" s="199"/>
      <c r="J81" s="192">
        <v>17685</v>
      </c>
      <c r="K81" s="193"/>
      <c r="L81" s="205"/>
      <c r="M81" s="324"/>
    </row>
    <row r="82" spans="1:86" s="104" customFormat="1" ht="48.75" customHeight="1" thickBot="1">
      <c r="A82" s="131" t="s">
        <v>279</v>
      </c>
      <c r="B82" s="132">
        <v>754</v>
      </c>
      <c r="C82" s="132">
        <v>75404</v>
      </c>
      <c r="D82" s="132">
        <v>6170</v>
      </c>
      <c r="E82" s="136" t="s">
        <v>274</v>
      </c>
      <c r="F82" s="134">
        <f>SUM(G82:H82)</f>
        <v>50000</v>
      </c>
      <c r="G82" s="134">
        <v>50000</v>
      </c>
      <c r="H82" s="134"/>
      <c r="I82" s="136"/>
      <c r="J82" s="136"/>
      <c r="K82" s="138"/>
      <c r="L82" s="206"/>
      <c r="M82" s="324"/>
    </row>
    <row r="83" spans="1:86" s="102" customFormat="1" ht="48.75" customHeight="1" thickBot="1">
      <c r="A83" s="131" t="s">
        <v>282</v>
      </c>
      <c r="B83" s="132">
        <v>754</v>
      </c>
      <c r="C83" s="132">
        <v>75404</v>
      </c>
      <c r="D83" s="132">
        <v>6170</v>
      </c>
      <c r="E83" s="136" t="s">
        <v>338</v>
      </c>
      <c r="F83" s="134">
        <f>SUM(G83:H83)</f>
        <v>16000</v>
      </c>
      <c r="G83" s="134">
        <v>16000</v>
      </c>
      <c r="H83" s="134"/>
      <c r="I83" s="136"/>
      <c r="J83" s="136"/>
      <c r="K83" s="138"/>
      <c r="L83" s="206"/>
      <c r="M83" s="323"/>
    </row>
    <row r="84" spans="1:86" s="104" customFormat="1" ht="27" customHeight="1" thickBot="1">
      <c r="A84" s="372" t="s">
        <v>275</v>
      </c>
      <c r="B84" s="372"/>
      <c r="C84" s="372"/>
      <c r="D84" s="372"/>
      <c r="E84" s="372"/>
      <c r="F84" s="192">
        <f>SUM(F82:F83)</f>
        <v>66000</v>
      </c>
      <c r="G84" s="192">
        <f>SUM(G82:G83)</f>
        <v>66000</v>
      </c>
      <c r="H84" s="192"/>
      <c r="I84" s="199"/>
      <c r="J84" s="199"/>
      <c r="K84" s="193"/>
      <c r="L84" s="205"/>
      <c r="M84" s="324"/>
    </row>
    <row r="85" spans="1:86" s="104" customFormat="1" ht="42.75" customHeight="1" thickBot="1">
      <c r="A85" s="132" t="s">
        <v>285</v>
      </c>
      <c r="B85" s="132">
        <v>754</v>
      </c>
      <c r="C85" s="132">
        <v>75410</v>
      </c>
      <c r="D85" s="132">
        <v>6170</v>
      </c>
      <c r="E85" s="139" t="s">
        <v>277</v>
      </c>
      <c r="F85" s="207">
        <f>G85</f>
        <v>200000</v>
      </c>
      <c r="G85" s="207">
        <v>200000</v>
      </c>
      <c r="H85" s="208"/>
      <c r="I85" s="139"/>
      <c r="J85" s="139"/>
      <c r="K85" s="138"/>
      <c r="L85" s="209"/>
      <c r="M85" s="324"/>
    </row>
    <row r="86" spans="1:86" s="102" customFormat="1" ht="27" customHeight="1" thickBot="1">
      <c r="A86" s="372" t="s">
        <v>278</v>
      </c>
      <c r="B86" s="372"/>
      <c r="C86" s="372"/>
      <c r="D86" s="372"/>
      <c r="E86" s="372"/>
      <c r="F86" s="192">
        <f>SUM(F85)</f>
        <v>200000</v>
      </c>
      <c r="G86" s="192">
        <f>SUM(G85)</f>
        <v>200000</v>
      </c>
      <c r="H86" s="192"/>
      <c r="I86" s="199"/>
      <c r="J86" s="199"/>
      <c r="K86" s="193"/>
      <c r="L86" s="210"/>
      <c r="M86" s="323"/>
    </row>
    <row r="87" spans="1:86" s="211" customFormat="1" ht="31.5" customHeight="1" thickBot="1">
      <c r="A87" s="132" t="s">
        <v>288</v>
      </c>
      <c r="B87" s="132">
        <v>758</v>
      </c>
      <c r="C87" s="132">
        <v>75818</v>
      </c>
      <c r="D87" s="132">
        <v>6800</v>
      </c>
      <c r="E87" s="139" t="s">
        <v>280</v>
      </c>
      <c r="F87" s="134">
        <f>G87</f>
        <v>364950</v>
      </c>
      <c r="G87" s="134">
        <f>395570-271-16266-14083</f>
        <v>364950</v>
      </c>
      <c r="H87" s="134"/>
      <c r="I87" s="136"/>
      <c r="J87" s="136"/>
      <c r="K87" s="138"/>
      <c r="L87" s="206"/>
      <c r="M87" s="325"/>
    </row>
    <row r="88" spans="1:86" s="102" customFormat="1" ht="27" customHeight="1" thickBot="1">
      <c r="A88" s="372" t="s">
        <v>281</v>
      </c>
      <c r="B88" s="372"/>
      <c r="C88" s="372"/>
      <c r="D88" s="372"/>
      <c r="E88" s="372"/>
      <c r="F88" s="192">
        <f>SUM(F87)</f>
        <v>364950</v>
      </c>
      <c r="G88" s="192">
        <f>SUM(G87)</f>
        <v>364950</v>
      </c>
      <c r="H88" s="192"/>
      <c r="I88" s="199"/>
      <c r="J88" s="199"/>
      <c r="K88" s="193"/>
      <c r="L88" s="114"/>
      <c r="M88" s="323"/>
    </row>
    <row r="89" spans="1:86" s="101" customFormat="1" ht="31.5" customHeight="1" thickBot="1">
      <c r="A89" s="131" t="s">
        <v>290</v>
      </c>
      <c r="B89" s="132">
        <v>801</v>
      </c>
      <c r="C89" s="132">
        <v>80115</v>
      </c>
      <c r="D89" s="132">
        <v>6050</v>
      </c>
      <c r="E89" s="136" t="s">
        <v>283</v>
      </c>
      <c r="F89" s="134">
        <f>SUM(G89:H89)</f>
        <v>4000000</v>
      </c>
      <c r="G89" s="134">
        <v>300000</v>
      </c>
      <c r="H89" s="134">
        <f>3500000+200000</f>
        <v>3700000</v>
      </c>
      <c r="I89" s="136"/>
      <c r="J89" s="137"/>
      <c r="K89" s="138"/>
      <c r="L89" s="217" t="s">
        <v>149</v>
      </c>
      <c r="M89" s="324"/>
    </row>
    <row r="90" spans="1:86" s="104" customFormat="1" ht="27" customHeight="1" thickBot="1">
      <c r="A90" s="372" t="s">
        <v>284</v>
      </c>
      <c r="B90" s="372"/>
      <c r="C90" s="372"/>
      <c r="D90" s="372"/>
      <c r="E90" s="372"/>
      <c r="F90" s="192">
        <f>SUM(F89:F89)</f>
        <v>4000000</v>
      </c>
      <c r="G90" s="192">
        <f>SUM(G89:G89)</f>
        <v>300000</v>
      </c>
      <c r="H90" s="192">
        <f>SUM(H89:H89)</f>
        <v>3700000</v>
      </c>
      <c r="I90" s="192"/>
      <c r="J90" s="192"/>
      <c r="K90" s="193"/>
      <c r="L90" s="205"/>
      <c r="M90" s="324"/>
    </row>
    <row r="91" spans="1:86" s="99" customFormat="1" ht="33" customHeight="1" thickBot="1">
      <c r="A91" s="131" t="s">
        <v>293</v>
      </c>
      <c r="B91" s="132">
        <v>801</v>
      </c>
      <c r="C91" s="132">
        <v>80120</v>
      </c>
      <c r="D91" s="132">
        <v>6050</v>
      </c>
      <c r="E91" s="136" t="s">
        <v>286</v>
      </c>
      <c r="F91" s="134">
        <f>SUM(G91:H91)</f>
        <v>1890000</v>
      </c>
      <c r="G91" s="370">
        <f>1443866+10000-910000</f>
        <v>543866</v>
      </c>
      <c r="H91" s="370">
        <f>1556134-200000-10000</f>
        <v>1346134</v>
      </c>
      <c r="I91" s="136"/>
      <c r="J91" s="136"/>
      <c r="K91" s="138"/>
      <c r="L91" s="217" t="s">
        <v>149</v>
      </c>
      <c r="M91" s="323"/>
    </row>
    <row r="92" spans="1:86" s="115" customFormat="1" ht="27" customHeight="1" thickBot="1">
      <c r="A92" s="372" t="s">
        <v>287</v>
      </c>
      <c r="B92" s="372"/>
      <c r="C92" s="372"/>
      <c r="D92" s="372"/>
      <c r="E92" s="372"/>
      <c r="F92" s="192">
        <f>SUM(F91:F91)</f>
        <v>1890000</v>
      </c>
      <c r="G92" s="192">
        <f>SUM(G91:G91)</f>
        <v>543866</v>
      </c>
      <c r="H92" s="192">
        <f>SUM(H91:H91)</f>
        <v>1346134</v>
      </c>
      <c r="I92" s="199"/>
      <c r="J92" s="199"/>
      <c r="K92" s="193"/>
      <c r="L92" s="210"/>
      <c r="M92" s="32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</row>
    <row r="93" spans="1:86" s="113" customFormat="1" ht="41.25" customHeight="1" thickBot="1">
      <c r="A93" s="212" t="s">
        <v>295</v>
      </c>
      <c r="B93" s="132">
        <v>851</v>
      </c>
      <c r="C93" s="132">
        <v>85111</v>
      </c>
      <c r="D93" s="132">
        <v>6010</v>
      </c>
      <c r="E93" s="136" t="s">
        <v>289</v>
      </c>
      <c r="F93" s="134">
        <f>SUM(G93:H93)</f>
        <v>3696550</v>
      </c>
      <c r="G93" s="134">
        <f>3700000-3450</f>
        <v>3696550</v>
      </c>
      <c r="H93" s="174"/>
      <c r="I93" s="144"/>
      <c r="J93" s="144"/>
      <c r="K93" s="146"/>
      <c r="L93" s="213"/>
      <c r="M93" s="323"/>
    </row>
    <row r="94" spans="1:86" s="99" customFormat="1" ht="38.25" customHeight="1" thickBot="1">
      <c r="A94" s="212" t="s">
        <v>299</v>
      </c>
      <c r="B94" s="132">
        <v>851</v>
      </c>
      <c r="C94" s="132">
        <v>85111</v>
      </c>
      <c r="D94" s="132">
        <v>6230</v>
      </c>
      <c r="E94" s="136" t="s">
        <v>291</v>
      </c>
      <c r="F94" s="134">
        <f>SUM(G94:H94)</f>
        <v>140000</v>
      </c>
      <c r="G94" s="134">
        <v>140000</v>
      </c>
      <c r="H94" s="174"/>
      <c r="I94" s="144"/>
      <c r="J94" s="144"/>
      <c r="K94" s="146"/>
      <c r="L94" s="214"/>
      <c r="M94" s="323"/>
    </row>
    <row r="95" spans="1:86" s="115" customFormat="1" ht="27" customHeight="1" thickBot="1">
      <c r="A95" s="372" t="s">
        <v>292</v>
      </c>
      <c r="B95" s="372"/>
      <c r="C95" s="372"/>
      <c r="D95" s="372"/>
      <c r="E95" s="372"/>
      <c r="F95" s="192">
        <f>SUM(F93:F94)</f>
        <v>3836550</v>
      </c>
      <c r="G95" s="192">
        <f>SUM(G93:G94)</f>
        <v>3836550</v>
      </c>
      <c r="H95" s="192">
        <f>SUM(H93:H93)</f>
        <v>0</v>
      </c>
      <c r="I95" s="199"/>
      <c r="J95" s="199"/>
      <c r="K95" s="193"/>
      <c r="L95" s="210"/>
      <c r="M95" s="32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</row>
    <row r="96" spans="1:86" s="99" customFormat="1" ht="40.5" customHeight="1" thickBot="1">
      <c r="A96" s="131" t="s">
        <v>302</v>
      </c>
      <c r="B96" s="132">
        <v>852</v>
      </c>
      <c r="C96" s="132">
        <v>85202</v>
      </c>
      <c r="D96" s="132">
        <v>6050</v>
      </c>
      <c r="E96" s="139" t="s">
        <v>294</v>
      </c>
      <c r="F96" s="134">
        <f>SUM(G96:H96)</f>
        <v>0</v>
      </c>
      <c r="G96" s="134">
        <f>50000-50000</f>
        <v>0</v>
      </c>
      <c r="H96" s="174"/>
      <c r="I96" s="144"/>
      <c r="J96" s="144"/>
      <c r="K96" s="146"/>
      <c r="L96" s="215"/>
      <c r="M96" s="323"/>
    </row>
    <row r="97" spans="1:86" s="116" customFormat="1" ht="38.25" customHeight="1" thickBot="1">
      <c r="A97" s="195" t="s">
        <v>337</v>
      </c>
      <c r="B97" s="187">
        <v>852</v>
      </c>
      <c r="C97" s="187">
        <v>85202</v>
      </c>
      <c r="D97" s="187">
        <v>6050</v>
      </c>
      <c r="E97" s="163" t="s">
        <v>296</v>
      </c>
      <c r="F97" s="180">
        <f>SUM(G97:H97)</f>
        <v>50000</v>
      </c>
      <c r="G97" s="180">
        <v>50000</v>
      </c>
      <c r="H97" s="189"/>
      <c r="I97" s="190"/>
      <c r="J97" s="190"/>
      <c r="K97" s="216" t="s">
        <v>297</v>
      </c>
      <c r="L97" s="217" t="s">
        <v>149</v>
      </c>
      <c r="M97" s="323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</row>
    <row r="98" spans="1:86" s="113" customFormat="1" ht="27" customHeight="1" thickBot="1">
      <c r="A98" s="372" t="s">
        <v>298</v>
      </c>
      <c r="B98" s="372"/>
      <c r="C98" s="372"/>
      <c r="D98" s="372"/>
      <c r="E98" s="372"/>
      <c r="F98" s="192">
        <f>SUM(F96:F97)</f>
        <v>50000</v>
      </c>
      <c r="G98" s="192">
        <f>SUM(G96:G97)</f>
        <v>50000</v>
      </c>
      <c r="H98" s="192"/>
      <c r="I98" s="199"/>
      <c r="J98" s="199"/>
      <c r="K98" s="193"/>
      <c r="L98" s="210"/>
      <c r="M98" s="323"/>
    </row>
    <row r="99" spans="1:86" s="113" customFormat="1" ht="90" customHeight="1" thickBot="1">
      <c r="A99" s="310" t="s">
        <v>371</v>
      </c>
      <c r="B99" s="310">
        <v>853</v>
      </c>
      <c r="C99" s="310">
        <v>85311</v>
      </c>
      <c r="D99" s="310">
        <v>6230</v>
      </c>
      <c r="E99" s="316" t="s">
        <v>376</v>
      </c>
      <c r="F99" s="317">
        <f>G99</f>
        <v>70000</v>
      </c>
      <c r="G99" s="317">
        <v>70000</v>
      </c>
      <c r="H99" s="317"/>
      <c r="I99" s="318"/>
      <c r="J99" s="318"/>
      <c r="K99" s="319"/>
      <c r="L99" s="210"/>
      <c r="M99" s="323"/>
    </row>
    <row r="100" spans="1:86" s="113" customFormat="1" ht="27" customHeight="1" thickBot="1">
      <c r="A100" s="372" t="s">
        <v>343</v>
      </c>
      <c r="B100" s="372"/>
      <c r="C100" s="372"/>
      <c r="D100" s="372"/>
      <c r="E100" s="372"/>
      <c r="F100" s="192">
        <f>F99</f>
        <v>70000</v>
      </c>
      <c r="G100" s="192">
        <f>G99</f>
        <v>70000</v>
      </c>
      <c r="H100" s="192"/>
      <c r="I100" s="199"/>
      <c r="J100" s="199"/>
      <c r="K100" s="193"/>
      <c r="L100" s="210"/>
      <c r="M100" s="323"/>
    </row>
    <row r="101" spans="1:86" s="112" customFormat="1" ht="34.5" customHeight="1" thickBot="1">
      <c r="A101" s="202" t="s">
        <v>372</v>
      </c>
      <c r="B101" s="202">
        <v>854</v>
      </c>
      <c r="C101" s="202">
        <v>85403</v>
      </c>
      <c r="D101" s="202">
        <v>6060</v>
      </c>
      <c r="E101" s="218" t="s">
        <v>300</v>
      </c>
      <c r="F101" s="182">
        <f>G101</f>
        <v>80000</v>
      </c>
      <c r="G101" s="182">
        <v>80000</v>
      </c>
      <c r="H101" s="219"/>
      <c r="I101" s="220"/>
      <c r="J101" s="221"/>
      <c r="K101" s="222"/>
      <c r="L101" s="223"/>
      <c r="M101" s="323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</row>
    <row r="102" spans="1:86" s="113" customFormat="1" ht="27" customHeight="1" thickBot="1">
      <c r="A102" s="372" t="s">
        <v>301</v>
      </c>
      <c r="B102" s="372"/>
      <c r="C102" s="372"/>
      <c r="D102" s="372"/>
      <c r="E102" s="372"/>
      <c r="F102" s="192">
        <f>SUM(F101:F101)</f>
        <v>80000</v>
      </c>
      <c r="G102" s="192">
        <f>SUM(G101:G101)</f>
        <v>80000</v>
      </c>
      <c r="H102" s="192"/>
      <c r="I102" s="199"/>
      <c r="J102" s="224"/>
      <c r="K102" s="193"/>
      <c r="L102" s="210"/>
      <c r="M102" s="323"/>
    </row>
    <row r="103" spans="1:86" s="99" customFormat="1" ht="36" customHeight="1" thickBot="1">
      <c r="A103" s="132" t="s">
        <v>379</v>
      </c>
      <c r="B103" s="132">
        <v>854</v>
      </c>
      <c r="C103" s="132">
        <v>85421</v>
      </c>
      <c r="D103" s="132">
        <v>6060</v>
      </c>
      <c r="E103" s="139" t="s">
        <v>303</v>
      </c>
      <c r="F103" s="134">
        <f>G103</f>
        <v>90053</v>
      </c>
      <c r="G103" s="134">
        <f>45053+45000</f>
        <v>90053</v>
      </c>
      <c r="H103" s="134"/>
      <c r="I103" s="136"/>
      <c r="J103" s="225"/>
      <c r="K103" s="138"/>
      <c r="L103" s="226"/>
      <c r="M103" s="323"/>
    </row>
    <row r="104" spans="1:86" s="113" customFormat="1" ht="27" customHeight="1" thickBot="1">
      <c r="A104" s="372" t="s">
        <v>304</v>
      </c>
      <c r="B104" s="372"/>
      <c r="C104" s="372"/>
      <c r="D104" s="372"/>
      <c r="E104" s="372"/>
      <c r="F104" s="192">
        <f>SUM(F103)</f>
        <v>90053</v>
      </c>
      <c r="G104" s="192">
        <f>SUM(G103)</f>
        <v>90053</v>
      </c>
      <c r="H104" s="192"/>
      <c r="I104" s="199"/>
      <c r="J104" s="224"/>
      <c r="K104" s="193"/>
      <c r="L104" s="196"/>
      <c r="M104" s="323"/>
    </row>
    <row r="105" spans="1:86" s="118" customFormat="1" ht="27" customHeight="1" thickBot="1">
      <c r="A105" s="373" t="s">
        <v>305</v>
      </c>
      <c r="B105" s="373"/>
      <c r="C105" s="373"/>
      <c r="D105" s="373"/>
      <c r="E105" s="373"/>
      <c r="F105" s="227">
        <f>F69+F72+F74+F76+F79+F81+F84+F86+F88+F90+F92+F95+F98+F100+F102+F104</f>
        <v>24202154</v>
      </c>
      <c r="G105" s="227">
        <f>G69+G72+G74+G76+G79+G81+G84+G86+G88+G90+G92+G95+G98+G100+G102+G104</f>
        <v>12069335</v>
      </c>
      <c r="H105" s="227">
        <f t="shared" ref="H105:K105" si="2">H69+H72+H74+H76+H79+H81+H84+H86+H88+H90+H92+H95+H98+H100+H102+H104</f>
        <v>5046134</v>
      </c>
      <c r="I105" s="227">
        <f t="shared" si="2"/>
        <v>0</v>
      </c>
      <c r="J105" s="227">
        <f>J69+J72+J74+J76+J79+J81+J84+J86+J88+J90+J92+J95+J98+J100+J102+J104</f>
        <v>7086685</v>
      </c>
      <c r="K105" s="227">
        <f t="shared" si="2"/>
        <v>0</v>
      </c>
      <c r="L105" s="228"/>
      <c r="M105" s="325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</row>
    <row r="106" spans="1:86" s="118" customFormat="1" ht="18" customHeight="1">
      <c r="A106" s="93"/>
      <c r="B106" s="93"/>
      <c r="C106" s="93"/>
      <c r="D106" s="93"/>
      <c r="E106" s="93"/>
      <c r="F106" s="119" t="s">
        <v>306</v>
      </c>
      <c r="G106" s="93"/>
      <c r="H106" s="93"/>
      <c r="I106" s="93"/>
      <c r="J106" s="93"/>
      <c r="K106" s="94"/>
      <c r="L106" s="92"/>
      <c r="M106" s="325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</row>
    <row r="107" spans="1:86" s="113" customFormat="1" ht="27" customHeight="1">
      <c r="A107" s="120" t="s">
        <v>307</v>
      </c>
      <c r="B107" s="121"/>
      <c r="C107" s="121"/>
      <c r="D107" s="121"/>
      <c r="E107" s="93"/>
      <c r="F107" s="121"/>
      <c r="G107" s="122"/>
      <c r="H107" s="121"/>
      <c r="I107" s="121"/>
      <c r="J107" s="121"/>
      <c r="K107" s="123"/>
      <c r="L107" s="92"/>
      <c r="M107" s="323"/>
    </row>
    <row r="108" spans="1:86" s="107" customFormat="1" ht="20.25" customHeight="1">
      <c r="A108" s="120" t="s">
        <v>308</v>
      </c>
      <c r="B108" s="121"/>
      <c r="C108" s="121"/>
      <c r="D108" s="121"/>
      <c r="E108" s="93"/>
      <c r="F108" s="121"/>
      <c r="G108" s="122"/>
      <c r="H108" s="121"/>
      <c r="I108" s="121"/>
      <c r="J108" s="121"/>
      <c r="K108" s="123"/>
      <c r="L108" s="92"/>
      <c r="M108" s="323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</row>
    <row r="109" spans="1:86" s="113" customFormat="1" ht="21" customHeight="1">
      <c r="A109" s="120" t="s">
        <v>309</v>
      </c>
      <c r="B109" s="121"/>
      <c r="C109" s="121"/>
      <c r="D109" s="121"/>
      <c r="E109" s="93"/>
      <c r="F109" s="122"/>
      <c r="G109" s="122"/>
      <c r="H109" s="121"/>
      <c r="I109" s="121"/>
      <c r="J109" s="121"/>
      <c r="K109" s="123"/>
      <c r="L109" s="92"/>
      <c r="M109" s="323"/>
    </row>
    <row r="110" spans="1:86" s="113" customFormat="1" ht="27" customHeight="1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4"/>
      <c r="L110" s="91"/>
      <c r="M110" s="321"/>
      <c r="N110" s="92"/>
      <c r="O110" s="92"/>
      <c r="P110" s="92"/>
    </row>
    <row r="111" spans="1:86" s="102" customFormat="1" ht="28.5" customHeight="1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4"/>
      <c r="L111" s="91"/>
      <c r="M111" s="321"/>
      <c r="N111" s="92"/>
      <c r="O111" s="92"/>
      <c r="P111" s="92"/>
    </row>
    <row r="112" spans="1:86" s="113" customFormat="1" ht="30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90"/>
      <c r="L112" s="91"/>
      <c r="M112" s="321"/>
      <c r="N112" s="92"/>
      <c r="O112" s="92"/>
      <c r="P112" s="92"/>
    </row>
    <row r="113" spans="1:86" s="100" customFormat="1" ht="27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90"/>
      <c r="L113" s="91"/>
      <c r="M113" s="321"/>
      <c r="N113" s="92"/>
      <c r="O113" s="92"/>
      <c r="P113" s="92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</row>
    <row r="115" spans="1:86" s="124" customFormat="1" ht="12.7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90"/>
      <c r="L115" s="91"/>
      <c r="M115" s="321"/>
      <c r="N115" s="92"/>
      <c r="O115" s="92"/>
      <c r="P115" s="92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</row>
    <row r="116" spans="1:86" s="124" customFormat="1" ht="12.7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90"/>
      <c r="L116" s="91"/>
      <c r="M116" s="321"/>
      <c r="N116" s="92"/>
      <c r="O116" s="92"/>
      <c r="P116" s="92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</row>
    <row r="117" spans="1:86" s="124" customFormat="1" ht="12.7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90"/>
      <c r="L117" s="91"/>
      <c r="M117" s="321"/>
      <c r="N117" s="92"/>
      <c r="O117" s="92"/>
      <c r="P117" s="92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</row>
  </sheetData>
  <mergeCells count="36">
    <mergeCell ref="A43:E43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7:E7"/>
    <mergeCell ref="A12:E12"/>
    <mergeCell ref="A21:E21"/>
    <mergeCell ref="A31:E31"/>
    <mergeCell ref="A86:E86"/>
    <mergeCell ref="A50:E50"/>
    <mergeCell ref="A54:E54"/>
    <mergeCell ref="A58:E58"/>
    <mergeCell ref="A67:E67"/>
    <mergeCell ref="A69:E69"/>
    <mergeCell ref="A72:E72"/>
    <mergeCell ref="A74:E74"/>
    <mergeCell ref="A76:E76"/>
    <mergeCell ref="A79:E79"/>
    <mergeCell ref="A81:E81"/>
    <mergeCell ref="A84:E84"/>
    <mergeCell ref="A104:E104"/>
    <mergeCell ref="A105:E105"/>
    <mergeCell ref="A88:E88"/>
    <mergeCell ref="A90:E90"/>
    <mergeCell ref="A92:E92"/>
    <mergeCell ref="A95:E95"/>
    <mergeCell ref="A98:E98"/>
    <mergeCell ref="A102:E102"/>
    <mergeCell ref="A100:E100"/>
  </mergeCells>
  <pageMargins left="0.51181102362204722" right="0.51181102362204722" top="0.74803149606299213" bottom="0.74803149606299213" header="0.31496062992125984" footer="0.31496062992125984"/>
  <pageSetup paperSize="9" scale="77" orientation="landscape" horizontalDpi="4294967294" verticalDpi="0" r:id="rId1"/>
  <headerFooter differentOddEven="1" differentFirst="1">
    <oddFooter>&amp;C&amp;P</oddFooter>
    <evenFooter>&amp;C&amp;P</evenFooter>
    <firstHeader>&amp;RTabela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</sheetPr>
  <dimension ref="A3:D26"/>
  <sheetViews>
    <sheetView showGridLines="0" workbookViewId="0">
      <selection activeCell="D12" sqref="D12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4" width="18.83203125" style="3" customWidth="1"/>
    <col min="5" max="16384" width="9.33203125" style="3"/>
  </cols>
  <sheetData>
    <row r="3" spans="1:4" s="2" customFormat="1" ht="15" customHeight="1">
      <c r="A3" s="384" t="s">
        <v>107</v>
      </c>
      <c r="B3" s="384"/>
      <c r="C3" s="384"/>
      <c r="D3" s="384"/>
    </row>
    <row r="4" spans="1:4">
      <c r="D4" s="4"/>
    </row>
    <row r="5" spans="1:4" ht="54" customHeight="1">
      <c r="A5" s="5" t="s">
        <v>53</v>
      </c>
      <c r="B5" s="5" t="s">
        <v>58</v>
      </c>
      <c r="C5" s="6" t="s">
        <v>59</v>
      </c>
      <c r="D5" s="6" t="s">
        <v>60</v>
      </c>
    </row>
    <row r="6" spans="1:4" s="26" customFormat="1" ht="16.5" customHeight="1">
      <c r="A6" s="42">
        <v>1</v>
      </c>
      <c r="B6" s="42">
        <v>2</v>
      </c>
      <c r="C6" s="42">
        <v>3</v>
      </c>
      <c r="D6" s="43">
        <v>4</v>
      </c>
    </row>
    <row r="7" spans="1:4" s="9" customFormat="1" ht="24.75" customHeight="1">
      <c r="A7" s="7" t="s">
        <v>54</v>
      </c>
      <c r="B7" s="8" t="s">
        <v>61</v>
      </c>
      <c r="C7" s="7"/>
      <c r="D7" s="229">
        <f>SUM(D8:D9)</f>
        <v>151605446.55000001</v>
      </c>
    </row>
    <row r="8" spans="1:4" s="12" customFormat="1" ht="24.75" customHeight="1">
      <c r="A8" s="10"/>
      <c r="B8" s="11" t="s">
        <v>62</v>
      </c>
      <c r="C8" s="10"/>
      <c r="D8" s="230">
        <v>138408475.55000001</v>
      </c>
    </row>
    <row r="9" spans="1:4" s="12" customFormat="1" ht="24.75" customHeight="1">
      <c r="A9" s="10"/>
      <c r="B9" s="11" t="s">
        <v>63</v>
      </c>
      <c r="C9" s="10"/>
      <c r="D9" s="231">
        <v>13196971</v>
      </c>
    </row>
    <row r="10" spans="1:4" s="9" customFormat="1" ht="24.75" customHeight="1">
      <c r="A10" s="7" t="s">
        <v>55</v>
      </c>
      <c r="B10" s="8" t="s">
        <v>64</v>
      </c>
      <c r="C10" s="7"/>
      <c r="D10" s="232">
        <f>SUM(D11,D12)</f>
        <v>156820037.55000001</v>
      </c>
    </row>
    <row r="11" spans="1:4" s="12" customFormat="1" ht="24.75" customHeight="1">
      <c r="A11" s="10"/>
      <c r="B11" s="11" t="s">
        <v>87</v>
      </c>
      <c r="C11" s="10"/>
      <c r="D11" s="233">
        <v>132617883.55</v>
      </c>
    </row>
    <row r="12" spans="1:4" s="12" customFormat="1" ht="24.75" customHeight="1">
      <c r="A12" s="10"/>
      <c r="B12" s="11" t="s">
        <v>65</v>
      </c>
      <c r="C12" s="10"/>
      <c r="D12" s="234">
        <v>24202154</v>
      </c>
    </row>
    <row r="13" spans="1:4" s="9" customFormat="1" ht="24.75" customHeight="1">
      <c r="A13" s="7" t="s">
        <v>56</v>
      </c>
      <c r="B13" s="8" t="s">
        <v>66</v>
      </c>
      <c r="C13" s="13"/>
      <c r="D13" s="229">
        <f>D7-D10</f>
        <v>-5214591</v>
      </c>
    </row>
    <row r="14" spans="1:4" ht="24.75" customHeight="1">
      <c r="A14" s="385" t="s">
        <v>67</v>
      </c>
      <c r="B14" s="386"/>
      <c r="C14" s="14"/>
      <c r="D14" s="15">
        <f>SUM(D15:D18)</f>
        <v>11002861</v>
      </c>
    </row>
    <row r="15" spans="1:4" ht="24.75" customHeight="1">
      <c r="A15" s="16" t="s">
        <v>54</v>
      </c>
      <c r="B15" s="21" t="s">
        <v>84</v>
      </c>
      <c r="C15" s="16" t="s">
        <v>69</v>
      </c>
      <c r="D15" s="235">
        <f>3044404+168457</f>
        <v>3212861</v>
      </c>
    </row>
    <row r="16" spans="1:4" ht="32.25" customHeight="1">
      <c r="A16" s="16" t="s">
        <v>55</v>
      </c>
      <c r="B16" s="59" t="s">
        <v>100</v>
      </c>
      <c r="C16" s="16" t="s">
        <v>101</v>
      </c>
      <c r="D16" s="235">
        <v>0</v>
      </c>
    </row>
    <row r="17" spans="1:4" ht="24.75" customHeight="1">
      <c r="A17" s="16" t="s">
        <v>56</v>
      </c>
      <c r="B17" s="17" t="s">
        <v>82</v>
      </c>
      <c r="C17" s="16" t="s">
        <v>68</v>
      </c>
      <c r="D17" s="235">
        <v>7790000</v>
      </c>
    </row>
    <row r="18" spans="1:4" ht="24.75" customHeight="1">
      <c r="A18" s="16" t="s">
        <v>57</v>
      </c>
      <c r="B18" s="19" t="s">
        <v>83</v>
      </c>
      <c r="C18" s="16" t="s">
        <v>68</v>
      </c>
      <c r="D18" s="20">
        <v>0</v>
      </c>
    </row>
    <row r="19" spans="1:4" ht="24.75" customHeight="1">
      <c r="A19" s="385" t="s">
        <v>70</v>
      </c>
      <c r="B19" s="386"/>
      <c r="C19" s="22"/>
      <c r="D19" s="236">
        <f>SUM(D20:D22)</f>
        <v>5788270</v>
      </c>
    </row>
    <row r="20" spans="1:4" s="60" customFormat="1" ht="24.75" customHeight="1">
      <c r="A20" s="16" t="s">
        <v>54</v>
      </c>
      <c r="B20" s="19" t="s">
        <v>103</v>
      </c>
      <c r="C20" s="16" t="s">
        <v>102</v>
      </c>
      <c r="D20" s="235">
        <v>0</v>
      </c>
    </row>
    <row r="21" spans="1:4" ht="24.75" customHeight="1">
      <c r="A21" s="16" t="s">
        <v>55</v>
      </c>
      <c r="B21" s="19" t="s">
        <v>85</v>
      </c>
      <c r="C21" s="16" t="s">
        <v>71</v>
      </c>
      <c r="D21" s="235">
        <v>5788270</v>
      </c>
    </row>
    <row r="22" spans="1:4" ht="24.75" customHeight="1">
      <c r="A22" s="16" t="s">
        <v>56</v>
      </c>
      <c r="B22" s="19" t="s">
        <v>86</v>
      </c>
      <c r="C22" s="16" t="s">
        <v>71</v>
      </c>
      <c r="D22" s="18">
        <v>0</v>
      </c>
    </row>
    <row r="23" spans="1:4" ht="21.75" customHeight="1">
      <c r="A23" s="23"/>
      <c r="B23" s="24"/>
      <c r="C23" s="23"/>
      <c r="D23" s="25"/>
    </row>
    <row r="24" spans="1:4" ht="24.75" customHeight="1"/>
    <row r="25" spans="1:4" ht="24.75" customHeight="1"/>
    <row r="26" spans="1:4" ht="24.75" customHeight="1"/>
  </sheetData>
  <sheetProtection algorithmName="SHA-512" hashValue="fIpnxiEqT9BRj1S96lEnXMzkA0opIaxcInwtfLHVJa4m0GrMJe7tZL9IElu7+wJBmfZVmV855+qV1lCXVCz5eQ==" saltValue="i4DIP06NQJxOoZPuoqRCTw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</sheetPr>
  <dimension ref="A1:F200"/>
  <sheetViews>
    <sheetView zoomScaleNormal="100" workbookViewId="0">
      <pane ySplit="4" topLeftCell="A5" activePane="bottomLeft" state="frozen"/>
      <selection activeCell="C11" sqref="C11:I13"/>
      <selection pane="bottomLeft" activeCell="A186" sqref="A186:XFD188"/>
    </sheetView>
  </sheetViews>
  <sheetFormatPr defaultColWidth="9.33203125" defaultRowHeight="12"/>
  <cols>
    <col min="1" max="1" width="6.33203125" style="27" customWidth="1"/>
    <col min="2" max="2" width="9.5" style="27" customWidth="1"/>
    <col min="3" max="3" width="10.1640625" style="28" customWidth="1"/>
    <col min="4" max="4" width="61.5" style="29" customWidth="1"/>
    <col min="5" max="6" width="17" style="30" customWidth="1"/>
    <col min="7" max="16384" width="9.33203125" style="31"/>
  </cols>
  <sheetData>
    <row r="1" spans="1:6" ht="12.75" customHeight="1"/>
    <row r="2" spans="1:6" ht="30.75" customHeight="1">
      <c r="A2" s="387" t="s">
        <v>108</v>
      </c>
      <c r="B2" s="387"/>
      <c r="C2" s="387"/>
      <c r="D2" s="387"/>
      <c r="E2" s="387"/>
      <c r="F2" s="387"/>
    </row>
    <row r="3" spans="1:6" ht="9.75" customHeight="1"/>
    <row r="4" spans="1:6" s="28" customFormat="1" ht="25.5" customHeight="1">
      <c r="A4" s="46" t="s">
        <v>0</v>
      </c>
      <c r="B4" s="46" t="s">
        <v>1</v>
      </c>
      <c r="C4" s="47" t="s">
        <v>72</v>
      </c>
      <c r="D4" s="48" t="s">
        <v>73</v>
      </c>
      <c r="E4" s="49" t="s">
        <v>74</v>
      </c>
      <c r="F4" s="49" t="s">
        <v>75</v>
      </c>
    </row>
    <row r="5" spans="1:6" s="32" customFormat="1" ht="17.25" customHeight="1">
      <c r="A5" s="50" t="s">
        <v>2</v>
      </c>
      <c r="B5" s="50"/>
      <c r="C5" s="51"/>
      <c r="D5" s="52" t="s">
        <v>16</v>
      </c>
      <c r="E5" s="53">
        <f>SUM(E6)</f>
        <v>82470</v>
      </c>
      <c r="F5" s="53">
        <f>SUM(F6)</f>
        <v>82470</v>
      </c>
    </row>
    <row r="6" spans="1:6" s="32" customFormat="1" ht="17.25" customHeight="1">
      <c r="A6" s="38"/>
      <c r="B6" s="38" t="s">
        <v>3</v>
      </c>
      <c r="C6" s="39"/>
      <c r="D6" s="40" t="s">
        <v>4</v>
      </c>
      <c r="E6" s="41">
        <f>SUM(E7)</f>
        <v>82470</v>
      </c>
      <c r="F6" s="41">
        <f>SUM(F8)</f>
        <v>82470</v>
      </c>
    </row>
    <row r="7" spans="1:6" s="32" customFormat="1" ht="42" customHeight="1">
      <c r="A7" s="33"/>
      <c r="B7" s="33"/>
      <c r="C7" s="34">
        <v>2110</v>
      </c>
      <c r="D7" s="35" t="s">
        <v>5</v>
      </c>
      <c r="E7" s="36">
        <f>12000+70470</f>
        <v>82470</v>
      </c>
      <c r="F7" s="36"/>
    </row>
    <row r="8" spans="1:6" s="32" customFormat="1" ht="15.75" customHeight="1">
      <c r="A8" s="33"/>
      <c r="B8" s="33"/>
      <c r="C8" s="34">
        <v>4300</v>
      </c>
      <c r="D8" s="35" t="s">
        <v>17</v>
      </c>
      <c r="E8" s="36"/>
      <c r="F8" s="36">
        <f>12000+70470</f>
        <v>82470</v>
      </c>
    </row>
    <row r="9" spans="1:6" s="32" customFormat="1" ht="17.25" customHeight="1">
      <c r="A9" s="50">
        <v>700</v>
      </c>
      <c r="B9" s="50"/>
      <c r="C9" s="51"/>
      <c r="D9" s="52" t="s">
        <v>31</v>
      </c>
      <c r="E9" s="53">
        <f>SUM(E10)</f>
        <v>288858</v>
      </c>
      <c r="F9" s="53">
        <f>SUM(F10)</f>
        <v>288858</v>
      </c>
    </row>
    <row r="10" spans="1:6" s="32" customFormat="1" ht="17.25" customHeight="1">
      <c r="A10" s="38"/>
      <c r="B10" s="38">
        <v>70005</v>
      </c>
      <c r="C10" s="39"/>
      <c r="D10" s="40" t="s">
        <v>32</v>
      </c>
      <c r="E10" s="41">
        <f>SUM(E11)</f>
        <v>288858</v>
      </c>
      <c r="F10" s="41">
        <f>SUM(F11:F26)</f>
        <v>288858</v>
      </c>
    </row>
    <row r="11" spans="1:6" s="69" customFormat="1" ht="42.75" customHeight="1">
      <c r="A11" s="65"/>
      <c r="B11" s="65"/>
      <c r="C11" s="66">
        <v>2110</v>
      </c>
      <c r="D11" s="67" t="s">
        <v>5</v>
      </c>
      <c r="E11" s="68">
        <f>280000+8858</f>
        <v>288858</v>
      </c>
      <c r="F11" s="68"/>
    </row>
    <row r="12" spans="1:6" s="58" customFormat="1" ht="15.75" customHeight="1">
      <c r="A12" s="55"/>
      <c r="B12" s="55"/>
      <c r="C12" s="56">
        <v>4010</v>
      </c>
      <c r="D12" s="61" t="s">
        <v>20</v>
      </c>
      <c r="E12" s="57"/>
      <c r="F12" s="57">
        <v>43900</v>
      </c>
    </row>
    <row r="13" spans="1:6" s="58" customFormat="1" ht="15.75" customHeight="1">
      <c r="A13" s="55"/>
      <c r="B13" s="55"/>
      <c r="C13" s="56">
        <v>4110</v>
      </c>
      <c r="D13" s="61" t="s">
        <v>22</v>
      </c>
      <c r="E13" s="57"/>
      <c r="F13" s="57">
        <v>7540</v>
      </c>
    </row>
    <row r="14" spans="1:6" s="58" customFormat="1" ht="26.25" customHeight="1">
      <c r="A14" s="55"/>
      <c r="B14" s="55"/>
      <c r="C14" s="56">
        <v>4120</v>
      </c>
      <c r="D14" s="61" t="s">
        <v>126</v>
      </c>
      <c r="E14" s="57"/>
      <c r="F14" s="57">
        <v>1070</v>
      </c>
    </row>
    <row r="15" spans="1:6" s="58" customFormat="1" ht="15.75" customHeight="1">
      <c r="A15" s="55"/>
      <c r="B15" s="55"/>
      <c r="C15" s="56">
        <v>4170</v>
      </c>
      <c r="D15" s="61" t="s">
        <v>23</v>
      </c>
      <c r="E15" s="57"/>
      <c r="F15" s="57">
        <f>2000+1000</f>
        <v>3000</v>
      </c>
    </row>
    <row r="16" spans="1:6" s="58" customFormat="1" ht="15.75" customHeight="1">
      <c r="A16" s="55"/>
      <c r="B16" s="55"/>
      <c r="C16" s="56">
        <v>4210</v>
      </c>
      <c r="D16" s="61" t="s">
        <v>18</v>
      </c>
      <c r="E16" s="57"/>
      <c r="F16" s="57">
        <f>435-382</f>
        <v>53</v>
      </c>
    </row>
    <row r="17" spans="1:6" s="58" customFormat="1" ht="15.75" customHeight="1">
      <c r="A17" s="55"/>
      <c r="B17" s="55"/>
      <c r="C17" s="56">
        <v>4260</v>
      </c>
      <c r="D17" s="61" t="s">
        <v>24</v>
      </c>
      <c r="E17" s="57"/>
      <c r="F17" s="57">
        <v>0</v>
      </c>
    </row>
    <row r="18" spans="1:6" s="58" customFormat="1" ht="15.75" customHeight="1">
      <c r="A18" s="55"/>
      <c r="B18" s="55"/>
      <c r="C18" s="56">
        <v>4270</v>
      </c>
      <c r="D18" s="61" t="s">
        <v>25</v>
      </c>
      <c r="E18" s="57"/>
      <c r="F18" s="57">
        <v>15000</v>
      </c>
    </row>
    <row r="19" spans="1:6" s="58" customFormat="1" ht="15.75" customHeight="1">
      <c r="A19" s="55"/>
      <c r="B19" s="55"/>
      <c r="C19" s="56">
        <v>4300</v>
      </c>
      <c r="D19" s="61" t="s">
        <v>17</v>
      </c>
      <c r="E19" s="57"/>
      <c r="F19" s="57">
        <v>49000</v>
      </c>
    </row>
    <row r="20" spans="1:6" s="58" customFormat="1" ht="15.75" customHeight="1">
      <c r="A20" s="55"/>
      <c r="B20" s="55"/>
      <c r="C20" s="56">
        <v>4390</v>
      </c>
      <c r="D20" s="61" t="s">
        <v>33</v>
      </c>
      <c r="E20" s="57"/>
      <c r="F20" s="57">
        <f>30000+12954</f>
        <v>42954</v>
      </c>
    </row>
    <row r="21" spans="1:6" s="58" customFormat="1" ht="15.75" customHeight="1">
      <c r="A21" s="55"/>
      <c r="B21" s="55"/>
      <c r="C21" s="56">
        <v>4430</v>
      </c>
      <c r="D21" s="61" t="s">
        <v>27</v>
      </c>
      <c r="E21" s="57"/>
      <c r="F21" s="57">
        <f>4100-4100</f>
        <v>0</v>
      </c>
    </row>
    <row r="22" spans="1:6" s="58" customFormat="1" ht="15.75" customHeight="1">
      <c r="A22" s="55"/>
      <c r="B22" s="55"/>
      <c r="C22" s="56">
        <v>4480</v>
      </c>
      <c r="D22" s="61" t="s">
        <v>29</v>
      </c>
      <c r="E22" s="57"/>
      <c r="F22" s="57">
        <v>94000</v>
      </c>
    </row>
    <row r="23" spans="1:6" s="58" customFormat="1" ht="15.75" customHeight="1">
      <c r="A23" s="55"/>
      <c r="B23" s="55"/>
      <c r="C23" s="56">
        <v>4520</v>
      </c>
      <c r="D23" s="61" t="s">
        <v>30</v>
      </c>
      <c r="E23" s="57"/>
      <c r="F23" s="57">
        <f>10000-2472</f>
        <v>7528</v>
      </c>
    </row>
    <row r="24" spans="1:6" s="58" customFormat="1" ht="15.75" customHeight="1">
      <c r="A24" s="55"/>
      <c r="B24" s="55"/>
      <c r="C24" s="56">
        <v>4580</v>
      </c>
      <c r="D24" s="61" t="s">
        <v>34</v>
      </c>
      <c r="E24" s="57"/>
      <c r="F24" s="57">
        <v>3955</v>
      </c>
    </row>
    <row r="25" spans="1:6" s="74" customFormat="1" ht="15.75" customHeight="1">
      <c r="A25" s="79"/>
      <c r="B25" s="79"/>
      <c r="C25" s="80">
        <v>4590</v>
      </c>
      <c r="D25" s="85" t="s">
        <v>35</v>
      </c>
      <c r="E25" s="78"/>
      <c r="F25" s="78">
        <f>9000-3000+8858</f>
        <v>14858</v>
      </c>
    </row>
    <row r="26" spans="1:6" s="58" customFormat="1" ht="15.75" customHeight="1">
      <c r="A26" s="55"/>
      <c r="B26" s="55"/>
      <c r="C26" s="56">
        <v>4610</v>
      </c>
      <c r="D26" s="61" t="s">
        <v>36</v>
      </c>
      <c r="E26" s="57"/>
      <c r="F26" s="57">
        <f>10000-4000</f>
        <v>6000</v>
      </c>
    </row>
    <row r="27" spans="1:6" s="32" customFormat="1" ht="17.25" customHeight="1">
      <c r="A27" s="50">
        <v>710</v>
      </c>
      <c r="B27" s="50"/>
      <c r="C27" s="51"/>
      <c r="D27" s="52" t="s">
        <v>37</v>
      </c>
      <c r="E27" s="53">
        <f>SUM(E28,E34)</f>
        <v>1162757</v>
      </c>
      <c r="F27" s="53">
        <f>SUM(F28,F34)</f>
        <v>1162757</v>
      </c>
    </row>
    <row r="28" spans="1:6" s="32" customFormat="1" ht="17.25" customHeight="1">
      <c r="A28" s="38"/>
      <c r="B28" s="38" t="s">
        <v>81</v>
      </c>
      <c r="C28" s="39"/>
      <c r="D28" s="1" t="s">
        <v>80</v>
      </c>
      <c r="E28" s="41">
        <f>SUM(E29)</f>
        <v>344000</v>
      </c>
      <c r="F28" s="41">
        <f>SUM(F30:F33)</f>
        <v>344000</v>
      </c>
    </row>
    <row r="29" spans="1:6" s="32" customFormat="1" ht="42.75" customHeight="1">
      <c r="A29" s="33"/>
      <c r="B29" s="33"/>
      <c r="C29" s="34">
        <v>2110</v>
      </c>
      <c r="D29" s="35" t="s">
        <v>5</v>
      </c>
      <c r="E29" s="36">
        <v>344000</v>
      </c>
      <c r="F29" s="36"/>
    </row>
    <row r="30" spans="1:6" s="58" customFormat="1" ht="15.75" customHeight="1">
      <c r="A30" s="55"/>
      <c r="B30" s="55"/>
      <c r="C30" s="56">
        <v>4010</v>
      </c>
      <c r="D30" s="61" t="s">
        <v>20</v>
      </c>
      <c r="E30" s="57"/>
      <c r="F30" s="78">
        <v>210300</v>
      </c>
    </row>
    <row r="31" spans="1:6" s="58" customFormat="1" ht="15.75" customHeight="1">
      <c r="A31" s="55"/>
      <c r="B31" s="55"/>
      <c r="C31" s="56">
        <v>4110</v>
      </c>
      <c r="D31" s="61" t="s">
        <v>22</v>
      </c>
      <c r="E31" s="57"/>
      <c r="F31" s="78">
        <v>39004</v>
      </c>
    </row>
    <row r="32" spans="1:6" s="58" customFormat="1" ht="29.25" customHeight="1">
      <c r="A32" s="55"/>
      <c r="B32" s="55"/>
      <c r="C32" s="56">
        <v>4120</v>
      </c>
      <c r="D32" s="61" t="s">
        <v>126</v>
      </c>
      <c r="E32" s="57"/>
      <c r="F32" s="78">
        <v>5600</v>
      </c>
    </row>
    <row r="33" spans="1:6" s="58" customFormat="1" ht="15.75" customHeight="1">
      <c r="A33" s="55"/>
      <c r="B33" s="55"/>
      <c r="C33" s="56">
        <v>4300</v>
      </c>
      <c r="D33" s="61" t="s">
        <v>17</v>
      </c>
      <c r="E33" s="57"/>
      <c r="F33" s="57">
        <v>89096</v>
      </c>
    </row>
    <row r="34" spans="1:6" s="32" customFormat="1" ht="17.25" customHeight="1">
      <c r="A34" s="38"/>
      <c r="B34" s="38">
        <v>71015</v>
      </c>
      <c r="C34" s="39"/>
      <c r="D34" s="40" t="s">
        <v>39</v>
      </c>
      <c r="E34" s="41">
        <f>SUM(E35:E35)</f>
        <v>818757</v>
      </c>
      <c r="F34" s="41">
        <f>SUM(F36:F55)</f>
        <v>818757</v>
      </c>
    </row>
    <row r="35" spans="1:6" s="32" customFormat="1" ht="42.75" customHeight="1">
      <c r="A35" s="33"/>
      <c r="B35" s="33"/>
      <c r="C35" s="34">
        <v>2110</v>
      </c>
      <c r="D35" s="35" t="s">
        <v>5</v>
      </c>
      <c r="E35" s="36">
        <f>808000+10757</f>
        <v>818757</v>
      </c>
      <c r="F35" s="36"/>
    </row>
    <row r="36" spans="1:6" s="32" customFormat="1" ht="15.75" customHeight="1">
      <c r="A36" s="33"/>
      <c r="B36" s="33"/>
      <c r="C36" s="34">
        <v>3020</v>
      </c>
      <c r="D36" s="35" t="s">
        <v>19</v>
      </c>
      <c r="E36" s="36"/>
      <c r="F36" s="36">
        <v>450</v>
      </c>
    </row>
    <row r="37" spans="1:6" s="32" customFormat="1" ht="15.75" customHeight="1">
      <c r="A37" s="33"/>
      <c r="B37" s="33"/>
      <c r="C37" s="34">
        <v>4010</v>
      </c>
      <c r="D37" s="35" t="s">
        <v>20</v>
      </c>
      <c r="E37" s="36"/>
      <c r="F37" s="36">
        <v>111305</v>
      </c>
    </row>
    <row r="38" spans="1:6" s="32" customFormat="1" ht="15.75" customHeight="1">
      <c r="A38" s="33"/>
      <c r="B38" s="33"/>
      <c r="C38" s="34">
        <v>4020</v>
      </c>
      <c r="D38" s="35" t="s">
        <v>40</v>
      </c>
      <c r="E38" s="36"/>
      <c r="F38" s="36">
        <f>401462+10757</f>
        <v>412219</v>
      </c>
    </row>
    <row r="39" spans="1:6" s="32" customFormat="1" ht="15.75" customHeight="1">
      <c r="A39" s="33"/>
      <c r="B39" s="33"/>
      <c r="C39" s="34">
        <v>4040</v>
      </c>
      <c r="D39" s="35" t="s">
        <v>21</v>
      </c>
      <c r="E39" s="36"/>
      <c r="F39" s="36">
        <v>33372</v>
      </c>
    </row>
    <row r="40" spans="1:6" s="32" customFormat="1" ht="15.75" customHeight="1">
      <c r="A40" s="33"/>
      <c r="B40" s="33"/>
      <c r="C40" s="34">
        <v>4110</v>
      </c>
      <c r="D40" s="35" t="s">
        <v>22</v>
      </c>
      <c r="E40" s="36"/>
      <c r="F40" s="36">
        <v>94460</v>
      </c>
    </row>
    <row r="41" spans="1:6" s="32" customFormat="1" ht="27.75" customHeight="1">
      <c r="A41" s="33"/>
      <c r="B41" s="33"/>
      <c r="C41" s="34">
        <v>4120</v>
      </c>
      <c r="D41" s="35" t="s">
        <v>126</v>
      </c>
      <c r="E41" s="36"/>
      <c r="F41" s="36">
        <v>13534</v>
      </c>
    </row>
    <row r="42" spans="1:6" s="32" customFormat="1" ht="15.75" customHeight="1">
      <c r="A42" s="33"/>
      <c r="B42" s="33"/>
      <c r="C42" s="34">
        <v>4170</v>
      </c>
      <c r="D42" s="35" t="s">
        <v>23</v>
      </c>
      <c r="E42" s="36"/>
      <c r="F42" s="36">
        <v>7770</v>
      </c>
    </row>
    <row r="43" spans="1:6" s="32" customFormat="1" ht="15.75" customHeight="1">
      <c r="A43" s="33"/>
      <c r="B43" s="33"/>
      <c r="C43" s="34">
        <v>4210</v>
      </c>
      <c r="D43" s="35" t="s">
        <v>18</v>
      </c>
      <c r="E43" s="36"/>
      <c r="F43" s="36">
        <v>21978</v>
      </c>
    </row>
    <row r="44" spans="1:6" s="32" customFormat="1" ht="15.75" customHeight="1">
      <c r="A44" s="33"/>
      <c r="B44" s="33"/>
      <c r="C44" s="34">
        <v>4260</v>
      </c>
      <c r="D44" s="35" t="s">
        <v>24</v>
      </c>
      <c r="E44" s="36"/>
      <c r="F44" s="36">
        <v>14548</v>
      </c>
    </row>
    <row r="45" spans="1:6" s="32" customFormat="1" ht="15.75" customHeight="1">
      <c r="A45" s="33"/>
      <c r="B45" s="33"/>
      <c r="C45" s="34">
        <v>4270</v>
      </c>
      <c r="D45" s="35" t="s">
        <v>25</v>
      </c>
      <c r="E45" s="36"/>
      <c r="F45" s="36">
        <v>5708</v>
      </c>
    </row>
    <row r="46" spans="1:6" s="32" customFormat="1" ht="15.75" customHeight="1">
      <c r="A46" s="33"/>
      <c r="B46" s="33"/>
      <c r="C46" s="34">
        <v>4280</v>
      </c>
      <c r="D46" s="35" t="s">
        <v>38</v>
      </c>
      <c r="E46" s="36"/>
      <c r="F46" s="36">
        <v>906</v>
      </c>
    </row>
    <row r="47" spans="1:6" s="32" customFormat="1" ht="15.75" customHeight="1">
      <c r="A47" s="33"/>
      <c r="B47" s="33"/>
      <c r="C47" s="34">
        <v>4300</v>
      </c>
      <c r="D47" s="35" t="s">
        <v>17</v>
      </c>
      <c r="E47" s="36"/>
      <c r="F47" s="36">
        <v>70429</v>
      </c>
    </row>
    <row r="48" spans="1:6" s="32" customFormat="1" ht="15.75" customHeight="1">
      <c r="A48" s="33"/>
      <c r="B48" s="33"/>
      <c r="C48" s="34">
        <v>4360</v>
      </c>
      <c r="D48" s="35" t="s">
        <v>76</v>
      </c>
      <c r="E48" s="36"/>
      <c r="F48" s="36">
        <v>3224</v>
      </c>
    </row>
    <row r="49" spans="1:6" s="32" customFormat="1" ht="15.75" customHeight="1">
      <c r="A49" s="33"/>
      <c r="B49" s="33"/>
      <c r="C49" s="34">
        <v>4410</v>
      </c>
      <c r="D49" s="35" t="s">
        <v>26</v>
      </c>
      <c r="E49" s="36"/>
      <c r="F49" s="36">
        <v>3190</v>
      </c>
    </row>
    <row r="50" spans="1:6" s="32" customFormat="1" ht="15.75" customHeight="1">
      <c r="A50" s="33"/>
      <c r="B50" s="33"/>
      <c r="C50" s="34">
        <v>4430</v>
      </c>
      <c r="D50" s="35" t="s">
        <v>27</v>
      </c>
      <c r="E50" s="36"/>
      <c r="F50" s="36">
        <v>4506</v>
      </c>
    </row>
    <row r="51" spans="1:6" s="32" customFormat="1" ht="15.75" customHeight="1">
      <c r="A51" s="33"/>
      <c r="B51" s="33"/>
      <c r="C51" s="34">
        <v>4440</v>
      </c>
      <c r="D51" s="35" t="s">
        <v>28</v>
      </c>
      <c r="E51" s="36"/>
      <c r="F51" s="36">
        <v>12549</v>
      </c>
    </row>
    <row r="52" spans="1:6" s="32" customFormat="1" ht="15.75" customHeight="1">
      <c r="A52" s="33"/>
      <c r="B52" s="33"/>
      <c r="C52" s="34">
        <v>4480</v>
      </c>
      <c r="D52" s="35" t="s">
        <v>29</v>
      </c>
      <c r="E52" s="36"/>
      <c r="F52" s="36">
        <v>1409</v>
      </c>
    </row>
    <row r="53" spans="1:6" s="32" customFormat="1" ht="15.75" customHeight="1">
      <c r="A53" s="33"/>
      <c r="B53" s="33"/>
      <c r="C53" s="34">
        <v>4550</v>
      </c>
      <c r="D53" s="35" t="s">
        <v>41</v>
      </c>
      <c r="E53" s="36"/>
      <c r="F53" s="36">
        <v>1100</v>
      </c>
    </row>
    <row r="54" spans="1:6" s="32" customFormat="1" ht="15.75" customHeight="1">
      <c r="A54" s="33"/>
      <c r="B54" s="33"/>
      <c r="C54" s="34">
        <v>4610</v>
      </c>
      <c r="D54" s="35" t="s">
        <v>36</v>
      </c>
      <c r="E54" s="36"/>
      <c r="F54" s="36">
        <v>5000</v>
      </c>
    </row>
    <row r="55" spans="1:6" s="32" customFormat="1" ht="27.75" customHeight="1">
      <c r="A55" s="33"/>
      <c r="B55" s="33"/>
      <c r="C55" s="34">
        <v>4700</v>
      </c>
      <c r="D55" s="35" t="s">
        <v>77</v>
      </c>
      <c r="E55" s="36"/>
      <c r="F55" s="36">
        <v>1100</v>
      </c>
    </row>
    <row r="56" spans="1:6" s="32" customFormat="1" ht="16.5" customHeight="1">
      <c r="A56" s="50">
        <v>750</v>
      </c>
      <c r="B56" s="50"/>
      <c r="C56" s="51"/>
      <c r="D56" s="52" t="s">
        <v>42</v>
      </c>
      <c r="E56" s="53">
        <f>SUM(E57,E62)</f>
        <v>70272</v>
      </c>
      <c r="F56" s="53">
        <f>SUM(F57,F62)</f>
        <v>70272</v>
      </c>
    </row>
    <row r="57" spans="1:6" s="32" customFormat="1" ht="17.25" customHeight="1">
      <c r="A57" s="38"/>
      <c r="B57" s="38">
        <v>75011</v>
      </c>
      <c r="C57" s="39"/>
      <c r="D57" s="40" t="s">
        <v>43</v>
      </c>
      <c r="E57" s="41">
        <f>SUM(E58)</f>
        <v>37460</v>
      </c>
      <c r="F57" s="41">
        <f>SUM(F59:F61)</f>
        <v>37460</v>
      </c>
    </row>
    <row r="58" spans="1:6" s="32" customFormat="1" ht="42.75" customHeight="1">
      <c r="A58" s="33"/>
      <c r="B58" s="33"/>
      <c r="C58" s="34">
        <v>2110</v>
      </c>
      <c r="D58" s="35" t="s">
        <v>5</v>
      </c>
      <c r="E58" s="36">
        <v>37460</v>
      </c>
      <c r="F58" s="36"/>
    </row>
    <row r="59" spans="1:6" s="58" customFormat="1" ht="15.75" customHeight="1">
      <c r="A59" s="55"/>
      <c r="B59" s="55"/>
      <c r="C59" s="56">
        <v>4010</v>
      </c>
      <c r="D59" s="61" t="s">
        <v>20</v>
      </c>
      <c r="E59" s="57"/>
      <c r="F59" s="57">
        <v>30720</v>
      </c>
    </row>
    <row r="60" spans="1:6" s="58" customFormat="1" ht="15.75" customHeight="1">
      <c r="A60" s="55"/>
      <c r="B60" s="55"/>
      <c r="C60" s="56">
        <v>4110</v>
      </c>
      <c r="D60" s="61" t="s">
        <v>22</v>
      </c>
      <c r="E60" s="57"/>
      <c r="F60" s="57">
        <v>5900</v>
      </c>
    </row>
    <row r="61" spans="1:6" s="58" customFormat="1" ht="29.25" customHeight="1">
      <c r="A61" s="55"/>
      <c r="B61" s="55"/>
      <c r="C61" s="56">
        <v>4120</v>
      </c>
      <c r="D61" s="61" t="s">
        <v>126</v>
      </c>
      <c r="E61" s="57"/>
      <c r="F61" s="57">
        <v>840</v>
      </c>
    </row>
    <row r="62" spans="1:6" s="32" customFormat="1" ht="17.25" customHeight="1">
      <c r="A62" s="38"/>
      <c r="B62" s="38">
        <v>75045</v>
      </c>
      <c r="C62" s="39"/>
      <c r="D62" s="40" t="s">
        <v>7</v>
      </c>
      <c r="E62" s="41">
        <f>SUM(E63)</f>
        <v>32812</v>
      </c>
      <c r="F62" s="41">
        <f>SUM(F64:F68)</f>
        <v>32812</v>
      </c>
    </row>
    <row r="63" spans="1:6" s="32" customFormat="1" ht="42.75" customHeight="1">
      <c r="A63" s="33"/>
      <c r="B63" s="33"/>
      <c r="C63" s="34">
        <v>2110</v>
      </c>
      <c r="D63" s="35" t="s">
        <v>5</v>
      </c>
      <c r="E63" s="36">
        <f>25000+9660-1848</f>
        <v>32812</v>
      </c>
      <c r="F63" s="36"/>
    </row>
    <row r="64" spans="1:6" s="58" customFormat="1" ht="15.75" customHeight="1">
      <c r="A64" s="55"/>
      <c r="B64" s="55"/>
      <c r="C64" s="56">
        <v>4110</v>
      </c>
      <c r="D64" s="61" t="s">
        <v>22</v>
      </c>
      <c r="E64" s="57"/>
      <c r="F64" s="57">
        <v>1599</v>
      </c>
    </row>
    <row r="65" spans="1:6" s="58" customFormat="1" ht="24.75" customHeight="1">
      <c r="A65" s="55"/>
      <c r="B65" s="55"/>
      <c r="C65" s="56">
        <v>4120</v>
      </c>
      <c r="D65" s="61" t="s">
        <v>126</v>
      </c>
      <c r="E65" s="57"/>
      <c r="F65" s="57">
        <v>187</v>
      </c>
    </row>
    <row r="66" spans="1:6" s="58" customFormat="1" ht="15.75" customHeight="1">
      <c r="A66" s="55"/>
      <c r="B66" s="55"/>
      <c r="C66" s="56">
        <v>4170</v>
      </c>
      <c r="D66" s="61" t="s">
        <v>23</v>
      </c>
      <c r="E66" s="57"/>
      <c r="F66" s="57">
        <f>21300+9420</f>
        <v>30720</v>
      </c>
    </row>
    <row r="67" spans="1:6" s="58" customFormat="1" ht="15.75" customHeight="1">
      <c r="A67" s="55"/>
      <c r="B67" s="55"/>
      <c r="C67" s="56">
        <v>4210</v>
      </c>
      <c r="D67" s="61" t="s">
        <v>18</v>
      </c>
      <c r="E67" s="57"/>
      <c r="F67" s="57">
        <f>1739+240-1673</f>
        <v>306</v>
      </c>
    </row>
    <row r="68" spans="1:6" s="58" customFormat="1" ht="15.75" customHeight="1">
      <c r="A68" s="55"/>
      <c r="B68" s="55"/>
      <c r="C68" s="56">
        <v>4300</v>
      </c>
      <c r="D68" s="61" t="s">
        <v>17</v>
      </c>
      <c r="E68" s="57"/>
      <c r="F68" s="57">
        <f>175-175</f>
        <v>0</v>
      </c>
    </row>
    <row r="69" spans="1:6" s="58" customFormat="1" ht="15.75" customHeight="1">
      <c r="A69" s="81" t="s">
        <v>112</v>
      </c>
      <c r="B69" s="81"/>
      <c r="C69" s="82"/>
      <c r="D69" s="83" t="s">
        <v>113</v>
      </c>
      <c r="E69" s="84">
        <f>E70</f>
        <v>70885</v>
      </c>
      <c r="F69" s="84">
        <f>F70</f>
        <v>70885</v>
      </c>
    </row>
    <row r="70" spans="1:6" s="58" customFormat="1" ht="15.75" customHeight="1">
      <c r="A70" s="70"/>
      <c r="B70" s="70" t="s">
        <v>116</v>
      </c>
      <c r="C70" s="71"/>
      <c r="D70" s="72" t="s">
        <v>6</v>
      </c>
      <c r="E70" s="73">
        <f>SUM(E71:E72)</f>
        <v>70885</v>
      </c>
      <c r="F70" s="73">
        <f>SUM(F73:F74)</f>
        <v>70885</v>
      </c>
    </row>
    <row r="71" spans="1:6" s="58" customFormat="1" ht="40.5" customHeight="1">
      <c r="A71" s="55"/>
      <c r="B71" s="55"/>
      <c r="C71" s="56">
        <v>2110</v>
      </c>
      <c r="D71" s="35" t="s">
        <v>5</v>
      </c>
      <c r="E71" s="57">
        <v>53200</v>
      </c>
      <c r="F71" s="57"/>
    </row>
    <row r="72" spans="1:6" s="58" customFormat="1" ht="43.5" customHeight="1">
      <c r="A72" s="55"/>
      <c r="B72" s="55"/>
      <c r="C72" s="56">
        <v>6410</v>
      </c>
      <c r="D72" s="85" t="s">
        <v>114</v>
      </c>
      <c r="E72" s="57">
        <v>17685</v>
      </c>
      <c r="F72" s="57"/>
    </row>
    <row r="73" spans="1:6" s="58" customFormat="1" ht="15.75" customHeight="1">
      <c r="A73" s="55"/>
      <c r="B73" s="55"/>
      <c r="C73" s="56">
        <v>4210</v>
      </c>
      <c r="D73" s="61" t="s">
        <v>18</v>
      </c>
      <c r="E73" s="57"/>
      <c r="F73" s="57">
        <v>53200</v>
      </c>
    </row>
    <row r="74" spans="1:6" s="58" customFormat="1" ht="15.75" customHeight="1">
      <c r="A74" s="55"/>
      <c r="B74" s="55"/>
      <c r="C74" s="56">
        <v>6060</v>
      </c>
      <c r="D74" s="86" t="s">
        <v>115</v>
      </c>
      <c r="E74" s="57"/>
      <c r="F74" s="57">
        <v>17685</v>
      </c>
    </row>
    <row r="75" spans="1:6" s="32" customFormat="1" ht="18" customHeight="1">
      <c r="A75" s="50">
        <v>754</v>
      </c>
      <c r="B75" s="50"/>
      <c r="C75" s="51"/>
      <c r="D75" s="52" t="s">
        <v>8</v>
      </c>
      <c r="E75" s="53">
        <f>SUM(E76,E107)</f>
        <v>7415641</v>
      </c>
      <c r="F75" s="53">
        <f>SUM(F76,F107)</f>
        <v>7415641</v>
      </c>
    </row>
    <row r="76" spans="1:6" s="32" customFormat="1" ht="17.25" customHeight="1">
      <c r="A76" s="38"/>
      <c r="B76" s="38">
        <v>75411</v>
      </c>
      <c r="C76" s="39"/>
      <c r="D76" s="40" t="s">
        <v>9</v>
      </c>
      <c r="E76" s="41">
        <f>SUM(E77,J80)</f>
        <v>7409641</v>
      </c>
      <c r="F76" s="41">
        <f>SUM(F78:F106)</f>
        <v>7409641</v>
      </c>
    </row>
    <row r="77" spans="1:6" s="69" customFormat="1" ht="42.75" customHeight="1">
      <c r="A77" s="65"/>
      <c r="B77" s="65"/>
      <c r="C77" s="66">
        <v>2110</v>
      </c>
      <c r="D77" s="67" t="s">
        <v>5</v>
      </c>
      <c r="E77" s="68">
        <f>6834638+355491+7185+101301+94827+16199</f>
        <v>7409641</v>
      </c>
      <c r="F77" s="68"/>
    </row>
    <row r="78" spans="1:6" s="32" customFormat="1" ht="21.75" customHeight="1">
      <c r="A78" s="33"/>
      <c r="B78" s="33"/>
      <c r="C78" s="34">
        <v>3030</v>
      </c>
      <c r="D78" s="35" t="s">
        <v>119</v>
      </c>
      <c r="E78" s="36"/>
      <c r="F78" s="36">
        <f>5000+1129</f>
        <v>6129</v>
      </c>
    </row>
    <row r="79" spans="1:6" s="32" customFormat="1" ht="28.5" customHeight="1">
      <c r="A79" s="33"/>
      <c r="B79" s="33"/>
      <c r="C79" s="34">
        <v>3070</v>
      </c>
      <c r="D79" s="35" t="s">
        <v>44</v>
      </c>
      <c r="E79" s="36"/>
      <c r="F79" s="36">
        <f>270029-40000-5000-7129-27000</f>
        <v>190900</v>
      </c>
    </row>
    <row r="80" spans="1:6" s="32" customFormat="1" ht="15.75" customHeight="1">
      <c r="A80" s="33"/>
      <c r="B80" s="33"/>
      <c r="C80" s="34">
        <v>4010</v>
      </c>
      <c r="D80" s="35" t="s">
        <v>20</v>
      </c>
      <c r="E80" s="36"/>
      <c r="F80" s="68">
        <f>27724+3600+1500+2563</f>
        <v>35387</v>
      </c>
    </row>
    <row r="81" spans="1:6" s="32" customFormat="1" ht="15.75" customHeight="1">
      <c r="A81" s="33"/>
      <c r="B81" s="33"/>
      <c r="C81" s="34">
        <v>4020</v>
      </c>
      <c r="D81" s="35" t="s">
        <v>40</v>
      </c>
      <c r="E81" s="36"/>
      <c r="F81" s="68">
        <f>101447+10800+4500</f>
        <v>116747</v>
      </c>
    </row>
    <row r="82" spans="1:6" s="32" customFormat="1" ht="15.75" customHeight="1">
      <c r="A82" s="33"/>
      <c r="B82" s="33"/>
      <c r="C82" s="34">
        <v>4040</v>
      </c>
      <c r="D82" s="35" t="s">
        <v>21</v>
      </c>
      <c r="E82" s="36"/>
      <c r="F82" s="68">
        <f>10980-2563</f>
        <v>8417</v>
      </c>
    </row>
    <row r="83" spans="1:6" s="32" customFormat="1" ht="15.75" customHeight="1">
      <c r="A83" s="33"/>
      <c r="B83" s="33"/>
      <c r="C83" s="34">
        <v>4050</v>
      </c>
      <c r="D83" s="35" t="s">
        <v>45</v>
      </c>
      <c r="E83" s="36"/>
      <c r="F83" s="68">
        <f>5009604+326681-5542+98297</f>
        <v>5429040</v>
      </c>
    </row>
    <row r="84" spans="1:6" s="32" customFormat="1" ht="29.25" customHeight="1">
      <c r="A84" s="33"/>
      <c r="B84" s="33"/>
      <c r="C84" s="34">
        <v>4060</v>
      </c>
      <c r="D84" s="35" t="s">
        <v>88</v>
      </c>
      <c r="E84" s="36"/>
      <c r="F84" s="68">
        <f>117640+7341+5542+3004</f>
        <v>133527</v>
      </c>
    </row>
    <row r="85" spans="1:6" s="32" customFormat="1" ht="29.25" customHeight="1">
      <c r="A85" s="33"/>
      <c r="B85" s="33"/>
      <c r="C85" s="34">
        <v>4070</v>
      </c>
      <c r="D85" s="35" t="s">
        <v>46</v>
      </c>
      <c r="E85" s="36"/>
      <c r="F85" s="68">
        <v>396331</v>
      </c>
    </row>
    <row r="86" spans="1:6" s="32" customFormat="1" ht="29.25" customHeight="1">
      <c r="A86" s="33"/>
      <c r="B86" s="33"/>
      <c r="C86" s="34">
        <v>4080</v>
      </c>
      <c r="D86" s="35" t="s">
        <v>104</v>
      </c>
      <c r="E86" s="36"/>
      <c r="F86" s="68">
        <v>44215</v>
      </c>
    </row>
    <row r="87" spans="1:6" s="32" customFormat="1" ht="15.75" customHeight="1">
      <c r="A87" s="33"/>
      <c r="B87" s="33"/>
      <c r="C87" s="34">
        <v>4110</v>
      </c>
      <c r="D87" s="35" t="s">
        <v>22</v>
      </c>
      <c r="E87" s="36"/>
      <c r="F87" s="68">
        <f>26895+2495+1038</f>
        <v>30428</v>
      </c>
    </row>
    <row r="88" spans="1:6" s="32" customFormat="1" ht="25.5" customHeight="1">
      <c r="A88" s="33"/>
      <c r="B88" s="33"/>
      <c r="C88" s="34">
        <v>4120</v>
      </c>
      <c r="D88" s="35" t="s">
        <v>126</v>
      </c>
      <c r="E88" s="36"/>
      <c r="F88" s="68">
        <f>3434+362+147</f>
        <v>3943</v>
      </c>
    </row>
    <row r="89" spans="1:6" s="32" customFormat="1" ht="15.75" customHeight="1">
      <c r="A89" s="33"/>
      <c r="B89" s="33"/>
      <c r="C89" s="34">
        <v>4170</v>
      </c>
      <c r="D89" s="35" t="s">
        <v>23</v>
      </c>
      <c r="E89" s="36"/>
      <c r="F89" s="68">
        <v>19000</v>
      </c>
    </row>
    <row r="90" spans="1:6" s="69" customFormat="1" ht="29.25" customHeight="1">
      <c r="A90" s="65"/>
      <c r="B90" s="65"/>
      <c r="C90" s="66">
        <v>4180</v>
      </c>
      <c r="D90" s="67" t="s">
        <v>89</v>
      </c>
      <c r="E90" s="68"/>
      <c r="F90" s="68">
        <f>370648+4212+94827+16199</f>
        <v>485886</v>
      </c>
    </row>
    <row r="91" spans="1:6" s="32" customFormat="1" ht="15.75" customHeight="1">
      <c r="A91" s="33"/>
      <c r="B91" s="33"/>
      <c r="C91" s="34">
        <v>4210</v>
      </c>
      <c r="D91" s="35" t="s">
        <v>18</v>
      </c>
      <c r="E91" s="36"/>
      <c r="F91" s="36">
        <f>119592+20000+15000</f>
        <v>154592</v>
      </c>
    </row>
    <row r="92" spans="1:6" s="32" customFormat="1" ht="15.75" customHeight="1">
      <c r="A92" s="33"/>
      <c r="B92" s="33"/>
      <c r="C92" s="34">
        <v>4220</v>
      </c>
      <c r="D92" s="35" t="s">
        <v>47</v>
      </c>
      <c r="E92" s="36"/>
      <c r="F92" s="36">
        <f>9000+5000</f>
        <v>14000</v>
      </c>
    </row>
    <row r="93" spans="1:6" s="32" customFormat="1" ht="15.75" customHeight="1">
      <c r="A93" s="33"/>
      <c r="B93" s="33"/>
      <c r="C93" s="34">
        <v>4230</v>
      </c>
      <c r="D93" s="35" t="s">
        <v>48</v>
      </c>
      <c r="E93" s="36"/>
      <c r="F93" s="36">
        <v>8000</v>
      </c>
    </row>
    <row r="94" spans="1:6" s="32" customFormat="1" ht="15.75" customHeight="1">
      <c r="A94" s="33"/>
      <c r="B94" s="33"/>
      <c r="C94" s="34">
        <v>4250</v>
      </c>
      <c r="D94" s="35" t="s">
        <v>49</v>
      </c>
      <c r="E94" s="36"/>
      <c r="F94" s="36">
        <v>16000</v>
      </c>
    </row>
    <row r="95" spans="1:6" s="32" customFormat="1" ht="15.75" customHeight="1">
      <c r="A95" s="33"/>
      <c r="B95" s="33"/>
      <c r="C95" s="34">
        <v>4260</v>
      </c>
      <c r="D95" s="35" t="s">
        <v>24</v>
      </c>
      <c r="E95" s="36"/>
      <c r="F95" s="36">
        <f>78086+10000</f>
        <v>88086</v>
      </c>
    </row>
    <row r="96" spans="1:6" s="32" customFormat="1" ht="15.75" customHeight="1">
      <c r="A96" s="33"/>
      <c r="B96" s="33"/>
      <c r="C96" s="34">
        <v>4270</v>
      </c>
      <c r="D96" s="35" t="s">
        <v>25</v>
      </c>
      <c r="E96" s="36"/>
      <c r="F96" s="36">
        <v>61809</v>
      </c>
    </row>
    <row r="97" spans="1:6" s="32" customFormat="1" ht="15.75" customHeight="1">
      <c r="A97" s="33"/>
      <c r="B97" s="33"/>
      <c r="C97" s="34">
        <v>4280</v>
      </c>
      <c r="D97" s="35" t="s">
        <v>38</v>
      </c>
      <c r="E97" s="36"/>
      <c r="F97" s="36">
        <v>29300</v>
      </c>
    </row>
    <row r="98" spans="1:6" s="32" customFormat="1" ht="15.75" customHeight="1">
      <c r="A98" s="33"/>
      <c r="B98" s="33"/>
      <c r="C98" s="34">
        <v>4300</v>
      </c>
      <c r="D98" s="35" t="s">
        <v>17</v>
      </c>
      <c r="E98" s="36"/>
      <c r="F98" s="36">
        <f>43000+20000</f>
        <v>63000</v>
      </c>
    </row>
    <row r="99" spans="1:6" s="32" customFormat="1" ht="15.75" customHeight="1">
      <c r="A99" s="33"/>
      <c r="B99" s="33"/>
      <c r="C99" s="34">
        <v>4360</v>
      </c>
      <c r="D99" s="35" t="s">
        <v>76</v>
      </c>
      <c r="E99" s="36"/>
      <c r="F99" s="36">
        <v>8562</v>
      </c>
    </row>
    <row r="100" spans="1:6" s="32" customFormat="1" ht="15.75" customHeight="1">
      <c r="A100" s="33"/>
      <c r="B100" s="33"/>
      <c r="C100" s="34">
        <v>4410</v>
      </c>
      <c r="D100" s="35" t="s">
        <v>26</v>
      </c>
      <c r="E100" s="36"/>
      <c r="F100" s="36">
        <f>15300+6000</f>
        <v>21300</v>
      </c>
    </row>
    <row r="101" spans="1:6" s="32" customFormat="1" ht="15.75" customHeight="1">
      <c r="A101" s="33"/>
      <c r="B101" s="33"/>
      <c r="C101" s="34">
        <v>4430</v>
      </c>
      <c r="D101" s="35" t="s">
        <v>27</v>
      </c>
      <c r="E101" s="36"/>
      <c r="F101" s="36">
        <f>3700+2000</f>
        <v>5700</v>
      </c>
    </row>
    <row r="102" spans="1:6" s="32" customFormat="1" ht="15.75" customHeight="1">
      <c r="A102" s="33"/>
      <c r="B102" s="33"/>
      <c r="C102" s="34">
        <v>4440</v>
      </c>
      <c r="D102" s="35" t="s">
        <v>28</v>
      </c>
      <c r="E102" s="36"/>
      <c r="F102" s="36">
        <v>4917</v>
      </c>
    </row>
    <row r="103" spans="1:6" s="32" customFormat="1" ht="15.75" customHeight="1">
      <c r="A103" s="33"/>
      <c r="B103" s="33"/>
      <c r="C103" s="34">
        <v>4480</v>
      </c>
      <c r="D103" s="35" t="s">
        <v>29</v>
      </c>
      <c r="E103" s="36"/>
      <c r="F103" s="36">
        <v>24325</v>
      </c>
    </row>
    <row r="104" spans="1:6" s="32" customFormat="1" ht="15.75" customHeight="1">
      <c r="A104" s="33"/>
      <c r="B104" s="33"/>
      <c r="C104" s="34">
        <v>4550</v>
      </c>
      <c r="D104" s="35" t="s">
        <v>41</v>
      </c>
      <c r="E104" s="36"/>
      <c r="F104" s="36">
        <v>3700</v>
      </c>
    </row>
    <row r="105" spans="1:6" s="32" customFormat="1" ht="15.75" customHeight="1">
      <c r="A105" s="33"/>
      <c r="B105" s="33"/>
      <c r="C105" s="34">
        <v>4610</v>
      </c>
      <c r="D105" s="35" t="s">
        <v>36</v>
      </c>
      <c r="E105" s="36"/>
      <c r="F105" s="36">
        <v>900</v>
      </c>
    </row>
    <row r="106" spans="1:6" s="32" customFormat="1" ht="28.5" customHeight="1">
      <c r="A106" s="33"/>
      <c r="B106" s="33"/>
      <c r="C106" s="34">
        <v>4700</v>
      </c>
      <c r="D106" s="35" t="s">
        <v>77</v>
      </c>
      <c r="E106" s="36"/>
      <c r="F106" s="36">
        <v>5500</v>
      </c>
    </row>
    <row r="107" spans="1:6" s="32" customFormat="1" ht="18" customHeight="1">
      <c r="A107" s="38"/>
      <c r="B107" s="38" t="s">
        <v>117</v>
      </c>
      <c r="C107" s="39"/>
      <c r="D107" s="40" t="s">
        <v>118</v>
      </c>
      <c r="E107" s="41">
        <f>SUM(E108)</f>
        <v>6000</v>
      </c>
      <c r="F107" s="41">
        <f>SUM(F109)</f>
        <v>6000</v>
      </c>
    </row>
    <row r="108" spans="1:6" s="32" customFormat="1" ht="48" customHeight="1">
      <c r="A108" s="33"/>
      <c r="B108" s="33"/>
      <c r="C108" s="34">
        <v>2110</v>
      </c>
      <c r="D108" s="44" t="s">
        <v>5</v>
      </c>
      <c r="E108" s="36">
        <v>6000</v>
      </c>
      <c r="F108" s="36"/>
    </row>
    <row r="109" spans="1:6" s="32" customFormat="1" ht="21" customHeight="1">
      <c r="A109" s="33"/>
      <c r="B109" s="33"/>
      <c r="C109" s="34">
        <v>4210</v>
      </c>
      <c r="D109" s="35" t="s">
        <v>18</v>
      </c>
      <c r="E109" s="36"/>
      <c r="F109" s="36">
        <v>6000</v>
      </c>
    </row>
    <row r="110" spans="1:6" s="32" customFormat="1" ht="17.25" customHeight="1">
      <c r="A110" s="50" t="s">
        <v>93</v>
      </c>
      <c r="B110" s="50"/>
      <c r="C110" s="51"/>
      <c r="D110" s="52" t="s">
        <v>90</v>
      </c>
      <c r="E110" s="53">
        <f>AVERAGE(E111)</f>
        <v>330000</v>
      </c>
      <c r="F110" s="53">
        <f>AVERAGE(F111)</f>
        <v>330000</v>
      </c>
    </row>
    <row r="111" spans="1:6" s="32" customFormat="1" ht="17.25" customHeight="1">
      <c r="A111" s="38"/>
      <c r="B111" s="38" t="s">
        <v>92</v>
      </c>
      <c r="C111" s="39"/>
      <c r="D111" s="40" t="s">
        <v>91</v>
      </c>
      <c r="E111" s="41">
        <f>SUM(E112)</f>
        <v>330000</v>
      </c>
      <c r="F111" s="41">
        <f>SUM(F113:F119)</f>
        <v>330000</v>
      </c>
    </row>
    <row r="112" spans="1:6" s="32" customFormat="1" ht="47.25" customHeight="1">
      <c r="A112" s="33"/>
      <c r="B112" s="33"/>
      <c r="C112" s="34">
        <v>2110</v>
      </c>
      <c r="D112" s="44" t="s">
        <v>5</v>
      </c>
      <c r="E112" s="36">
        <v>330000</v>
      </c>
      <c r="F112" s="36"/>
    </row>
    <row r="113" spans="1:6" s="58" customFormat="1" ht="60" customHeight="1">
      <c r="A113" s="55"/>
      <c r="B113" s="55"/>
      <c r="C113" s="62">
        <v>2360</v>
      </c>
      <c r="D113" s="45" t="s">
        <v>94</v>
      </c>
      <c r="E113" s="63"/>
      <c r="F113" s="57">
        <v>190080</v>
      </c>
    </row>
    <row r="114" spans="1:6" s="58" customFormat="1" ht="15.75" customHeight="1">
      <c r="A114" s="55"/>
      <c r="B114" s="55"/>
      <c r="C114" s="62">
        <v>4010</v>
      </c>
      <c r="D114" s="61" t="s">
        <v>20</v>
      </c>
      <c r="E114" s="63"/>
      <c r="F114" s="57">
        <v>5400</v>
      </c>
    </row>
    <row r="115" spans="1:6" s="58" customFormat="1" ht="15.75" customHeight="1">
      <c r="A115" s="55"/>
      <c r="B115" s="55"/>
      <c r="C115" s="62">
        <v>4110</v>
      </c>
      <c r="D115" s="61" t="s">
        <v>22</v>
      </c>
      <c r="E115" s="63"/>
      <c r="F115" s="57">
        <v>924</v>
      </c>
    </row>
    <row r="116" spans="1:6" s="58" customFormat="1" ht="31.5" customHeight="1">
      <c r="A116" s="55"/>
      <c r="B116" s="55"/>
      <c r="C116" s="62">
        <v>4120</v>
      </c>
      <c r="D116" s="61" t="s">
        <v>126</v>
      </c>
      <c r="E116" s="63"/>
      <c r="F116" s="57">
        <v>132</v>
      </c>
    </row>
    <row r="117" spans="1:6" s="58" customFormat="1" ht="15.75" customHeight="1">
      <c r="A117" s="55"/>
      <c r="B117" s="55"/>
      <c r="C117" s="62">
        <v>4170</v>
      </c>
      <c r="D117" s="61" t="s">
        <v>23</v>
      </c>
      <c r="E117" s="63"/>
      <c r="F117" s="57">
        <v>0</v>
      </c>
    </row>
    <row r="118" spans="1:6" s="58" customFormat="1" ht="15.75" customHeight="1">
      <c r="A118" s="55"/>
      <c r="B118" s="55"/>
      <c r="C118" s="56">
        <v>4210</v>
      </c>
      <c r="D118" s="64" t="s">
        <v>18</v>
      </c>
      <c r="E118" s="57"/>
      <c r="F118" s="57">
        <v>5964</v>
      </c>
    </row>
    <row r="119" spans="1:6" s="58" customFormat="1" ht="15.75" customHeight="1">
      <c r="A119" s="55"/>
      <c r="B119" s="55"/>
      <c r="C119" s="56">
        <v>4300</v>
      </c>
      <c r="D119" s="61" t="s">
        <v>17</v>
      </c>
      <c r="E119" s="57"/>
      <c r="F119" s="57">
        <v>127500</v>
      </c>
    </row>
    <row r="120" spans="1:6" s="58" customFormat="1" ht="15.75" customHeight="1">
      <c r="A120" s="81" t="s">
        <v>120</v>
      </c>
      <c r="B120" s="81"/>
      <c r="C120" s="82"/>
      <c r="D120" s="83" t="s">
        <v>121</v>
      </c>
      <c r="E120" s="88">
        <f>E121</f>
        <v>42135</v>
      </c>
      <c r="F120" s="88">
        <f>F121</f>
        <v>42135</v>
      </c>
    </row>
    <row r="121" spans="1:6" s="58" customFormat="1" ht="36" customHeight="1">
      <c r="A121" s="70"/>
      <c r="B121" s="70" t="s">
        <v>122</v>
      </c>
      <c r="C121" s="71"/>
      <c r="D121" s="72" t="s">
        <v>123</v>
      </c>
      <c r="E121" s="87">
        <f>SUM(E122)</f>
        <v>42135</v>
      </c>
      <c r="F121" s="87">
        <f>SUM(F123:F124)</f>
        <v>42135</v>
      </c>
    </row>
    <row r="122" spans="1:6" s="58" customFormat="1" ht="43.5" customHeight="1">
      <c r="A122" s="79"/>
      <c r="B122" s="79"/>
      <c r="C122" s="80">
        <v>2110</v>
      </c>
      <c r="D122" s="44" t="s">
        <v>5</v>
      </c>
      <c r="E122" s="57">
        <f>23349+18786</f>
        <v>42135</v>
      </c>
      <c r="F122" s="57"/>
    </row>
    <row r="123" spans="1:6" s="58" customFormat="1" ht="45" customHeight="1">
      <c r="A123" s="79"/>
      <c r="B123" s="79"/>
      <c r="C123" s="80">
        <v>2830</v>
      </c>
      <c r="D123" s="85" t="s">
        <v>124</v>
      </c>
      <c r="E123" s="57"/>
      <c r="F123" s="78">
        <f>4257+3392</f>
        <v>7649</v>
      </c>
    </row>
    <row r="124" spans="1:6" s="58" customFormat="1" ht="21" customHeight="1">
      <c r="A124" s="79"/>
      <c r="B124" s="79"/>
      <c r="C124" s="80">
        <v>4240</v>
      </c>
      <c r="D124" s="85" t="s">
        <v>125</v>
      </c>
      <c r="E124" s="57"/>
      <c r="F124" s="78">
        <f>19092+15394</f>
        <v>34486</v>
      </c>
    </row>
    <row r="125" spans="1:6" s="32" customFormat="1" ht="17.25" customHeight="1">
      <c r="A125" s="50">
        <v>851</v>
      </c>
      <c r="B125" s="50"/>
      <c r="C125" s="51"/>
      <c r="D125" s="52" t="s">
        <v>10</v>
      </c>
      <c r="E125" s="53">
        <f>SUM(E126)</f>
        <v>1435600</v>
      </c>
      <c r="F125" s="53">
        <f>SUM(F126)</f>
        <v>1435600</v>
      </c>
    </row>
    <row r="126" spans="1:6" s="32" customFormat="1" ht="33.75" customHeight="1">
      <c r="A126" s="38"/>
      <c r="B126" s="38">
        <v>85156</v>
      </c>
      <c r="C126" s="39"/>
      <c r="D126" s="40" t="s">
        <v>11</v>
      </c>
      <c r="E126" s="41">
        <f>E127</f>
        <v>1435600</v>
      </c>
      <c r="F126" s="41">
        <f>F128</f>
        <v>1435600</v>
      </c>
    </row>
    <row r="127" spans="1:6" s="32" customFormat="1" ht="42.75" customHeight="1">
      <c r="A127" s="33"/>
      <c r="B127" s="33"/>
      <c r="C127" s="34">
        <v>2110</v>
      </c>
      <c r="D127" s="35" t="s">
        <v>5</v>
      </c>
      <c r="E127" s="36">
        <v>1435600</v>
      </c>
      <c r="F127" s="36"/>
    </row>
    <row r="128" spans="1:6" s="32" customFormat="1" ht="15.75" customHeight="1">
      <c r="A128" s="33"/>
      <c r="B128" s="33"/>
      <c r="C128" s="34">
        <v>4130</v>
      </c>
      <c r="D128" s="35" t="s">
        <v>50</v>
      </c>
      <c r="E128" s="36"/>
      <c r="F128" s="36">
        <v>1435600</v>
      </c>
    </row>
    <row r="129" spans="1:6" s="32" customFormat="1" ht="17.25" customHeight="1">
      <c r="A129" s="50" t="s">
        <v>79</v>
      </c>
      <c r="B129" s="50"/>
      <c r="C129" s="51"/>
      <c r="D129" s="52" t="s">
        <v>51</v>
      </c>
      <c r="E129" s="53">
        <f>E130</f>
        <v>839509</v>
      </c>
      <c r="F129" s="53">
        <f>F130</f>
        <v>839509</v>
      </c>
    </row>
    <row r="130" spans="1:6" s="32" customFormat="1" ht="17.25" customHeight="1">
      <c r="A130" s="38"/>
      <c r="B130" s="38">
        <v>85203</v>
      </c>
      <c r="C130" s="39"/>
      <c r="D130" s="40" t="s">
        <v>12</v>
      </c>
      <c r="E130" s="41">
        <f>SUM(E131,)</f>
        <v>839509</v>
      </c>
      <c r="F130" s="41">
        <f>SUM(F132:F150)</f>
        <v>839509</v>
      </c>
    </row>
    <row r="131" spans="1:6" s="32" customFormat="1" ht="43.5" customHeight="1">
      <c r="A131" s="33"/>
      <c r="B131" s="33"/>
      <c r="C131" s="34">
        <v>2110</v>
      </c>
      <c r="D131" s="35" t="s">
        <v>5</v>
      </c>
      <c r="E131" s="36">
        <f>841440-1931</f>
        <v>839509</v>
      </c>
      <c r="F131" s="36"/>
    </row>
    <row r="132" spans="1:6" s="32" customFormat="1" ht="15.75" customHeight="1">
      <c r="A132" s="33"/>
      <c r="B132" s="33"/>
      <c r="C132" s="56">
        <v>3020</v>
      </c>
      <c r="D132" s="35" t="s">
        <v>19</v>
      </c>
      <c r="E132" s="57"/>
      <c r="F132" s="57">
        <v>500</v>
      </c>
    </row>
    <row r="133" spans="1:6" s="58" customFormat="1" ht="15.75" customHeight="1">
      <c r="A133" s="55"/>
      <c r="B133" s="55"/>
      <c r="C133" s="56">
        <v>4010</v>
      </c>
      <c r="D133" s="61" t="s">
        <v>20</v>
      </c>
      <c r="E133" s="57"/>
      <c r="F133" s="57">
        <v>450000</v>
      </c>
    </row>
    <row r="134" spans="1:6" s="58" customFormat="1" ht="15.75" customHeight="1">
      <c r="A134" s="55"/>
      <c r="B134" s="55"/>
      <c r="C134" s="56">
        <v>4040</v>
      </c>
      <c r="D134" s="61" t="s">
        <v>21</v>
      </c>
      <c r="E134" s="57"/>
      <c r="F134" s="57">
        <f>25852-458</f>
        <v>25394</v>
      </c>
    </row>
    <row r="135" spans="1:6" s="58" customFormat="1" ht="15.75" customHeight="1">
      <c r="A135" s="55"/>
      <c r="B135" s="55"/>
      <c r="C135" s="56">
        <v>4110</v>
      </c>
      <c r="D135" s="61" t="s">
        <v>22</v>
      </c>
      <c r="E135" s="57"/>
      <c r="F135" s="57">
        <v>85320</v>
      </c>
    </row>
    <row r="136" spans="1:6" s="58" customFormat="1" ht="30" customHeight="1">
      <c r="A136" s="55"/>
      <c r="B136" s="55"/>
      <c r="C136" s="56">
        <v>4120</v>
      </c>
      <c r="D136" s="61" t="s">
        <v>126</v>
      </c>
      <c r="E136" s="57"/>
      <c r="F136" s="57">
        <v>11658</v>
      </c>
    </row>
    <row r="137" spans="1:6" s="58" customFormat="1" ht="15.75" customHeight="1">
      <c r="A137" s="55"/>
      <c r="B137" s="55"/>
      <c r="C137" s="56">
        <v>4170</v>
      </c>
      <c r="D137" s="61" t="s">
        <v>23</v>
      </c>
      <c r="E137" s="57"/>
      <c r="F137" s="57">
        <f>2500+3000</f>
        <v>5500</v>
      </c>
    </row>
    <row r="138" spans="1:6" s="58" customFormat="1" ht="15.75" customHeight="1">
      <c r="A138" s="55"/>
      <c r="B138" s="55"/>
      <c r="C138" s="56">
        <v>4210</v>
      </c>
      <c r="D138" s="61" t="s">
        <v>18</v>
      </c>
      <c r="E138" s="57"/>
      <c r="F138" s="57">
        <v>55864</v>
      </c>
    </row>
    <row r="139" spans="1:6" s="58" customFormat="1" ht="15.75" customHeight="1">
      <c r="A139" s="55"/>
      <c r="B139" s="55"/>
      <c r="C139" s="56">
        <v>4220</v>
      </c>
      <c r="D139" s="61" t="s">
        <v>47</v>
      </c>
      <c r="E139" s="57"/>
      <c r="F139" s="57">
        <v>19000</v>
      </c>
    </row>
    <row r="140" spans="1:6" s="58" customFormat="1" ht="15.75" customHeight="1">
      <c r="A140" s="55"/>
      <c r="B140" s="55"/>
      <c r="C140" s="56">
        <v>4260</v>
      </c>
      <c r="D140" s="61" t="s">
        <v>24</v>
      </c>
      <c r="E140" s="57"/>
      <c r="F140" s="57">
        <v>6000</v>
      </c>
    </row>
    <row r="141" spans="1:6" s="58" customFormat="1" ht="15.75" customHeight="1">
      <c r="A141" s="55"/>
      <c r="B141" s="55"/>
      <c r="C141" s="56">
        <v>4270</v>
      </c>
      <c r="D141" s="61" t="s">
        <v>25</v>
      </c>
      <c r="E141" s="57"/>
      <c r="F141" s="57">
        <f>33577-2529-1931</f>
        <v>29117</v>
      </c>
    </row>
    <row r="142" spans="1:6" s="58" customFormat="1" ht="15.75" customHeight="1">
      <c r="A142" s="55"/>
      <c r="B142" s="55"/>
      <c r="C142" s="56">
        <v>4280</v>
      </c>
      <c r="D142" s="61" t="s">
        <v>38</v>
      </c>
      <c r="E142" s="57"/>
      <c r="F142" s="57">
        <v>400</v>
      </c>
    </row>
    <row r="143" spans="1:6" s="58" customFormat="1" ht="15.75" customHeight="1">
      <c r="A143" s="55"/>
      <c r="B143" s="55"/>
      <c r="C143" s="56">
        <v>4300</v>
      </c>
      <c r="D143" s="61" t="s">
        <v>17</v>
      </c>
      <c r="E143" s="57"/>
      <c r="F143" s="57">
        <v>111823</v>
      </c>
    </row>
    <row r="144" spans="1:6" s="58" customFormat="1" ht="15.75" customHeight="1">
      <c r="A144" s="55"/>
      <c r="B144" s="55"/>
      <c r="C144" s="56">
        <v>4360</v>
      </c>
      <c r="D144" s="61" t="s">
        <v>76</v>
      </c>
      <c r="E144" s="57"/>
      <c r="F144" s="57">
        <v>3850</v>
      </c>
    </row>
    <row r="145" spans="1:6" s="58" customFormat="1" ht="15.75" customHeight="1">
      <c r="A145" s="55"/>
      <c r="B145" s="55"/>
      <c r="C145" s="56">
        <v>4410</v>
      </c>
      <c r="D145" s="61" t="s">
        <v>26</v>
      </c>
      <c r="E145" s="57"/>
      <c r="F145" s="57">
        <v>2000</v>
      </c>
    </row>
    <row r="146" spans="1:6" s="58" customFormat="1" ht="15.75" customHeight="1">
      <c r="A146" s="55"/>
      <c r="B146" s="55"/>
      <c r="C146" s="56">
        <v>4430</v>
      </c>
      <c r="D146" s="61" t="s">
        <v>27</v>
      </c>
      <c r="E146" s="57"/>
      <c r="F146" s="57">
        <v>1125</v>
      </c>
    </row>
    <row r="147" spans="1:6" s="58" customFormat="1" ht="15.75" customHeight="1">
      <c r="A147" s="55"/>
      <c r="B147" s="55"/>
      <c r="C147" s="56">
        <v>4440</v>
      </c>
      <c r="D147" s="61" t="s">
        <v>28</v>
      </c>
      <c r="E147" s="57"/>
      <c r="F147" s="57">
        <v>11269</v>
      </c>
    </row>
    <row r="148" spans="1:6" s="58" customFormat="1" ht="15.75" customHeight="1">
      <c r="A148" s="55"/>
      <c r="B148" s="55"/>
      <c r="C148" s="56">
        <v>4480</v>
      </c>
      <c r="D148" s="61" t="s">
        <v>29</v>
      </c>
      <c r="E148" s="57"/>
      <c r="F148" s="57">
        <v>3632</v>
      </c>
    </row>
    <row r="149" spans="1:6" s="58" customFormat="1" ht="15.75" customHeight="1">
      <c r="A149" s="55"/>
      <c r="B149" s="55"/>
      <c r="C149" s="56">
        <v>4520</v>
      </c>
      <c r="D149" s="61" t="s">
        <v>30</v>
      </c>
      <c r="E149" s="57"/>
      <c r="F149" s="57">
        <f>3070-13</f>
        <v>3057</v>
      </c>
    </row>
    <row r="150" spans="1:6" s="58" customFormat="1" ht="31.5" customHeight="1">
      <c r="A150" s="55"/>
      <c r="B150" s="55"/>
      <c r="C150" s="56">
        <v>4700</v>
      </c>
      <c r="D150" s="61" t="s">
        <v>77</v>
      </c>
      <c r="E150" s="57"/>
      <c r="F150" s="57">
        <v>14000</v>
      </c>
    </row>
    <row r="151" spans="1:6" s="32" customFormat="1" ht="17.25" customHeight="1">
      <c r="A151" s="50">
        <v>853</v>
      </c>
      <c r="B151" s="50"/>
      <c r="C151" s="51"/>
      <c r="D151" s="52" t="s">
        <v>14</v>
      </c>
      <c r="E151" s="248">
        <f>SUM(E152,E164)</f>
        <v>242094.55</v>
      </c>
      <c r="F151" s="248">
        <f>SUM(F152,F164)</f>
        <v>242094.55</v>
      </c>
    </row>
    <row r="152" spans="1:6" s="32" customFormat="1" ht="17.25" customHeight="1">
      <c r="A152" s="38"/>
      <c r="B152" s="38">
        <v>85321</v>
      </c>
      <c r="C152" s="39"/>
      <c r="D152" s="40" t="s">
        <v>15</v>
      </c>
      <c r="E152" s="247">
        <f>SUM(E153)</f>
        <v>163029.54999999999</v>
      </c>
      <c r="F152" s="247">
        <f>SUM(F153:F163)</f>
        <v>163029.54999999999</v>
      </c>
    </row>
    <row r="153" spans="1:6" s="32" customFormat="1" ht="42.75" customHeight="1">
      <c r="A153" s="33"/>
      <c r="B153" s="33"/>
      <c r="C153" s="34">
        <v>2110</v>
      </c>
      <c r="D153" s="35" t="s">
        <v>5</v>
      </c>
      <c r="E153" s="246">
        <f>134228+12000+16801.55</f>
        <v>163029.54999999999</v>
      </c>
      <c r="F153" s="36"/>
    </row>
    <row r="154" spans="1:6" s="32" customFormat="1" ht="15.75" customHeight="1">
      <c r="A154" s="33"/>
      <c r="B154" s="33"/>
      <c r="C154" s="34">
        <v>3020</v>
      </c>
      <c r="D154" s="35" t="s">
        <v>19</v>
      </c>
      <c r="E154" s="36"/>
      <c r="F154" s="36">
        <v>50</v>
      </c>
    </row>
    <row r="155" spans="1:6" s="58" customFormat="1" ht="15.75" customHeight="1">
      <c r="A155" s="55"/>
      <c r="B155" s="55"/>
      <c r="C155" s="56">
        <v>4010</v>
      </c>
      <c r="D155" s="61" t="s">
        <v>20</v>
      </c>
      <c r="E155" s="57"/>
      <c r="F155" s="78">
        <f>54621+2000</f>
        <v>56621</v>
      </c>
    </row>
    <row r="156" spans="1:6" s="58" customFormat="1" ht="15.75" customHeight="1">
      <c r="A156" s="55"/>
      <c r="B156" s="55"/>
      <c r="C156" s="56">
        <v>4040</v>
      </c>
      <c r="D156" s="61" t="s">
        <v>21</v>
      </c>
      <c r="E156" s="57"/>
      <c r="F156" s="78">
        <f>4177-235</f>
        <v>3942</v>
      </c>
    </row>
    <row r="157" spans="1:6" s="58" customFormat="1" ht="15.75" customHeight="1">
      <c r="A157" s="55"/>
      <c r="B157" s="55"/>
      <c r="C157" s="56">
        <v>4110</v>
      </c>
      <c r="D157" s="61" t="s">
        <v>22</v>
      </c>
      <c r="E157" s="57"/>
      <c r="F157" s="78">
        <f>13965+1000</f>
        <v>14965</v>
      </c>
    </row>
    <row r="158" spans="1:6" s="58" customFormat="1" ht="27.75" customHeight="1">
      <c r="A158" s="55"/>
      <c r="B158" s="55"/>
      <c r="C158" s="56">
        <v>4120</v>
      </c>
      <c r="D158" s="61" t="s">
        <v>126</v>
      </c>
      <c r="E158" s="57"/>
      <c r="F158" s="78">
        <v>1987</v>
      </c>
    </row>
    <row r="159" spans="1:6" s="58" customFormat="1" ht="15.75" customHeight="1">
      <c r="A159" s="55"/>
      <c r="B159" s="55"/>
      <c r="C159" s="56">
        <v>4170</v>
      </c>
      <c r="D159" s="61" t="s">
        <v>23</v>
      </c>
      <c r="E159" s="57"/>
      <c r="F159" s="78">
        <f>22300+4235+9000</f>
        <v>35535</v>
      </c>
    </row>
    <row r="160" spans="1:6" s="58" customFormat="1" ht="15.75" customHeight="1">
      <c r="A160" s="55"/>
      <c r="B160" s="55"/>
      <c r="C160" s="56">
        <v>4210</v>
      </c>
      <c r="D160" s="61" t="s">
        <v>18</v>
      </c>
      <c r="E160" s="57"/>
      <c r="F160" s="250">
        <f>2833+2301.55</f>
        <v>5134.55</v>
      </c>
    </row>
    <row r="161" spans="1:6" s="58" customFormat="1" ht="15.75" customHeight="1">
      <c r="A161" s="55"/>
      <c r="B161" s="55"/>
      <c r="C161" s="56">
        <v>4280</v>
      </c>
      <c r="D161" s="61" t="s">
        <v>38</v>
      </c>
      <c r="E161" s="57"/>
      <c r="F161" s="78">
        <v>100</v>
      </c>
    </row>
    <row r="162" spans="1:6" s="58" customFormat="1" ht="15.75" customHeight="1">
      <c r="A162" s="55"/>
      <c r="B162" s="55"/>
      <c r="C162" s="56">
        <v>4300</v>
      </c>
      <c r="D162" s="61" t="s">
        <v>17</v>
      </c>
      <c r="E162" s="57"/>
      <c r="F162" s="78">
        <f>32966+6000+4500</f>
        <v>43466</v>
      </c>
    </row>
    <row r="163" spans="1:6" s="58" customFormat="1" ht="15.75" customHeight="1">
      <c r="A163" s="55"/>
      <c r="B163" s="55"/>
      <c r="C163" s="56">
        <v>4440</v>
      </c>
      <c r="D163" s="61" t="s">
        <v>28</v>
      </c>
      <c r="E163" s="57"/>
      <c r="F163" s="78">
        <v>1229</v>
      </c>
    </row>
    <row r="164" spans="1:6" s="58" customFormat="1" ht="15.75" customHeight="1">
      <c r="A164" s="70"/>
      <c r="B164" s="70" t="s">
        <v>111</v>
      </c>
      <c r="C164" s="71"/>
      <c r="D164" s="72" t="s">
        <v>6</v>
      </c>
      <c r="E164" s="73">
        <f>E165</f>
        <v>79065</v>
      </c>
      <c r="F164" s="73">
        <f>F166</f>
        <v>79065</v>
      </c>
    </row>
    <row r="165" spans="1:6" s="74" customFormat="1" ht="39" customHeight="1">
      <c r="A165" s="79"/>
      <c r="B165" s="79"/>
      <c r="C165" s="80">
        <v>2110</v>
      </c>
      <c r="D165" s="67" t="s">
        <v>5</v>
      </c>
      <c r="E165" s="78">
        <f>45045+20160+13860</f>
        <v>79065</v>
      </c>
      <c r="F165" s="78"/>
    </row>
    <row r="166" spans="1:6" s="74" customFormat="1" ht="15.75" customHeight="1">
      <c r="A166" s="79"/>
      <c r="B166" s="79"/>
      <c r="C166" s="80">
        <v>3110</v>
      </c>
      <c r="D166" s="85" t="s">
        <v>52</v>
      </c>
      <c r="E166" s="78"/>
      <c r="F166" s="78">
        <f>45045+20160+13860</f>
        <v>79065</v>
      </c>
    </row>
    <row r="167" spans="1:6" s="58" customFormat="1" ht="15.75" customHeight="1">
      <c r="A167" s="50" t="s">
        <v>97</v>
      </c>
      <c r="B167" s="50"/>
      <c r="C167" s="51"/>
      <c r="D167" s="52" t="s">
        <v>95</v>
      </c>
      <c r="E167" s="53">
        <f>SUM(E168,E174,E178,E185)</f>
        <v>658159</v>
      </c>
      <c r="F167" s="53">
        <f>SUM(F168,F174,F178,F185)</f>
        <v>658159</v>
      </c>
    </row>
    <row r="168" spans="1:6" s="74" customFormat="1" ht="15.75" customHeight="1">
      <c r="A168" s="70"/>
      <c r="B168" s="70" t="s">
        <v>106</v>
      </c>
      <c r="C168" s="71"/>
      <c r="D168" s="72" t="s">
        <v>105</v>
      </c>
      <c r="E168" s="73">
        <f>E169</f>
        <v>23000</v>
      </c>
      <c r="F168" s="73">
        <f>SUM(F170:F173)</f>
        <v>23000</v>
      </c>
    </row>
    <row r="169" spans="1:6" s="58" customFormat="1" ht="42" customHeight="1">
      <c r="A169" s="55"/>
      <c r="B169" s="55"/>
      <c r="C169" s="56">
        <v>2110</v>
      </c>
      <c r="D169" s="67" t="s">
        <v>5</v>
      </c>
      <c r="E169" s="57">
        <v>23000</v>
      </c>
      <c r="F169" s="57"/>
    </row>
    <row r="170" spans="1:6" s="58" customFormat="1" ht="15.75" customHeight="1">
      <c r="A170" s="55"/>
      <c r="B170" s="55"/>
      <c r="C170" s="56">
        <v>3110</v>
      </c>
      <c r="D170" s="35" t="s">
        <v>19</v>
      </c>
      <c r="E170" s="57"/>
      <c r="F170" s="57">
        <v>22200</v>
      </c>
    </row>
    <row r="171" spans="1:6" s="58" customFormat="1" ht="15.75" customHeight="1">
      <c r="A171" s="55"/>
      <c r="B171" s="55"/>
      <c r="C171" s="56">
        <v>4010</v>
      </c>
      <c r="D171" s="61" t="s">
        <v>20</v>
      </c>
      <c r="E171" s="57"/>
      <c r="F171" s="57">
        <v>669</v>
      </c>
    </row>
    <row r="172" spans="1:6" s="58" customFormat="1" ht="15.75" customHeight="1">
      <c r="A172" s="55"/>
      <c r="B172" s="55"/>
      <c r="C172" s="56">
        <v>4110</v>
      </c>
      <c r="D172" s="61" t="s">
        <v>22</v>
      </c>
      <c r="E172" s="57"/>
      <c r="F172" s="57">
        <v>115</v>
      </c>
    </row>
    <row r="173" spans="1:6" s="58" customFormat="1" ht="27.75" customHeight="1">
      <c r="A173" s="55"/>
      <c r="B173" s="55"/>
      <c r="C173" s="56">
        <v>4120</v>
      </c>
      <c r="D173" s="61" t="s">
        <v>126</v>
      </c>
      <c r="E173" s="57"/>
      <c r="F173" s="57">
        <v>16</v>
      </c>
    </row>
    <row r="174" spans="1:6" s="32" customFormat="1" ht="17.25" customHeight="1">
      <c r="A174" s="38"/>
      <c r="B174" s="38" t="s">
        <v>98</v>
      </c>
      <c r="C174" s="39"/>
      <c r="D174" s="40" t="s">
        <v>13</v>
      </c>
      <c r="E174" s="41">
        <f>SUM(E175)</f>
        <v>409000</v>
      </c>
      <c r="F174" s="41">
        <f>SUM(F175:F177)</f>
        <v>409000</v>
      </c>
    </row>
    <row r="175" spans="1:6" s="58" customFormat="1" ht="71.25" customHeight="1">
      <c r="A175" s="55"/>
      <c r="B175" s="55"/>
      <c r="C175" s="56">
        <v>2160</v>
      </c>
      <c r="D175" s="54" t="s">
        <v>339</v>
      </c>
      <c r="E175" s="57">
        <v>409000</v>
      </c>
      <c r="F175" s="57"/>
    </row>
    <row r="176" spans="1:6" s="58" customFormat="1" ht="15.75" customHeight="1">
      <c r="A176" s="55"/>
      <c r="B176" s="55"/>
      <c r="C176" s="56">
        <v>3110</v>
      </c>
      <c r="D176" s="61" t="s">
        <v>52</v>
      </c>
      <c r="E176" s="57"/>
      <c r="F176" s="57">
        <v>404950</v>
      </c>
    </row>
    <row r="177" spans="1:6" s="58" customFormat="1" ht="15.75" customHeight="1">
      <c r="A177" s="55"/>
      <c r="B177" s="55"/>
      <c r="C177" s="56">
        <v>4010</v>
      </c>
      <c r="D177" s="61" t="s">
        <v>20</v>
      </c>
      <c r="E177" s="57"/>
      <c r="F177" s="57">
        <v>4050</v>
      </c>
    </row>
    <row r="178" spans="1:6" s="32" customFormat="1" ht="17.25" customHeight="1">
      <c r="A178" s="38"/>
      <c r="B178" s="38" t="s">
        <v>99</v>
      </c>
      <c r="C178" s="39"/>
      <c r="D178" s="40" t="s">
        <v>96</v>
      </c>
      <c r="E178" s="41">
        <f>SUM(E179:E180)</f>
        <v>226159</v>
      </c>
      <c r="F178" s="41">
        <f>SUM(F181:F184)</f>
        <v>226159</v>
      </c>
    </row>
    <row r="179" spans="1:6" s="69" customFormat="1" ht="52.9" customHeight="1">
      <c r="A179" s="65"/>
      <c r="B179" s="65"/>
      <c r="C179" s="66">
        <v>2110</v>
      </c>
      <c r="D179" s="67" t="s">
        <v>5</v>
      </c>
      <c r="E179" s="68">
        <f>5000+55919</f>
        <v>60919</v>
      </c>
      <c r="F179" s="68"/>
    </row>
    <row r="180" spans="1:6" s="74" customFormat="1" ht="72" customHeight="1">
      <c r="A180" s="79"/>
      <c r="B180" s="79"/>
      <c r="C180" s="80">
        <v>2160</v>
      </c>
      <c r="D180" s="371" t="s">
        <v>339</v>
      </c>
      <c r="E180" s="78">
        <f>40000+62627+62613</f>
        <v>165240</v>
      </c>
      <c r="F180" s="78"/>
    </row>
    <row r="181" spans="1:6" s="58" customFormat="1" ht="15.75" customHeight="1">
      <c r="A181" s="298"/>
      <c r="B181" s="298"/>
      <c r="C181" s="299">
        <v>3110</v>
      </c>
      <c r="D181" s="300" t="s">
        <v>52</v>
      </c>
      <c r="E181" s="301"/>
      <c r="F181" s="301">
        <f>40298+7634+124000</f>
        <v>171932</v>
      </c>
    </row>
    <row r="182" spans="1:6" s="58" customFormat="1" ht="15.75" customHeight="1">
      <c r="A182" s="298"/>
      <c r="B182" s="298"/>
      <c r="C182" s="299">
        <v>4010</v>
      </c>
      <c r="D182" s="300" t="s">
        <v>20</v>
      </c>
      <c r="E182" s="301"/>
      <c r="F182" s="301">
        <f>3987+40348+1240</f>
        <v>45575</v>
      </c>
    </row>
    <row r="183" spans="1:6" s="58" customFormat="1" ht="15.75" customHeight="1">
      <c r="A183" s="79"/>
      <c r="B183" s="79"/>
      <c r="C183" s="80">
        <v>4110</v>
      </c>
      <c r="D183" s="85" t="s">
        <v>22</v>
      </c>
      <c r="E183" s="78"/>
      <c r="F183" s="78">
        <f>627+6948</f>
        <v>7575</v>
      </c>
    </row>
    <row r="184" spans="1:6" s="58" customFormat="1" ht="30" customHeight="1">
      <c r="A184" s="55"/>
      <c r="B184" s="55"/>
      <c r="C184" s="56">
        <v>4120</v>
      </c>
      <c r="D184" s="61" t="s">
        <v>126</v>
      </c>
      <c r="E184" s="57"/>
      <c r="F184" s="78">
        <f>88+989</f>
        <v>1077</v>
      </c>
    </row>
    <row r="185" spans="1:6" s="58" customFormat="1" ht="19.5" customHeight="1">
      <c r="A185" s="70"/>
      <c r="B185" s="70" t="s">
        <v>127</v>
      </c>
      <c r="C185" s="71"/>
      <c r="D185" s="72" t="s">
        <v>6</v>
      </c>
      <c r="E185" s="73">
        <f>E186</f>
        <v>0</v>
      </c>
      <c r="F185" s="73">
        <f>F187+F188</f>
        <v>0</v>
      </c>
    </row>
    <row r="186" spans="1:6" s="74" customFormat="1" ht="47.25" customHeight="1">
      <c r="A186" s="79"/>
      <c r="B186" s="79"/>
      <c r="C186" s="80">
        <v>2110</v>
      </c>
      <c r="D186" s="67" t="s">
        <v>5</v>
      </c>
      <c r="E186" s="78">
        <f>62627-62627</f>
        <v>0</v>
      </c>
      <c r="F186" s="78"/>
    </row>
    <row r="187" spans="1:6" s="74" customFormat="1" ht="21" customHeight="1">
      <c r="A187" s="79"/>
      <c r="B187" s="79"/>
      <c r="C187" s="80">
        <v>3110</v>
      </c>
      <c r="D187" s="85" t="s">
        <v>52</v>
      </c>
      <c r="E187" s="78"/>
      <c r="F187" s="78">
        <f>62007-62007</f>
        <v>0</v>
      </c>
    </row>
    <row r="188" spans="1:6" s="74" customFormat="1" ht="18" customHeight="1">
      <c r="A188" s="79"/>
      <c r="B188" s="79"/>
      <c r="C188" s="80">
        <v>4010</v>
      </c>
      <c r="D188" s="85" t="s">
        <v>20</v>
      </c>
      <c r="E188" s="78"/>
      <c r="F188" s="78">
        <f>620-620</f>
        <v>0</v>
      </c>
    </row>
    <row r="189" spans="1:6" s="32" customFormat="1" ht="20.25" customHeight="1">
      <c r="A189" s="388" t="s">
        <v>78</v>
      </c>
      <c r="B189" s="388"/>
      <c r="C189" s="388"/>
      <c r="D189" s="388"/>
      <c r="E189" s="249">
        <f>SUM(E5,E9,E27,E56,E69,E75,E110,E120,E125,E129,E151,E167,)</f>
        <v>12638380.550000001</v>
      </c>
      <c r="F189" s="249">
        <f>SUM(F5,F9,F27,F56,F69,F75,F110,F120,F125,F129,F151,F167,)</f>
        <v>12638380.550000001</v>
      </c>
    </row>
    <row r="190" spans="1:6" ht="15.75" customHeight="1"/>
    <row r="191" spans="1:6" ht="15.75" customHeight="1"/>
    <row r="192" spans="1:6" s="37" customFormat="1" ht="15.75" customHeight="1">
      <c r="E192" s="75"/>
      <c r="F192" s="76"/>
    </row>
    <row r="193" spans="5:6" s="37" customFormat="1" ht="15.75" customHeight="1">
      <c r="E193" s="76"/>
      <c r="F193" s="76"/>
    </row>
    <row r="194" spans="5:6" s="37" customFormat="1" ht="15.75" customHeight="1">
      <c r="E194" s="77"/>
      <c r="F194" s="77"/>
    </row>
    <row r="195" spans="5:6" ht="15.75" customHeight="1"/>
    <row r="196" spans="5:6" ht="15.75" customHeight="1"/>
    <row r="197" spans="5:6" ht="15.75" customHeight="1"/>
    <row r="198" spans="5:6" ht="15.75" customHeight="1"/>
    <row r="199" spans="5:6" ht="15.75" customHeight="1"/>
    <row r="200" spans="5:6" ht="12.75" customHeight="1"/>
  </sheetData>
  <sheetProtection algorithmName="SHA-512" hashValue="pXRbbteKFdYh3kDjm6Y8/ZpotekWDw+mlvhP3oZWU81zEHEsNWBwLSVYuEUXsO6evuPPLpdH3pHYEHtuNUHEMQ==" saltValue="QLdC9iL12E3Wh1NEqi91QQ==" spinCount="100000" sheet="1" objects="1" scenarios="1" formatColumns="0" formatRows="0"/>
  <autoFilter ref="C1:C200"/>
  <mergeCells count="2">
    <mergeCell ref="A2:F2"/>
    <mergeCell ref="A189:D189"/>
  </mergeCells>
  <pageMargins left="0.86614173228346458" right="0.27559055118110237" top="1.1417322834645669" bottom="0.78740157480314965" header="0.51181102362204722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41"/>
  <sheetViews>
    <sheetView zoomScaleNormal="100" workbookViewId="0">
      <pane ySplit="4" topLeftCell="A5" activePane="bottomLeft" state="frozen"/>
      <selection activeCell="C11" sqref="C11:I13"/>
      <selection pane="bottomLeft" activeCell="F10" sqref="F10"/>
    </sheetView>
  </sheetViews>
  <sheetFormatPr defaultColWidth="9.33203125" defaultRowHeight="12"/>
  <cols>
    <col min="1" max="1" width="3.6640625" style="333" customWidth="1"/>
    <col min="2" max="2" width="6.33203125" style="330" customWidth="1"/>
    <col min="3" max="4" width="10" style="330" customWidth="1"/>
    <col min="5" max="5" width="65.6640625" style="331" customWidth="1"/>
    <col min="6" max="7" width="18.83203125" style="332" customWidth="1"/>
    <col min="8" max="16384" width="9.33203125" style="333"/>
  </cols>
  <sheetData>
    <row r="1" spans="2:11" ht="16.5" customHeight="1"/>
    <row r="2" spans="2:11" ht="29.25" customHeight="1">
      <c r="B2" s="389" t="s">
        <v>348</v>
      </c>
      <c r="C2" s="389"/>
      <c r="D2" s="389"/>
      <c r="E2" s="389"/>
      <c r="F2" s="389"/>
      <c r="G2" s="389"/>
    </row>
    <row r="3" spans="2:11" ht="15.75" customHeight="1">
      <c r="B3" s="334"/>
      <c r="C3" s="334"/>
      <c r="D3" s="334"/>
      <c r="E3" s="334"/>
      <c r="F3" s="334"/>
      <c r="G3" s="334"/>
    </row>
    <row r="4" spans="2:11" s="338" customFormat="1" ht="42" customHeight="1">
      <c r="B4" s="335" t="s">
        <v>0</v>
      </c>
      <c r="C4" s="335" t="s">
        <v>1</v>
      </c>
      <c r="D4" s="335" t="s">
        <v>72</v>
      </c>
      <c r="E4" s="336" t="s">
        <v>73</v>
      </c>
      <c r="F4" s="337" t="s">
        <v>74</v>
      </c>
      <c r="G4" s="337" t="s">
        <v>75</v>
      </c>
    </row>
    <row r="5" spans="2:11" s="338" customFormat="1" ht="17.25" customHeight="1">
      <c r="B5" s="339">
        <v>600</v>
      </c>
      <c r="C5" s="339"/>
      <c r="D5" s="339"/>
      <c r="E5" s="340" t="s">
        <v>349</v>
      </c>
      <c r="F5" s="341">
        <f>SUM(F6,F8)</f>
        <v>1951443</v>
      </c>
      <c r="G5" s="341">
        <f>G6+G8</f>
        <v>250000</v>
      </c>
    </row>
    <row r="6" spans="2:11" s="345" customFormat="1" ht="17.25" customHeight="1">
      <c r="B6" s="342"/>
      <c r="C6" s="342">
        <v>60004</v>
      </c>
      <c r="D6" s="342"/>
      <c r="E6" s="343" t="s">
        <v>350</v>
      </c>
      <c r="F6" s="344"/>
      <c r="G6" s="344">
        <f>SUM(G7)</f>
        <v>250000</v>
      </c>
    </row>
    <row r="7" spans="2:11" s="348" customFormat="1" ht="46.5" customHeight="1">
      <c r="B7" s="346"/>
      <c r="C7" s="346"/>
      <c r="D7" s="346">
        <v>2310</v>
      </c>
      <c r="E7" s="262" t="s">
        <v>318</v>
      </c>
      <c r="F7" s="347"/>
      <c r="G7" s="347">
        <v>250000</v>
      </c>
    </row>
    <row r="8" spans="2:11" s="345" customFormat="1" ht="17.25" customHeight="1">
      <c r="B8" s="342"/>
      <c r="C8" s="342">
        <v>60014</v>
      </c>
      <c r="D8" s="342"/>
      <c r="E8" s="343" t="s">
        <v>351</v>
      </c>
      <c r="F8" s="344">
        <f>SUM(F9:F11)</f>
        <v>1951443</v>
      </c>
      <c r="G8" s="344"/>
    </row>
    <row r="9" spans="2:11" s="351" customFormat="1" ht="42.6" customHeight="1">
      <c r="B9" s="349"/>
      <c r="C9" s="349"/>
      <c r="D9" s="349">
        <v>2710</v>
      </c>
      <c r="E9" s="262" t="s">
        <v>352</v>
      </c>
      <c r="F9" s="350">
        <v>100000</v>
      </c>
      <c r="G9" s="350"/>
    </row>
    <row r="10" spans="2:11" s="355" customFormat="1" ht="50.25" customHeight="1">
      <c r="B10" s="352"/>
      <c r="C10" s="352"/>
      <c r="D10" s="352">
        <v>6300</v>
      </c>
      <c r="E10" s="353" t="s">
        <v>353</v>
      </c>
      <c r="F10" s="354">
        <f>1786000-432500-20000-50000+23500</f>
        <v>1307000</v>
      </c>
      <c r="G10" s="354"/>
    </row>
    <row r="11" spans="2:11" s="345" customFormat="1" ht="49.5" customHeight="1">
      <c r="B11" s="356"/>
      <c r="C11" s="356"/>
      <c r="D11" s="356">
        <v>6630</v>
      </c>
      <c r="E11" s="262" t="s">
        <v>354</v>
      </c>
      <c r="F11" s="347">
        <f>557375-12932</f>
        <v>544443</v>
      </c>
      <c r="G11" s="357"/>
    </row>
    <row r="12" spans="2:11" s="338" customFormat="1" ht="17.25" customHeight="1">
      <c r="B12" s="339">
        <v>710</v>
      </c>
      <c r="C12" s="339"/>
      <c r="D12" s="339"/>
      <c r="E12" s="340" t="s">
        <v>37</v>
      </c>
      <c r="F12" s="341"/>
      <c r="G12" s="341">
        <f>SUM(G13)</f>
        <v>70572</v>
      </c>
    </row>
    <row r="13" spans="2:11" s="345" customFormat="1" ht="17.25" customHeight="1">
      <c r="B13" s="342"/>
      <c r="C13" s="342">
        <v>71095</v>
      </c>
      <c r="D13" s="342"/>
      <c r="E13" s="343" t="s">
        <v>6</v>
      </c>
      <c r="F13" s="344"/>
      <c r="G13" s="344">
        <f>SUM(G14)</f>
        <v>70572</v>
      </c>
    </row>
    <row r="14" spans="2:11" s="345" customFormat="1" ht="51" customHeight="1">
      <c r="B14" s="356"/>
      <c r="C14" s="356"/>
      <c r="D14" s="356">
        <v>6639</v>
      </c>
      <c r="E14" s="358" t="s">
        <v>319</v>
      </c>
      <c r="F14" s="347"/>
      <c r="G14" s="347">
        <v>70572</v>
      </c>
    </row>
    <row r="15" spans="2:11" s="345" customFormat="1" ht="17.25" customHeight="1">
      <c r="B15" s="340">
        <v>750</v>
      </c>
      <c r="C15" s="340"/>
      <c r="D15" s="340"/>
      <c r="E15" s="340" t="s">
        <v>42</v>
      </c>
      <c r="F15" s="359">
        <f>SUM(F16)</f>
        <v>102800</v>
      </c>
      <c r="G15" s="340"/>
    </row>
    <row r="16" spans="2:11" s="345" customFormat="1" ht="17.25" customHeight="1">
      <c r="B16" s="342"/>
      <c r="C16" s="342">
        <v>75020</v>
      </c>
      <c r="D16" s="342"/>
      <c r="E16" s="360" t="s">
        <v>355</v>
      </c>
      <c r="F16" s="361">
        <f>SUM(F17)</f>
        <v>102800</v>
      </c>
      <c r="G16" s="362"/>
      <c r="K16" s="345" t="s">
        <v>306</v>
      </c>
    </row>
    <row r="17" spans="2:7" s="345" customFormat="1" ht="45.75" customHeight="1">
      <c r="B17" s="356"/>
      <c r="C17" s="356"/>
      <c r="D17" s="356">
        <v>2710</v>
      </c>
      <c r="E17" s="262" t="s">
        <v>352</v>
      </c>
      <c r="F17" s="347">
        <f>30000+29000+43800</f>
        <v>102800</v>
      </c>
      <c r="G17" s="347"/>
    </row>
    <row r="18" spans="2:7" s="338" customFormat="1" ht="17.25" customHeight="1">
      <c r="B18" s="339">
        <v>853</v>
      </c>
      <c r="C18" s="339"/>
      <c r="D18" s="339"/>
      <c r="E18" s="340" t="s">
        <v>14</v>
      </c>
      <c r="F18" s="341">
        <f>SUM(F19)</f>
        <v>9887</v>
      </c>
      <c r="G18" s="341">
        <f>SUM(G19)</f>
        <v>2000</v>
      </c>
    </row>
    <row r="19" spans="2:7" s="345" customFormat="1" ht="19.5" customHeight="1">
      <c r="B19" s="342"/>
      <c r="C19" s="342">
        <v>85311</v>
      </c>
      <c r="D19" s="342"/>
      <c r="E19" s="343" t="s">
        <v>356</v>
      </c>
      <c r="F19" s="344">
        <f>SUM(F20)</f>
        <v>9887</v>
      </c>
      <c r="G19" s="344">
        <f>SUM(G20:G21)</f>
        <v>2000</v>
      </c>
    </row>
    <row r="20" spans="2:7" s="348" customFormat="1" ht="47.25" customHeight="1">
      <c r="B20" s="346"/>
      <c r="C20" s="346"/>
      <c r="D20" s="346">
        <v>2320</v>
      </c>
      <c r="E20" s="262" t="s">
        <v>357</v>
      </c>
      <c r="F20" s="347">
        <v>9887</v>
      </c>
      <c r="G20" s="347"/>
    </row>
    <row r="21" spans="2:7" s="348" customFormat="1" ht="48" customHeight="1">
      <c r="B21" s="346"/>
      <c r="C21" s="346"/>
      <c r="D21" s="346">
        <v>2320</v>
      </c>
      <c r="E21" s="262" t="s">
        <v>322</v>
      </c>
      <c r="F21" s="347"/>
      <c r="G21" s="347">
        <v>2000</v>
      </c>
    </row>
    <row r="22" spans="2:7" s="338" customFormat="1" ht="17.25" customHeight="1">
      <c r="B22" s="339">
        <v>855</v>
      </c>
      <c r="C22" s="339"/>
      <c r="D22" s="339"/>
      <c r="E22" s="340" t="s">
        <v>95</v>
      </c>
      <c r="F22" s="341">
        <f>SUM(F23,F26,F28)</f>
        <v>874212</v>
      </c>
      <c r="G22" s="341">
        <f>SUM(G23,G26,G28)</f>
        <v>874168</v>
      </c>
    </row>
    <row r="23" spans="2:7" s="345" customFormat="1" ht="17.25" customHeight="1">
      <c r="B23" s="342"/>
      <c r="C23" s="342">
        <v>85508</v>
      </c>
      <c r="D23" s="342"/>
      <c r="E23" s="343" t="s">
        <v>13</v>
      </c>
      <c r="F23" s="344">
        <f>SUM(F24)</f>
        <v>204106</v>
      </c>
      <c r="G23" s="344">
        <f>SUM(G24:G25)</f>
        <v>538236</v>
      </c>
    </row>
    <row r="24" spans="2:7" s="348" customFormat="1" ht="50.25" customHeight="1">
      <c r="B24" s="346"/>
      <c r="C24" s="346"/>
      <c r="D24" s="346">
        <v>2320</v>
      </c>
      <c r="E24" s="262" t="s">
        <v>357</v>
      </c>
      <c r="F24" s="347">
        <v>204106</v>
      </c>
      <c r="G24" s="347"/>
    </row>
    <row r="25" spans="2:7" s="348" customFormat="1" ht="47.25" customHeight="1">
      <c r="B25" s="346"/>
      <c r="C25" s="346"/>
      <c r="D25" s="346">
        <v>2320</v>
      </c>
      <c r="E25" s="262" t="s">
        <v>322</v>
      </c>
      <c r="F25" s="347"/>
      <c r="G25" s="347">
        <v>538236</v>
      </c>
    </row>
    <row r="26" spans="2:7" s="345" customFormat="1" ht="17.25" customHeight="1">
      <c r="B26" s="342"/>
      <c r="C26" s="342">
        <v>85509</v>
      </c>
      <c r="D26" s="342"/>
      <c r="E26" s="343" t="s">
        <v>358</v>
      </c>
      <c r="F26" s="344"/>
      <c r="G26" s="344">
        <f>SUM(G27)</f>
        <v>202000</v>
      </c>
    </row>
    <row r="27" spans="2:7" s="348" customFormat="1" ht="52.5" customHeight="1">
      <c r="B27" s="346"/>
      <c r="C27" s="346"/>
      <c r="D27" s="346">
        <v>2330</v>
      </c>
      <c r="E27" s="262" t="s">
        <v>323</v>
      </c>
      <c r="F27" s="347"/>
      <c r="G27" s="347">
        <v>202000</v>
      </c>
    </row>
    <row r="28" spans="2:7" s="345" customFormat="1" ht="17.25" customHeight="1">
      <c r="B28" s="342"/>
      <c r="C28" s="342">
        <v>85510</v>
      </c>
      <c r="D28" s="342"/>
      <c r="E28" s="343" t="s">
        <v>96</v>
      </c>
      <c r="F28" s="344">
        <f>SUM(F29)</f>
        <v>670106</v>
      </c>
      <c r="G28" s="344">
        <f>SUM(G30:G30)</f>
        <v>133932</v>
      </c>
    </row>
    <row r="29" spans="2:7" s="348" customFormat="1" ht="48" customHeight="1">
      <c r="B29" s="346"/>
      <c r="C29" s="346"/>
      <c r="D29" s="346">
        <v>2320</v>
      </c>
      <c r="E29" s="262" t="s">
        <v>357</v>
      </c>
      <c r="F29" s="347">
        <v>670106</v>
      </c>
      <c r="G29" s="347"/>
    </row>
    <row r="30" spans="2:7" s="348" customFormat="1" ht="48.75" customHeight="1">
      <c r="B30" s="346"/>
      <c r="C30" s="346"/>
      <c r="D30" s="346">
        <v>2320</v>
      </c>
      <c r="E30" s="262" t="s">
        <v>322</v>
      </c>
      <c r="F30" s="347"/>
      <c r="G30" s="347">
        <v>133932</v>
      </c>
    </row>
    <row r="31" spans="2:7" s="338" customFormat="1" ht="17.25" customHeight="1">
      <c r="B31" s="339">
        <v>900</v>
      </c>
      <c r="C31" s="339"/>
      <c r="D31" s="339"/>
      <c r="E31" s="340" t="s">
        <v>359</v>
      </c>
      <c r="F31" s="341"/>
      <c r="G31" s="341">
        <f>SUM(G32)</f>
        <v>10000</v>
      </c>
    </row>
    <row r="32" spans="2:7" s="345" customFormat="1" ht="17.25" customHeight="1">
      <c r="B32" s="342"/>
      <c r="C32" s="342">
        <v>90095</v>
      </c>
      <c r="D32" s="342"/>
      <c r="E32" s="343" t="s">
        <v>6</v>
      </c>
      <c r="F32" s="344"/>
      <c r="G32" s="344">
        <f>SUM(G33)</f>
        <v>10000</v>
      </c>
    </row>
    <row r="33" spans="2:7" s="345" customFormat="1" ht="49.5" customHeight="1">
      <c r="B33" s="356"/>
      <c r="C33" s="356"/>
      <c r="D33" s="356">
        <v>2710</v>
      </c>
      <c r="E33" s="358" t="s">
        <v>324</v>
      </c>
      <c r="F33" s="357"/>
      <c r="G33" s="347">
        <v>10000</v>
      </c>
    </row>
    <row r="34" spans="2:7" s="338" customFormat="1" ht="17.25" customHeight="1">
      <c r="B34" s="339">
        <v>921</v>
      </c>
      <c r="C34" s="339"/>
      <c r="D34" s="339"/>
      <c r="E34" s="340" t="s">
        <v>360</v>
      </c>
      <c r="F34" s="341">
        <f>SUM(F35,F39)</f>
        <v>110000</v>
      </c>
      <c r="G34" s="341">
        <f>SUM(G35,G39)</f>
        <v>0</v>
      </c>
    </row>
    <row r="35" spans="2:7" s="345" customFormat="1" ht="17.25" customHeight="1">
      <c r="B35" s="342"/>
      <c r="C35" s="342">
        <v>92105</v>
      </c>
      <c r="D35" s="342"/>
      <c r="E35" s="343" t="s">
        <v>361</v>
      </c>
      <c r="F35" s="344"/>
      <c r="G35" s="344">
        <f>SUM(G36)</f>
        <v>0</v>
      </c>
    </row>
    <row r="36" spans="2:7" s="348" customFormat="1" ht="48" customHeight="1">
      <c r="B36" s="363"/>
      <c r="C36" s="363"/>
      <c r="D36" s="346">
        <v>2710</v>
      </c>
      <c r="E36" s="262" t="s">
        <v>324</v>
      </c>
      <c r="F36" s="347"/>
      <c r="G36" s="347">
        <f>10000-10000</f>
        <v>0</v>
      </c>
    </row>
    <row r="37" spans="2:7" s="348" customFormat="1" ht="17.25" customHeight="1">
      <c r="B37" s="364"/>
      <c r="C37" s="364">
        <v>92605</v>
      </c>
      <c r="D37" s="365"/>
      <c r="E37" s="366" t="s">
        <v>362</v>
      </c>
      <c r="F37" s="367"/>
      <c r="G37" s="367">
        <f>G38</f>
        <v>0</v>
      </c>
    </row>
    <row r="38" spans="2:7" s="348" customFormat="1" ht="48" customHeight="1">
      <c r="B38" s="363"/>
      <c r="C38" s="363"/>
      <c r="D38" s="346">
        <v>2710</v>
      </c>
      <c r="E38" s="262" t="s">
        <v>324</v>
      </c>
      <c r="F38" s="347"/>
      <c r="G38" s="347">
        <f>8000-8000</f>
        <v>0</v>
      </c>
    </row>
    <row r="39" spans="2:7" s="345" customFormat="1" ht="17.25" customHeight="1">
      <c r="B39" s="342"/>
      <c r="C39" s="342">
        <v>92116</v>
      </c>
      <c r="D39" s="342"/>
      <c r="E39" s="343" t="s">
        <v>363</v>
      </c>
      <c r="F39" s="344">
        <f>SUM(F40)</f>
        <v>110000</v>
      </c>
      <c r="G39" s="344"/>
    </row>
    <row r="40" spans="2:7" s="348" customFormat="1" ht="48.75" customHeight="1">
      <c r="B40" s="346"/>
      <c r="C40" s="346"/>
      <c r="D40" s="346">
        <v>2710</v>
      </c>
      <c r="E40" s="262" t="s">
        <v>352</v>
      </c>
      <c r="F40" s="347">
        <v>110000</v>
      </c>
      <c r="G40" s="347"/>
    </row>
    <row r="41" spans="2:7" s="345" customFormat="1" ht="24.75" customHeight="1">
      <c r="B41" s="390" t="s">
        <v>78</v>
      </c>
      <c r="C41" s="391"/>
      <c r="D41" s="391"/>
      <c r="E41" s="392"/>
      <c r="F41" s="368">
        <f>SUM(F5,F12,F15,F18,F22,F31,F34)</f>
        <v>3048342</v>
      </c>
      <c r="G41" s="368">
        <f>SUM(G5,G12,G18,G22,G31,G34,G37)</f>
        <v>1206740</v>
      </c>
    </row>
  </sheetData>
  <sheetProtection algorithmName="SHA-512" hashValue="AjRuv1zuNhdKRN3gDSyfXg0ZsP2o/nHR2AZ8svUWnLwia4r5Hzc7vaMEEmjhrz8o0i4/6BRu4lwK9/fwuGT1Iw==" saltValue="MNrX6oV8hgvnGSisLEDB+w==" spinCount="100000" sheet="1" objects="1" scenarios="1" formatColumns="0" formatRows="0"/>
  <mergeCells count="2">
    <mergeCell ref="B2:G2"/>
    <mergeCell ref="B41:E41"/>
  </mergeCells>
  <pageMargins left="0.55118110236220474" right="0.47244094488188981" top="1.52" bottom="1.49" header="0.69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zoomScaleNormal="100" workbookViewId="0">
      <pane ySplit="5" topLeftCell="A25" activePane="bottomLeft" state="frozen"/>
      <selection activeCell="M10" sqref="M10"/>
      <selection pane="bottomLeft" activeCell="E32" sqref="E32"/>
    </sheetView>
  </sheetViews>
  <sheetFormatPr defaultColWidth="9.33203125" defaultRowHeight="12"/>
  <cols>
    <col min="1" max="1" width="6.5" style="251" customWidth="1"/>
    <col min="2" max="2" width="10.83203125" style="251" customWidth="1"/>
    <col min="3" max="3" width="7.33203125" style="251" customWidth="1"/>
    <col min="4" max="4" width="61.33203125" style="37" customWidth="1"/>
    <col min="5" max="7" width="15.6640625" style="37" customWidth="1"/>
    <col min="8" max="8" width="20.5" style="37" customWidth="1"/>
    <col min="9" max="10" width="9.33203125" style="37"/>
    <col min="11" max="11" width="10.33203125" style="37" bestFit="1" customWidth="1"/>
    <col min="12" max="16384" width="9.33203125" style="37"/>
  </cols>
  <sheetData>
    <row r="1" spans="1:12" ht="9" customHeight="1">
      <c r="F1" s="252"/>
      <c r="G1" s="252"/>
    </row>
    <row r="2" spans="1:12" s="254" customFormat="1" ht="33" customHeight="1">
      <c r="A2" s="397" t="s">
        <v>311</v>
      </c>
      <c r="B2" s="397"/>
      <c r="C2" s="397"/>
      <c r="D2" s="397"/>
      <c r="E2" s="397"/>
      <c r="F2" s="397"/>
      <c r="G2" s="397"/>
      <c r="H2" s="253"/>
    </row>
    <row r="3" spans="1:12" ht="10.5" customHeight="1"/>
    <row r="4" spans="1:12" ht="24" customHeight="1">
      <c r="A4" s="394" t="s">
        <v>0</v>
      </c>
      <c r="B4" s="394" t="s">
        <v>1</v>
      </c>
      <c r="C4" s="394" t="s">
        <v>109</v>
      </c>
      <c r="D4" s="394" t="s">
        <v>58</v>
      </c>
      <c r="E4" s="394" t="s">
        <v>312</v>
      </c>
      <c r="F4" s="394"/>
      <c r="G4" s="394"/>
    </row>
    <row r="5" spans="1:12" ht="24" customHeight="1">
      <c r="A5" s="394"/>
      <c r="B5" s="394"/>
      <c r="C5" s="394"/>
      <c r="D5" s="394"/>
      <c r="E5" s="255" t="s">
        <v>313</v>
      </c>
      <c r="F5" s="255" t="s">
        <v>314</v>
      </c>
      <c r="G5" s="255" t="s">
        <v>315</v>
      </c>
    </row>
    <row r="6" spans="1:12" s="257" customFormat="1" ht="12.75" customHeight="1">
      <c r="A6" s="256">
        <v>1</v>
      </c>
      <c r="B6" s="256">
        <v>2</v>
      </c>
      <c r="C6" s="256">
        <v>3</v>
      </c>
      <c r="D6" s="256">
        <v>4</v>
      </c>
      <c r="E6" s="256">
        <v>5</v>
      </c>
      <c r="F6" s="256">
        <v>6</v>
      </c>
      <c r="G6" s="256">
        <v>7</v>
      </c>
    </row>
    <row r="7" spans="1:12" ht="39" customHeight="1">
      <c r="A7" s="393" t="s">
        <v>316</v>
      </c>
      <c r="B7" s="393"/>
      <c r="C7" s="393"/>
      <c r="D7" s="258" t="s">
        <v>110</v>
      </c>
      <c r="E7" s="259" t="s">
        <v>317</v>
      </c>
      <c r="F7" s="259" t="s">
        <v>317</v>
      </c>
      <c r="G7" s="259" t="s">
        <v>317</v>
      </c>
    </row>
    <row r="8" spans="1:12" s="265" customFormat="1" ht="52.5" customHeight="1">
      <c r="A8" s="260">
        <v>600</v>
      </c>
      <c r="B8" s="261">
        <v>60004</v>
      </c>
      <c r="C8" s="260">
        <v>2310</v>
      </c>
      <c r="D8" s="262" t="s">
        <v>318</v>
      </c>
      <c r="E8" s="263"/>
      <c r="F8" s="263"/>
      <c r="G8" s="264">
        <v>250000</v>
      </c>
    </row>
    <row r="9" spans="1:12" s="265" customFormat="1" ht="57" customHeight="1">
      <c r="A9" s="266">
        <v>710</v>
      </c>
      <c r="B9" s="267">
        <v>71095</v>
      </c>
      <c r="C9" s="266">
        <v>6639</v>
      </c>
      <c r="D9" s="268" t="s">
        <v>319</v>
      </c>
      <c r="E9" s="269"/>
      <c r="F9" s="269"/>
      <c r="G9" s="270">
        <v>70572</v>
      </c>
    </row>
    <row r="10" spans="1:12" s="265" customFormat="1" ht="45" customHeight="1">
      <c r="A10" s="266">
        <v>754</v>
      </c>
      <c r="B10" s="267">
        <v>75404</v>
      </c>
      <c r="C10" s="266">
        <v>2300</v>
      </c>
      <c r="D10" s="268" t="s">
        <v>320</v>
      </c>
      <c r="E10" s="269"/>
      <c r="F10" s="269"/>
      <c r="G10" s="270">
        <f>30000</f>
        <v>30000</v>
      </c>
    </row>
    <row r="11" spans="1:12" s="265" customFormat="1" ht="38.25" customHeight="1">
      <c r="A11" s="266">
        <v>754</v>
      </c>
      <c r="B11" s="267">
        <v>75404</v>
      </c>
      <c r="C11" s="266">
        <v>6170</v>
      </c>
      <c r="D11" s="45" t="s">
        <v>321</v>
      </c>
      <c r="E11" s="269"/>
      <c r="F11" s="269"/>
      <c r="G11" s="270">
        <f>50000+16000</f>
        <v>66000</v>
      </c>
    </row>
    <row r="12" spans="1:12" s="265" customFormat="1" ht="38.25" customHeight="1">
      <c r="A12" s="266">
        <v>754</v>
      </c>
      <c r="B12" s="267">
        <v>75410</v>
      </c>
      <c r="C12" s="266">
        <v>6170</v>
      </c>
      <c r="D12" s="45" t="s">
        <v>321</v>
      </c>
      <c r="E12" s="269"/>
      <c r="F12" s="269"/>
      <c r="G12" s="270">
        <v>200000</v>
      </c>
    </row>
    <row r="13" spans="1:12" s="265" customFormat="1" ht="51.75" customHeight="1">
      <c r="A13" s="266">
        <v>853</v>
      </c>
      <c r="B13" s="267">
        <v>85311</v>
      </c>
      <c r="C13" s="266">
        <v>2320</v>
      </c>
      <c r="D13" s="45" t="s">
        <v>322</v>
      </c>
      <c r="E13" s="271"/>
      <c r="F13" s="271"/>
      <c r="G13" s="272">
        <v>2000</v>
      </c>
      <c r="H13" s="273"/>
      <c r="I13" s="273"/>
      <c r="J13" s="273"/>
      <c r="K13" s="273"/>
      <c r="L13" s="273"/>
    </row>
    <row r="14" spans="1:12" s="265" customFormat="1" ht="51.75" customHeight="1">
      <c r="A14" s="266">
        <v>855</v>
      </c>
      <c r="B14" s="267">
        <v>85508</v>
      </c>
      <c r="C14" s="266">
        <v>2320</v>
      </c>
      <c r="D14" s="45" t="s">
        <v>322</v>
      </c>
      <c r="E14" s="271"/>
      <c r="F14" s="271"/>
      <c r="G14" s="272">
        <v>538236</v>
      </c>
      <c r="H14" s="273"/>
      <c r="I14" s="273"/>
      <c r="J14" s="273"/>
      <c r="K14" s="273"/>
      <c r="L14" s="273"/>
    </row>
    <row r="15" spans="1:12" s="265" customFormat="1" ht="47.25" customHeight="1">
      <c r="A15" s="266">
        <v>855</v>
      </c>
      <c r="B15" s="267">
        <v>85509</v>
      </c>
      <c r="C15" s="266">
        <v>2330</v>
      </c>
      <c r="D15" s="45" t="s">
        <v>323</v>
      </c>
      <c r="E15" s="271"/>
      <c r="F15" s="271"/>
      <c r="G15" s="272">
        <v>202000</v>
      </c>
      <c r="H15" s="273"/>
      <c r="I15" s="273"/>
      <c r="J15" s="273"/>
      <c r="K15" s="273"/>
      <c r="L15" s="273"/>
    </row>
    <row r="16" spans="1:12" s="265" customFormat="1" ht="51.75" customHeight="1">
      <c r="A16" s="266">
        <v>855</v>
      </c>
      <c r="B16" s="267">
        <v>85510</v>
      </c>
      <c r="C16" s="266">
        <v>2320</v>
      </c>
      <c r="D16" s="45" t="s">
        <v>322</v>
      </c>
      <c r="E16" s="271"/>
      <c r="F16" s="271"/>
      <c r="G16" s="272">
        <v>133932</v>
      </c>
      <c r="H16" s="273"/>
      <c r="I16" s="273"/>
      <c r="J16" s="273"/>
      <c r="K16" s="273"/>
      <c r="L16" s="273"/>
    </row>
    <row r="17" spans="1:12" s="265" customFormat="1" ht="48" customHeight="1">
      <c r="A17" s="266">
        <v>900</v>
      </c>
      <c r="B17" s="267">
        <v>90095</v>
      </c>
      <c r="C17" s="266">
        <v>2710</v>
      </c>
      <c r="D17" s="45" t="s">
        <v>324</v>
      </c>
      <c r="E17" s="271"/>
      <c r="F17" s="271"/>
      <c r="G17" s="272">
        <v>10000</v>
      </c>
      <c r="H17" s="273"/>
      <c r="I17" s="273"/>
      <c r="J17" s="273"/>
      <c r="K17" s="273"/>
      <c r="L17" s="273"/>
    </row>
    <row r="18" spans="1:12" s="265" customFormat="1" ht="48" customHeight="1">
      <c r="A18" s="266">
        <v>921</v>
      </c>
      <c r="B18" s="267">
        <v>92105</v>
      </c>
      <c r="C18" s="266">
        <v>2710</v>
      </c>
      <c r="D18" s="45" t="s">
        <v>324</v>
      </c>
      <c r="E18" s="271"/>
      <c r="F18" s="271"/>
      <c r="G18" s="272">
        <f>10000-10000</f>
        <v>0</v>
      </c>
      <c r="H18" s="273"/>
      <c r="I18" s="273"/>
      <c r="J18" s="273"/>
      <c r="K18" s="273"/>
      <c r="L18" s="273"/>
    </row>
    <row r="19" spans="1:12" s="265" customFormat="1" ht="48" customHeight="1">
      <c r="A19" s="266">
        <v>926</v>
      </c>
      <c r="B19" s="267">
        <v>92605</v>
      </c>
      <c r="C19" s="266">
        <v>2710</v>
      </c>
      <c r="D19" s="45" t="s">
        <v>324</v>
      </c>
      <c r="E19" s="271"/>
      <c r="F19" s="271"/>
      <c r="G19" s="272">
        <v>0</v>
      </c>
      <c r="H19" s="273"/>
      <c r="I19" s="273"/>
      <c r="J19" s="273"/>
      <c r="K19" s="273"/>
      <c r="L19" s="273"/>
    </row>
    <row r="20" spans="1:12" s="265" customFormat="1" ht="25.5" customHeight="1">
      <c r="A20" s="266">
        <v>921</v>
      </c>
      <c r="B20" s="267">
        <v>92116</v>
      </c>
      <c r="C20" s="266">
        <v>2480</v>
      </c>
      <c r="D20" s="45" t="s">
        <v>325</v>
      </c>
      <c r="E20" s="274">
        <v>640900</v>
      </c>
      <c r="F20" s="271"/>
      <c r="G20" s="275"/>
      <c r="H20" s="273"/>
      <c r="I20" s="273"/>
      <c r="J20" s="273"/>
      <c r="K20" s="273"/>
      <c r="L20" s="273"/>
    </row>
    <row r="21" spans="1:12" s="277" customFormat="1" ht="27" customHeight="1">
      <c r="A21" s="394" t="s">
        <v>326</v>
      </c>
      <c r="B21" s="394"/>
      <c r="C21" s="394"/>
      <c r="D21" s="394"/>
      <c r="E21" s="276">
        <f>SUM(E8:E20)</f>
        <v>640900</v>
      </c>
      <c r="F21" s="276">
        <f>SUM(F8:F20)</f>
        <v>0</v>
      </c>
      <c r="G21" s="276">
        <f>SUM(G8:G20)</f>
        <v>1502740</v>
      </c>
      <c r="I21" s="278"/>
    </row>
    <row r="22" spans="1:12" s="277" customFormat="1" ht="47.25" customHeight="1">
      <c r="A22" s="393" t="s">
        <v>327</v>
      </c>
      <c r="B22" s="393"/>
      <c r="C22" s="393"/>
      <c r="D22" s="258" t="s">
        <v>110</v>
      </c>
      <c r="E22" s="258" t="s">
        <v>317</v>
      </c>
      <c r="F22" s="258" t="s">
        <v>317</v>
      </c>
      <c r="G22" s="258" t="s">
        <v>317</v>
      </c>
      <c r="I22" s="278"/>
      <c r="K22" s="279"/>
    </row>
    <row r="23" spans="1:12" s="265" customFormat="1" ht="54" customHeight="1">
      <c r="A23" s="280" t="s">
        <v>2</v>
      </c>
      <c r="B23" s="281" t="s">
        <v>328</v>
      </c>
      <c r="C23" s="280" t="s">
        <v>329</v>
      </c>
      <c r="D23" s="45" t="s">
        <v>330</v>
      </c>
      <c r="E23" s="269"/>
      <c r="F23" s="269"/>
      <c r="G23" s="270">
        <v>99370</v>
      </c>
      <c r="I23" s="282"/>
      <c r="K23" s="251"/>
    </row>
    <row r="24" spans="1:12" s="265" customFormat="1" ht="59.25" customHeight="1">
      <c r="A24" s="266">
        <v>630</v>
      </c>
      <c r="B24" s="267">
        <v>63003</v>
      </c>
      <c r="C24" s="266">
        <v>2360</v>
      </c>
      <c r="D24" s="45" t="s">
        <v>94</v>
      </c>
      <c r="E24" s="269"/>
      <c r="F24" s="269"/>
      <c r="G24" s="270">
        <v>20000</v>
      </c>
      <c r="I24" s="282"/>
      <c r="K24" s="251"/>
    </row>
    <row r="25" spans="1:12" s="265" customFormat="1" ht="63.75" customHeight="1">
      <c r="A25" s="266">
        <v>754</v>
      </c>
      <c r="B25" s="267">
        <v>75495</v>
      </c>
      <c r="C25" s="266">
        <v>2360</v>
      </c>
      <c r="D25" s="45" t="s">
        <v>94</v>
      </c>
      <c r="E25" s="269"/>
      <c r="F25" s="269"/>
      <c r="G25" s="270">
        <v>20000</v>
      </c>
      <c r="I25" s="282"/>
      <c r="K25" s="251"/>
    </row>
    <row r="26" spans="1:12" s="265" customFormat="1" ht="63" customHeight="1">
      <c r="A26" s="266">
        <v>755</v>
      </c>
      <c r="B26" s="267">
        <v>75515</v>
      </c>
      <c r="C26" s="266">
        <v>2360</v>
      </c>
      <c r="D26" s="45" t="s">
        <v>94</v>
      </c>
      <c r="E26" s="269"/>
      <c r="F26" s="269"/>
      <c r="G26" s="270">
        <v>190080</v>
      </c>
      <c r="I26" s="282"/>
      <c r="K26" s="251"/>
    </row>
    <row r="27" spans="1:12" s="265" customFormat="1" ht="24.95" customHeight="1">
      <c r="A27" s="266">
        <v>801</v>
      </c>
      <c r="B27" s="267">
        <v>80102</v>
      </c>
      <c r="C27" s="266">
        <v>2540</v>
      </c>
      <c r="D27" s="45" t="s">
        <v>331</v>
      </c>
      <c r="E27" s="274">
        <v>1128486</v>
      </c>
      <c r="F27" s="269"/>
      <c r="G27" s="283"/>
      <c r="I27" s="282"/>
      <c r="K27" s="251"/>
    </row>
    <row r="28" spans="1:12" s="265" customFormat="1" ht="24.95" customHeight="1">
      <c r="A28" s="266">
        <v>801</v>
      </c>
      <c r="B28" s="267">
        <v>80105</v>
      </c>
      <c r="C28" s="266">
        <v>2540</v>
      </c>
      <c r="D28" s="45" t="s">
        <v>331</v>
      </c>
      <c r="E28" s="274">
        <v>598175</v>
      </c>
      <c r="F28" s="269"/>
      <c r="G28" s="283"/>
      <c r="I28" s="282"/>
      <c r="K28" s="251"/>
    </row>
    <row r="29" spans="1:12" s="265" customFormat="1" ht="24.95" customHeight="1">
      <c r="A29" s="266">
        <v>801</v>
      </c>
      <c r="B29" s="267">
        <v>80116</v>
      </c>
      <c r="C29" s="266">
        <v>2540</v>
      </c>
      <c r="D29" s="45" t="s">
        <v>331</v>
      </c>
      <c r="E29" s="274">
        <v>603452</v>
      </c>
      <c r="F29" s="269"/>
      <c r="G29" s="283"/>
      <c r="I29" s="282"/>
      <c r="K29" s="251"/>
    </row>
    <row r="30" spans="1:12" s="265" customFormat="1" ht="24.95" customHeight="1">
      <c r="A30" s="266">
        <v>801</v>
      </c>
      <c r="B30" s="267">
        <v>80120</v>
      </c>
      <c r="C30" s="266">
        <v>2540</v>
      </c>
      <c r="D30" s="45" t="s">
        <v>331</v>
      </c>
      <c r="E30" s="274">
        <v>1056443</v>
      </c>
      <c r="F30" s="271"/>
      <c r="G30" s="284"/>
    </row>
    <row r="31" spans="1:12" s="265" customFormat="1" ht="24.95" customHeight="1">
      <c r="A31" s="266">
        <v>801</v>
      </c>
      <c r="B31" s="267">
        <v>80151</v>
      </c>
      <c r="C31" s="266">
        <v>2540</v>
      </c>
      <c r="D31" s="45" t="s">
        <v>331</v>
      </c>
      <c r="E31" s="274">
        <f>30000-29000</f>
        <v>1000</v>
      </c>
      <c r="F31" s="271"/>
      <c r="G31" s="284"/>
    </row>
    <row r="32" spans="1:12" s="265" customFormat="1" ht="24.95" customHeight="1">
      <c r="A32" s="266">
        <v>801</v>
      </c>
      <c r="B32" s="267">
        <v>80152</v>
      </c>
      <c r="C32" s="266">
        <v>2540</v>
      </c>
      <c r="D32" s="45" t="s">
        <v>331</v>
      </c>
      <c r="E32" s="274">
        <f>128736+29000</f>
        <v>157736</v>
      </c>
      <c r="F32" s="285"/>
      <c r="G32" s="286"/>
    </row>
    <row r="33" spans="1:11" s="265" customFormat="1" ht="48" customHeight="1">
      <c r="A33" s="266">
        <v>801</v>
      </c>
      <c r="B33" s="267">
        <v>80153</v>
      </c>
      <c r="C33" s="266">
        <v>2830</v>
      </c>
      <c r="D33" s="45" t="s">
        <v>330</v>
      </c>
      <c r="E33" s="274"/>
      <c r="F33" s="294"/>
      <c r="G33" s="274">
        <f>4257+3392</f>
        <v>7649</v>
      </c>
    </row>
    <row r="34" spans="1:11" s="265" customFormat="1" ht="52.15" customHeight="1">
      <c r="A34" s="266">
        <v>851</v>
      </c>
      <c r="B34" s="267">
        <v>85111</v>
      </c>
      <c r="C34" s="266">
        <v>6230</v>
      </c>
      <c r="D34" s="290" t="s">
        <v>332</v>
      </c>
      <c r="E34" s="274"/>
      <c r="F34" s="285"/>
      <c r="G34" s="274">
        <v>140000</v>
      </c>
    </row>
    <row r="35" spans="1:11" s="265" customFormat="1" ht="36.75" customHeight="1">
      <c r="A35" s="266">
        <v>852</v>
      </c>
      <c r="B35" s="267">
        <v>85202</v>
      </c>
      <c r="C35" s="266">
        <v>2820</v>
      </c>
      <c r="D35" s="45" t="s">
        <v>333</v>
      </c>
      <c r="E35" s="285"/>
      <c r="F35" s="285"/>
      <c r="G35" s="274">
        <v>243000</v>
      </c>
    </row>
    <row r="36" spans="1:11" s="265" customFormat="1" ht="36.75" customHeight="1">
      <c r="A36" s="266">
        <v>852</v>
      </c>
      <c r="B36" s="267">
        <v>85220</v>
      </c>
      <c r="C36" s="266">
        <v>2820</v>
      </c>
      <c r="D36" s="45" t="s">
        <v>333</v>
      </c>
      <c r="E36" s="285"/>
      <c r="F36" s="285"/>
      <c r="G36" s="274">
        <v>80000</v>
      </c>
    </row>
    <row r="37" spans="1:11" s="265" customFormat="1" ht="34.5" customHeight="1">
      <c r="A37" s="287">
        <v>853</v>
      </c>
      <c r="B37" s="288">
        <v>85311</v>
      </c>
      <c r="C37" s="287">
        <v>2580</v>
      </c>
      <c r="D37" s="297" t="s">
        <v>334</v>
      </c>
      <c r="E37" s="304">
        <f>219485-70000</f>
        <v>149485</v>
      </c>
      <c r="F37" s="305"/>
      <c r="G37" s="306"/>
    </row>
    <row r="38" spans="1:11" s="289" customFormat="1" ht="59.45" customHeight="1">
      <c r="A38" s="287">
        <v>853</v>
      </c>
      <c r="B38" s="288">
        <v>85311</v>
      </c>
      <c r="C38" s="287">
        <v>6230</v>
      </c>
      <c r="D38" s="307" t="s">
        <v>342</v>
      </c>
      <c r="E38" s="304"/>
      <c r="F38" s="305"/>
      <c r="G38" s="304">
        <v>70000</v>
      </c>
    </row>
    <row r="39" spans="1:11" s="265" customFormat="1" ht="25.5" customHeight="1">
      <c r="A39" s="266">
        <v>854</v>
      </c>
      <c r="B39" s="267">
        <v>85404</v>
      </c>
      <c r="C39" s="266">
        <v>2540</v>
      </c>
      <c r="D39" s="45" t="s">
        <v>331</v>
      </c>
      <c r="E39" s="274">
        <v>247039</v>
      </c>
      <c r="F39" s="285"/>
      <c r="G39" s="286"/>
    </row>
    <row r="40" spans="1:11" s="265" customFormat="1" ht="25.5" customHeight="1">
      <c r="A40" s="266">
        <v>854</v>
      </c>
      <c r="B40" s="267">
        <v>85410</v>
      </c>
      <c r="C40" s="266">
        <v>2540</v>
      </c>
      <c r="D40" s="45" t="s">
        <v>331</v>
      </c>
      <c r="E40" s="274">
        <v>99881</v>
      </c>
      <c r="F40" s="285"/>
      <c r="G40" s="286"/>
    </row>
    <row r="41" spans="1:11" s="265" customFormat="1" ht="60.75" customHeight="1">
      <c r="A41" s="266">
        <v>921</v>
      </c>
      <c r="B41" s="267">
        <v>92105</v>
      </c>
      <c r="C41" s="266">
        <v>2360</v>
      </c>
      <c r="D41" s="45" t="s">
        <v>94</v>
      </c>
      <c r="E41" s="284"/>
      <c r="F41" s="271"/>
      <c r="G41" s="274">
        <f>90000-15000</f>
        <v>75000</v>
      </c>
    </row>
    <row r="42" spans="1:11" s="265" customFormat="1" ht="60.75" customHeight="1">
      <c r="A42" s="266">
        <v>926</v>
      </c>
      <c r="B42" s="267">
        <v>92605</v>
      </c>
      <c r="C42" s="266">
        <v>2360</v>
      </c>
      <c r="D42" s="45" t="s">
        <v>94</v>
      </c>
      <c r="E42" s="291"/>
      <c r="F42" s="271"/>
      <c r="G42" s="274">
        <v>33000</v>
      </c>
      <c r="I42" s="282"/>
      <c r="K42" s="282"/>
    </row>
    <row r="43" spans="1:11" s="265" customFormat="1" ht="22.5" customHeight="1">
      <c r="A43" s="395" t="s">
        <v>335</v>
      </c>
      <c r="B43" s="395"/>
      <c r="C43" s="395"/>
      <c r="D43" s="395"/>
      <c r="E43" s="276">
        <f>SUM(E23:E42)</f>
        <v>4041697</v>
      </c>
      <c r="F43" s="276">
        <f t="shared" ref="F43" si="0">SUM(F23:F42)</f>
        <v>0</v>
      </c>
      <c r="G43" s="276">
        <f>SUM(G23:G42)</f>
        <v>978099</v>
      </c>
    </row>
    <row r="44" spans="1:11" s="293" customFormat="1" ht="26.25" customHeight="1">
      <c r="A44" s="396" t="s">
        <v>336</v>
      </c>
      <c r="B44" s="396"/>
      <c r="C44" s="396"/>
      <c r="D44" s="396"/>
      <c r="E44" s="396"/>
      <c r="F44" s="396"/>
      <c r="G44" s="292">
        <f>SUM(E21,G21,E43,G43)</f>
        <v>7163436</v>
      </c>
    </row>
    <row r="45" spans="1:11" ht="15.75" customHeight="1"/>
    <row r="46" spans="1:11" ht="15.75" customHeight="1"/>
    <row r="47" spans="1:11" ht="15.75" customHeight="1"/>
    <row r="48" spans="1:11" ht="15.75" customHeight="1">
      <c r="A48" s="37"/>
      <c r="B48" s="37"/>
      <c r="C48" s="37"/>
    </row>
    <row r="49" spans="1:3" ht="15.75" customHeight="1">
      <c r="A49" s="37"/>
      <c r="B49" s="37"/>
      <c r="C49" s="37"/>
    </row>
    <row r="50" spans="1:3" ht="15.75" customHeight="1">
      <c r="A50" s="37"/>
      <c r="B50" s="37"/>
      <c r="C50" s="37"/>
    </row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</sheetData>
  <sheetProtection algorithmName="SHA-512" hashValue="vr55R6aeZ5kdAVIUUqtGIy5QBs38uo13PrAi2BktReBR4C9Qgh263R+wtEr/oqwYl0sZDCf676Vcl+I4YXGh8w==" saltValue="tTmQGeyOC/AVZuvmum1J6A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1:D21"/>
    <mergeCell ref="A22:C22"/>
    <mergeCell ref="A43:D43"/>
    <mergeCell ref="A44:F44"/>
  </mergeCells>
  <pageMargins left="0.68" right="0.23622047244094491" top="1.21" bottom="1.02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Tab.2a</vt:lpstr>
      <vt:lpstr>Tab.3</vt:lpstr>
      <vt:lpstr>Tab.5</vt:lpstr>
      <vt:lpstr>Tab.7</vt:lpstr>
      <vt:lpstr>Zał.1</vt:lpstr>
      <vt:lpstr>Tab.3!Obszar_wydruku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2019-09-11T14:12:28Z</cp:lastPrinted>
  <dcterms:created xsi:type="dcterms:W3CDTF">2015-10-09T11:05:37Z</dcterms:created>
  <dcterms:modified xsi:type="dcterms:W3CDTF">2019-09-11T14:17:06Z</dcterms:modified>
</cp:coreProperties>
</file>