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" sheetId="18" r:id="rId1"/>
    <sheet name="Zał.2 " sheetId="8" r:id="rId2"/>
  </sheets>
  <externalReferences>
    <externalReference r:id="rId3"/>
  </externalReferences>
  <definedNames>
    <definedName name="_xlnm.Print_Area" localSheetId="0">Zał.1!$A$1:$S$104</definedName>
    <definedName name="_xlnm.Print_Area" localSheetId="1">'Zał.2 '!$A$1:$L$69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Zał.1!$A$2:$S$104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S4" i="18" l="1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5" i="18"/>
  <c r="S46" i="18"/>
  <c r="S48" i="18"/>
  <c r="S49" i="18"/>
  <c r="S50" i="18"/>
  <c r="S51" i="18"/>
  <c r="S52" i="18"/>
  <c r="S53" i="18"/>
  <c r="S54" i="18"/>
  <c r="S57" i="18"/>
  <c r="S58" i="18"/>
  <c r="S60" i="18"/>
  <c r="S61" i="18"/>
  <c r="S62" i="18"/>
  <c r="S63" i="18"/>
  <c r="S64" i="18"/>
  <c r="S65" i="18"/>
  <c r="S66" i="18"/>
  <c r="S67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90" i="18"/>
  <c r="S91" i="18"/>
  <c r="S92" i="18"/>
  <c r="S93" i="18"/>
  <c r="S94" i="18"/>
  <c r="S95" i="18"/>
  <c r="S96" i="18"/>
  <c r="S98" i="18"/>
  <c r="S99" i="18"/>
  <c r="S100" i="18"/>
  <c r="S101" i="18"/>
  <c r="S102" i="18"/>
  <c r="S103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R51" i="18"/>
  <c r="Q51" i="18"/>
  <c r="P51" i="18"/>
  <c r="O51" i="18"/>
  <c r="N51" i="18"/>
  <c r="M51" i="18"/>
  <c r="L51" i="18"/>
  <c r="K51" i="18"/>
  <c r="K55" i="18" s="1"/>
  <c r="J51" i="18"/>
  <c r="I51" i="18"/>
  <c r="H51" i="18"/>
  <c r="G51" i="18"/>
  <c r="F51" i="18"/>
  <c r="E51" i="18"/>
  <c r="D51" i="18"/>
  <c r="C51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G3" i="18"/>
  <c r="H3" i="18" s="1"/>
  <c r="I3" i="18" s="1"/>
  <c r="J3" i="18" s="1"/>
  <c r="K3" i="18" s="1"/>
  <c r="L3" i="18" s="1"/>
  <c r="M3" i="18" s="1"/>
  <c r="N3" i="18" s="1"/>
  <c r="O3" i="18" s="1"/>
  <c r="P3" i="18" s="1"/>
  <c r="Q3" i="18" s="1"/>
  <c r="R3" i="18" s="1"/>
  <c r="S3" i="18" s="1"/>
  <c r="G2" i="18"/>
  <c r="S56" i="18" l="1"/>
  <c r="S55" i="18"/>
  <c r="O56" i="18"/>
  <c r="M56" i="18"/>
  <c r="Q56" i="18"/>
  <c r="H56" i="18"/>
  <c r="L56" i="18"/>
  <c r="P56" i="18"/>
  <c r="G56" i="18"/>
  <c r="F3" i="18"/>
  <c r="E3" i="18" s="1"/>
  <c r="D3" i="18" s="1"/>
  <c r="C3" i="18" s="1"/>
  <c r="J56" i="18"/>
  <c r="N56" i="18"/>
  <c r="R56" i="18"/>
  <c r="N55" i="18"/>
  <c r="K56" i="18"/>
  <c r="G55" i="18"/>
  <c r="O55" i="18"/>
  <c r="I56" i="18"/>
  <c r="J55" i="18"/>
  <c r="R55" i="18"/>
  <c r="I55" i="18"/>
  <c r="M55" i="18"/>
  <c r="Q55" i="18"/>
  <c r="H55" i="18"/>
  <c r="L55" i="18"/>
  <c r="P55" i="18"/>
  <c r="F29" i="8"/>
  <c r="G29" i="8" l="1"/>
  <c r="H29" i="8"/>
  <c r="I29" i="8"/>
  <c r="J29" i="8"/>
  <c r="K29" i="8"/>
  <c r="L29" i="8"/>
  <c r="G10" i="8"/>
  <c r="H10" i="8"/>
  <c r="I10" i="8"/>
  <c r="J10" i="8"/>
  <c r="K10" i="8"/>
  <c r="L10" i="8"/>
  <c r="F10" i="8"/>
  <c r="F20" i="8"/>
  <c r="L19" i="8"/>
  <c r="L69" i="8" l="1"/>
  <c r="F47" i="8" l="1"/>
  <c r="G47" i="8"/>
  <c r="H45" i="8" l="1"/>
  <c r="F45" i="8"/>
  <c r="F26" i="8" l="1"/>
  <c r="L67" i="8"/>
  <c r="L68" i="8"/>
  <c r="G45" i="8" l="1"/>
  <c r="H13" i="8"/>
  <c r="G13" i="8"/>
  <c r="F44" i="8" l="1"/>
  <c r="H44" i="8"/>
  <c r="G63" i="8" l="1"/>
  <c r="F54" i="8"/>
  <c r="F53" i="8"/>
  <c r="G54" i="8"/>
  <c r="G53" i="8"/>
  <c r="F35" i="8"/>
  <c r="F57" i="8"/>
  <c r="G57" i="8"/>
  <c r="G35" i="8"/>
  <c r="L65" i="8"/>
  <c r="L66" i="8"/>
  <c r="G16" i="8" l="1"/>
  <c r="L17" i="8" l="1"/>
  <c r="L18" i="8"/>
  <c r="J43" i="8" l="1"/>
  <c r="I43" i="8"/>
  <c r="H43" i="8"/>
  <c r="L64" i="8"/>
  <c r="L13" i="8" l="1"/>
  <c r="G12" i="8"/>
  <c r="G11" i="8"/>
  <c r="L63" i="8"/>
  <c r="L62" i="8"/>
  <c r="L61" i="8"/>
  <c r="L60" i="8"/>
  <c r="L59" i="8"/>
  <c r="L58" i="8"/>
  <c r="L57" i="8"/>
  <c r="L56" i="8"/>
  <c r="L55" i="8"/>
  <c r="L54" i="8"/>
  <c r="L53" i="8"/>
  <c r="L52" i="8"/>
  <c r="F52" i="8"/>
  <c r="L51" i="8"/>
  <c r="F51" i="8"/>
  <c r="L50" i="8"/>
  <c r="F50" i="8"/>
  <c r="L49" i="8"/>
  <c r="F49" i="8"/>
  <c r="L48" i="8"/>
  <c r="F48" i="8"/>
  <c r="L47" i="8"/>
  <c r="L46" i="8"/>
  <c r="L45" i="8"/>
  <c r="L44" i="8"/>
  <c r="L43" i="8"/>
  <c r="L42" i="8"/>
  <c r="F42" i="8"/>
  <c r="L41" i="8"/>
  <c r="L40" i="8"/>
  <c r="F40" i="8"/>
  <c r="L39" i="8"/>
  <c r="F39" i="8"/>
  <c r="L38" i="8"/>
  <c r="F38" i="8"/>
  <c r="L37" i="8"/>
  <c r="F37" i="8"/>
  <c r="L36" i="8"/>
  <c r="F36" i="8"/>
  <c r="L35" i="8"/>
  <c r="L34" i="8"/>
  <c r="F34" i="8"/>
  <c r="L33" i="8"/>
  <c r="F33" i="8"/>
  <c r="L32" i="8"/>
  <c r="F32" i="8"/>
  <c r="F8" i="8" s="1"/>
  <c r="L31" i="8"/>
  <c r="F31" i="8"/>
  <c r="L30" i="8"/>
  <c r="K8" i="8"/>
  <c r="H8" i="8"/>
  <c r="G8" i="8"/>
  <c r="L28" i="8"/>
  <c r="L27" i="8"/>
  <c r="L26" i="8" s="1"/>
  <c r="F27" i="8"/>
  <c r="I26" i="8"/>
  <c r="H26" i="8"/>
  <c r="H25" i="8" s="1"/>
  <c r="G26" i="8"/>
  <c r="G25" i="8" s="1"/>
  <c r="J25" i="8"/>
  <c r="I25" i="8"/>
  <c r="L24" i="8"/>
  <c r="L23" i="8"/>
  <c r="K22" i="8"/>
  <c r="J22" i="8"/>
  <c r="I22" i="8"/>
  <c r="H22" i="8"/>
  <c r="G22" i="8"/>
  <c r="L22" i="8" s="1"/>
  <c r="F22" i="8"/>
  <c r="L21" i="8"/>
  <c r="F21" i="8"/>
  <c r="L20" i="8"/>
  <c r="I20" i="8"/>
  <c r="H20" i="8"/>
  <c r="G20" i="8"/>
  <c r="L16" i="8"/>
  <c r="L15" i="8"/>
  <c r="L14" i="8"/>
  <c r="F14" i="8"/>
  <c r="L12" i="8"/>
  <c r="L11" i="8"/>
  <c r="K7" i="8"/>
  <c r="I9" i="8"/>
  <c r="H7" i="8"/>
  <c r="K9" i="8"/>
  <c r="J9" i="8"/>
  <c r="J8" i="8"/>
  <c r="I8" i="8"/>
  <c r="J7" i="8"/>
  <c r="I7" i="8"/>
  <c r="L8" i="8" l="1"/>
  <c r="I6" i="8"/>
  <c r="J6" i="8"/>
  <c r="G7" i="8"/>
  <c r="L7" i="8"/>
  <c r="F25" i="8"/>
  <c r="F9" i="8"/>
  <c r="F7" i="8"/>
  <c r="H9" i="8"/>
  <c r="H6" i="8" s="1"/>
  <c r="K25" i="8"/>
  <c r="K6" i="8" s="1"/>
  <c r="F6" i="8" l="1"/>
  <c r="L25" i="8"/>
  <c r="L9" i="8"/>
  <c r="G9" i="8"/>
  <c r="G6" i="8" s="1"/>
  <c r="L6" i="8" l="1"/>
</calcChain>
</file>

<file path=xl/sharedStrings.xml><?xml version="1.0" encoding="utf-8"?>
<sst xmlns="http://schemas.openxmlformats.org/spreadsheetml/2006/main" count="501" uniqueCount="327">
  <si>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</si>
  <si>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</si>
  <si>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</si>
  <si>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</si>
  <si>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</si>
  <si>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</si>
  <si>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</si>
  <si>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</si>
  <si>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</si>
  <si>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</si>
  <si>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</si>
  <si>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</si>
  <si>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</si>
  <si>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</si>
  <si>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</si>
  <si>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</si>
  <si>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2017 r. poz. 2077), z tego:</t>
  </si>
  <si>
    <t>1.1.1.</t>
  </si>
  <si>
    <t>Powiatowe Centrum Pomocy Rodzinie</t>
  </si>
  <si>
    <t>Zespół Szkół Ekonomiczno-Gastronomicznych</t>
  </si>
  <si>
    <t>1.1.1.4</t>
  </si>
  <si>
    <t>Akademia Rodzin w Powiecie Otwockim</t>
  </si>
  <si>
    <t>1.1.1.5</t>
  </si>
  <si>
    <t>Doświadczenie zawodowe kluczem do sukcesu</t>
  </si>
  <si>
    <t>Poprawa funkcjonowania osób niesamodzielnych z terenu powiatu otwockiego poprzez uruchomienie usług socjalnych świadczonych w formie wsparcia dziennego</t>
  </si>
  <si>
    <t>Poznawanie europejskiego rynku pracy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</si>
  <si>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</si>
  <si>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</si>
  <si>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</si>
  <si>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</si>
  <si>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</si>
  <si>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</si>
  <si>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</si>
  <si>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</si>
  <si>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</si>
  <si>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</si>
  <si>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</si>
  <si>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</si>
  <si>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</si>
  <si>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</si>
  <si>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</si>
  <si>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</si>
  <si>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</si>
  <si>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</si>
  <si>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</si>
  <si>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</si>
  <si>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</si>
  <si>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</si>
  <si>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</si>
  <si>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</si>
  <si>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</si>
  <si>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</si>
  <si>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</si>
  <si>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</si>
  <si>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</si>
  <si>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</si>
  <si>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</si>
  <si>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</si>
  <si>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</si>
  <si>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</si>
  <si>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</si>
  <si>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</si>
  <si>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</si>
  <si>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</si>
  <si>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</si>
  <si>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</si>
  <si>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</si>
  <si>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</si>
  <si>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</si>
  <si>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</si>
  <si>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</si>
  <si>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</si>
  <si>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</si>
  <si>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Przebudowa drogi powiatowej Nr 2705W - ul. Kąckiej w Wiązownie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</si>
  <si>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</si>
  <si>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</si>
  <si>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</si>
  <si>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</si>
  <si>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</si>
  <si>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</si>
  <si>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>Modernizacja Domu Pomocy Społecznej "Wrzos"</t>
  </si>
  <si>
    <t xml:space="preserve">Dom Pomocy Społecznej "Wrzos" </t>
  </si>
  <si>
    <t>1.3.2.27</t>
  </si>
  <si>
    <t>Budowa Ogniska Wychowawczego "Świder" w Otwocku</t>
  </si>
  <si>
    <t xml:space="preserve">Ognisko Wychowawcze "Świder" </t>
  </si>
  <si>
    <t>1.3.2.28</t>
  </si>
  <si>
    <t>1.3.2.29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</si>
  <si>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</si>
  <si>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</si>
  <si>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</si>
  <si>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</si>
  <si>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 xml:space="preserve">Rozbudowa szatni w Zespole Szkół Nr 1 w Otwocku wraz z przebudową części istniejącej </t>
  </si>
  <si>
    <t>Modernizacja drogi powiatowej Nr 2745W w Antoninku</t>
  </si>
  <si>
    <t>Modernizacja drogi powiatowej Nr 2744W w Ponurzycy</t>
  </si>
  <si>
    <t>Modernizacja drogi powiatowej nr 2729W Kępa Gliniecka - Otwock Wielki - Otwock Mały - Karczew w miejscowości Otwock Wielki</t>
  </si>
  <si>
    <t>Modernizacja drogi powiatowej Nr 2751W Sobienie Kiełczewskie-Zuzanów-Czarnowiec</t>
  </si>
  <si>
    <t>Modernizacja drogi powiatowej Nr 2752W Władysławów-Zambrzyków Stary-Sobienie Kiełczewskie</t>
  </si>
  <si>
    <t xml:space="preserve">Modernizacja drogi powiatowej Nr 2763W ul. Majowej w Otwocku 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</si>
  <si>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</si>
  <si>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</si>
  <si>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</si>
  <si>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Modenizacja drogi powiatowej Nr 2708W  Dziechciniec - Pęclin - Kąck</t>
  </si>
  <si>
    <t xml:space="preserve">Modernizacja drogi powiatowej Nr 2712W w miejscowości Kruszówiec </t>
  </si>
  <si>
    <t>1.3.2.31</t>
  </si>
  <si>
    <t>1.3.2.32</t>
  </si>
  <si>
    <t>1.3.2.33</t>
  </si>
  <si>
    <t>1.3.2.34</t>
  </si>
  <si>
    <t>Zespół Szkół Nr 1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</si>
  <si>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</si>
  <si>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Wykonanie nakładki asfaltobetonowej na drodze powiatowej Nr 2726W przez Sobiekursk</t>
  </si>
  <si>
    <t>Przebudowa drogi powiatowej Nr 2245 W m. Dobrzyniec, gmina Kołbiel</t>
  </si>
  <si>
    <t>1.1.1.1</t>
  </si>
  <si>
    <t>1.1.1.2</t>
  </si>
  <si>
    <t>1.1.1.3</t>
  </si>
  <si>
    <t>Budowa ronda w Gliniance na skrzyżowaniu dróg powiatowych Nr 2709W i Nr 2710W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</si>
  <si>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</si>
  <si>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</si>
  <si>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</si>
  <si>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</si>
  <si>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</si>
  <si>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</si>
  <si>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</si>
  <si>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</si>
  <si>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</si>
  <si>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</si>
  <si>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</si>
  <si>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</si>
  <si>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</si>
  <si>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</si>
  <si>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</si>
  <si>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</si>
  <si>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</si>
  <si>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</si>
  <si>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</si>
  <si>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</si>
  <si>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</si>
  <si>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</si>
  <si>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</si>
  <si>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</si>
  <si>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</si>
  <si>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</si>
  <si>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</si>
  <si>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</si>
  <si>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</si>
  <si>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</si>
  <si>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</si>
  <si>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</si>
  <si>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</si>
  <si>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</si>
  <si>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</si>
  <si>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</si>
  <si>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</si>
  <si>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</si>
  <si>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</si>
  <si>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</si>
  <si>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</si>
  <si>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</si>
  <si>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</si>
  <si>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</si>
  <si>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</si>
  <si>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</si>
  <si>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</si>
  <si>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</si>
  <si>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</si>
  <si>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</si>
  <si>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</si>
  <si>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</si>
  <si>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</si>
  <si>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</si>
  <si>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</si>
  <si>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</si>
  <si>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</si>
  <si>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</si>
  <si>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</si>
  <si>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</si>
  <si>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</si>
  <si>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</si>
  <si>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</si>
  <si>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</si>
  <si>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</si>
  <si>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</si>
  <si>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</si>
  <si>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</si>
  <si>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</si>
  <si>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</si>
  <si>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</si>
  <si>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</si>
  <si>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</si>
  <si>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</si>
  <si>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</si>
  <si>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</si>
  <si>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</si>
  <si>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</si>
  <si>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</si>
  <si>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</si>
  <si>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</si>
  <si>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</si>
  <si>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</si>
  <si>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</si>
  <si>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</si>
  <si>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</si>
  <si>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</si>
  <si>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</si>
  <si>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</si>
  <si>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</si>
  <si>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</si>
  <si>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</si>
  <si>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</si>
  <si>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</si>
  <si>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</si>
  <si>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</si>
  <si>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</si>
  <si>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</si>
  <si>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</si>
  <si>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</si>
  <si>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</si>
  <si>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</si>
  <si>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</si>
  <si>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</si>
  <si>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</si>
  <si>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</si>
  <si>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</si>
  <si>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</si>
  <si>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</si>
  <si>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</si>
  <si>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</si>
  <si>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</si>
  <si>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</si>
  <si>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</si>
  <si>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</si>
  <si>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</si>
  <si>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</si>
  <si>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</si>
  <si>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</si>
  <si>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</si>
  <si>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</si>
  <si>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</si>
  <si>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</si>
  <si>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</si>
  <si>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</si>
  <si>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</si>
  <si>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</si>
  <si>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</si>
  <si>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</si>
  <si>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</si>
  <si>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</si>
  <si>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</si>
  <si>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</si>
  <si>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</si>
  <si>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</si>
  <si>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</si>
  <si>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</si>
  <si>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</si>
  <si>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</si>
  <si>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</si>
  <si>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</si>
  <si>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</si>
  <si>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</si>
  <si>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</si>
  <si>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</si>
  <si>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</si>
  <si>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</si>
  <si>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</si>
  <si>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</si>
  <si>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</si>
  <si>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</si>
  <si>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</si>
  <si>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</si>
  <si>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</si>
  <si>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</si>
  <si>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</si>
  <si>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</si>
  <si>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</si>
  <si>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</si>
  <si>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</si>
  <si>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</si>
  <si>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</si>
  <si>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</si>
  <si>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</si>
  <si>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</si>
  <si>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</si>
  <si>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</si>
  <si>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</si>
  <si>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</si>
  <si>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</si>
  <si>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</si>
  <si>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</si>
  <si>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</si>
  <si>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</si>
  <si>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</si>
  <si>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</si>
  <si>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</si>
  <si>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</si>
  <si>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</si>
  <si>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</si>
  <si>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</si>
  <si>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</si>
  <si>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</si>
  <si>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</si>
  <si>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</si>
  <si>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1.1.1.6</t>
  </si>
  <si>
    <t>Rozwijamy skrzydła</t>
  </si>
  <si>
    <t>Liceum Ogólnokształcące Nr I</t>
  </si>
  <si>
    <t>Modernizacja  mostu  w ciągu drogi powiatowej Nr 2735W Warszówka-Warszawice w Warszawicach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</si>
  <si>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</si>
  <si>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</si>
  <si>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</si>
  <si>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</si>
  <si>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</si>
  <si>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</si>
  <si>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</si>
  <si>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</si>
  <si>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Przebudowa drogi powiatowej Nr 2714W w Celestynowie</t>
  </si>
  <si>
    <t>Przebudowa drogi powiatowej Nr 2769W - ul. Sikorskiego w Józefowie</t>
  </si>
  <si>
    <t>Przebudowa  drogi powiatowej Nr 2724W w Całowaniu</t>
  </si>
  <si>
    <t>Wykonanie nakładki asfaltobetonowej na drodze powiatowej Nr 2739W w Gadce na odcinku od drogi krajowej  Nr 17 do miejscowości Gadka</t>
  </si>
  <si>
    <t>1.3.2.36</t>
  </si>
  <si>
    <t>1.3.2.37</t>
  </si>
  <si>
    <t>1.3.2.38</t>
  </si>
  <si>
    <t>1.3.2.39</t>
  </si>
  <si>
    <t>Wykonanie ZRIDu ciągu pieszo-rowerowego między Izabelą a Zakrętem w ramach poprawy bezpieczeństwa na drodze powiatowej nr 2702W</t>
  </si>
  <si>
    <t>Budowa hali sportowej przy Zespole Szkół Nr 2 im. Marii Skłodowskiej-Curie w Otwocku</t>
  </si>
  <si>
    <t>Wieloletnia prognoza finansowa</t>
  </si>
  <si>
    <t>1.3.2.40</t>
  </si>
  <si>
    <t>1.1.1.9</t>
  </si>
  <si>
    <t>Aktywna integracja w powiecie otwockim</t>
  </si>
  <si>
    <t>Rozbudowa skrzyżowania dróg powiatowych Nr 2754W –                              ul. Reymonta i Nr 2758W – ul. Samorządowej w Otwocku na skrzyżowanie typu rondo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</si>
</sst>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 ;[Red]\-#,##0.00\ "/>
    <numFmt numFmtId="166" formatCode="0.00%;[Red]\-0.0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6">
    <xf numFmtId="0" fontId="0" fillId="0" borderId="0"/>
    <xf numFmtId="0" fontId="18" fillId="0" borderId="0"/>
    <xf numFmtId="0" fontId="18" fillId="0" borderId="0"/>
    <xf numFmtId="0" fontId="25" fillId="0" borderId="0"/>
    <xf numFmtId="0" fontId="26" fillId="0" borderId="0"/>
    <xf numFmtId="0" fontId="25" fillId="0" borderId="0"/>
    <xf numFmtId="9" fontId="26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36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8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20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21" fillId="0" borderId="0" xfId="1" applyFont="1"/>
    <xf numFmtId="0" fontId="21" fillId="2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4" fontId="22" fillId="3" borderId="1" xfId="1" applyNumberFormat="1" applyFont="1" applyFill="1" applyBorder="1" applyAlignment="1">
      <alignment horizontal="right" vertical="center" wrapText="1"/>
    </xf>
    <xf numFmtId="0" fontId="22" fillId="0" borderId="0" xfId="1" applyFont="1" applyFill="1"/>
    <xf numFmtId="4" fontId="22" fillId="3" borderId="1" xfId="1" applyNumberFormat="1" applyFont="1" applyFill="1" applyBorder="1" applyAlignment="1"/>
    <xf numFmtId="0" fontId="22" fillId="0" borderId="0" xfId="1" applyFont="1" applyAlignment="1">
      <alignment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4" fontId="21" fillId="0" borderId="1" xfId="1" applyNumberFormat="1" applyFont="1" applyBorder="1" applyAlignment="1"/>
    <xf numFmtId="0" fontId="21" fillId="0" borderId="0" xfId="1" applyFont="1" applyAlignment="1">
      <alignment vertical="center"/>
    </xf>
    <xf numFmtId="0" fontId="22" fillId="0" borderId="0" xfId="1" applyFont="1" applyFill="1" applyAlignment="1">
      <alignment horizontal="right"/>
    </xf>
    <xf numFmtId="4" fontId="21" fillId="0" borderId="1" xfId="1" applyNumberFormat="1" applyFont="1" applyFill="1" applyBorder="1" applyAlignment="1"/>
    <xf numFmtId="0" fontId="21" fillId="0" borderId="0" xfId="1" applyFont="1" applyFill="1" applyAlignment="1">
      <alignment vertical="center"/>
    </xf>
    <xf numFmtId="0" fontId="21" fillId="0" borderId="4" xfId="1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center" vertical="center" wrapText="1"/>
    </xf>
    <xf numFmtId="164" fontId="21" fillId="0" borderId="3" xfId="1" applyNumberFormat="1" applyFont="1" applyBorder="1" applyAlignment="1"/>
    <xf numFmtId="4" fontId="21" fillId="0" borderId="1" xfId="1" applyNumberFormat="1" applyFont="1" applyBorder="1" applyAlignment="1">
      <alignment horizontal="right"/>
    </xf>
    <xf numFmtId="0" fontId="21" fillId="0" borderId="3" xfId="2" applyFont="1" applyFill="1" applyBorder="1" applyAlignment="1">
      <alignment horizontal="center" vertical="center" wrapText="1"/>
    </xf>
    <xf numFmtId="4" fontId="21" fillId="0" borderId="3" xfId="2" applyNumberFormat="1" applyFont="1" applyFill="1" applyBorder="1"/>
    <xf numFmtId="0" fontId="21" fillId="0" borderId="1" xfId="2" applyFont="1" applyFill="1" applyBorder="1" applyAlignment="1">
      <alignment horizontal="center" vertical="center" wrapText="1"/>
    </xf>
    <xf numFmtId="4" fontId="21" fillId="0" borderId="1" xfId="2" applyNumberFormat="1" applyFont="1" applyFill="1" applyBorder="1"/>
    <xf numFmtId="0" fontId="21" fillId="0" borderId="3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left" vertical="center" wrapText="1"/>
    </xf>
    <xf numFmtId="0" fontId="21" fillId="0" borderId="3" xfId="1" applyFont="1" applyFill="1" applyBorder="1" applyAlignment="1">
      <alignment horizontal="center" vertical="center" wrapText="1"/>
    </xf>
    <xf numFmtId="4" fontId="21" fillId="0" borderId="3" xfId="1" applyNumberFormat="1" applyFont="1" applyBorder="1" applyAlignment="1"/>
    <xf numFmtId="0" fontId="21" fillId="0" borderId="0" xfId="1" applyFont="1" applyFill="1" applyBorder="1"/>
    <xf numFmtId="0" fontId="21" fillId="0" borderId="0" xfId="1" applyFont="1" applyBorder="1"/>
    <xf numFmtId="0" fontId="21" fillId="0" borderId="1" xfId="1" applyFont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3" xfId="2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horizontal="center"/>
    </xf>
    <xf numFmtId="4" fontId="21" fillId="0" borderId="1" xfId="1" applyNumberFormat="1" applyFont="1" applyBorder="1"/>
    <xf numFmtId="0" fontId="21" fillId="0" borderId="8" xfId="1" applyFont="1" applyBorder="1"/>
    <xf numFmtId="0" fontId="25" fillId="0" borderId="0" xfId="3"/>
    <xf numFmtId="0" fontId="27" fillId="0" borderId="0" xfId="3" applyFont="1"/>
    <xf numFmtId="0" fontId="29" fillId="0" borderId="0" xfId="3" applyFont="1" applyBorder="1" applyAlignment="1" applyProtection="1">
      <alignment horizontal="left" vertical="center"/>
      <protection locked="0"/>
    </xf>
    <xf numFmtId="0" fontId="29" fillId="0" borderId="9" xfId="3" applyFont="1" applyBorder="1" applyAlignment="1" applyProtection="1">
      <alignment vertical="center" wrapText="1"/>
      <protection locked="0"/>
    </xf>
    <xf numFmtId="49" fontId="28" fillId="4" borderId="10" xfId="4" applyNumberFormat="1" applyFont="1" applyFill="1" applyBorder="1" applyAlignment="1">
      <alignment horizontal="center" vertical="center"/>
    </xf>
    <xf numFmtId="1" fontId="28" fillId="4" borderId="10" xfId="4" applyNumberFormat="1" applyFont="1" applyFill="1" applyBorder="1" applyAlignment="1">
      <alignment horizontal="center" vertical="center" wrapText="1"/>
    </xf>
    <xf numFmtId="1" fontId="28" fillId="4" borderId="12" xfId="4" applyNumberFormat="1" applyFont="1" applyFill="1" applyBorder="1" applyAlignment="1">
      <alignment horizontal="center" vertical="center" wrapText="1"/>
    </xf>
    <xf numFmtId="1" fontId="28" fillId="4" borderId="13" xfId="4" applyNumberFormat="1" applyFont="1" applyFill="1" applyBorder="1" applyAlignment="1">
      <alignment horizontal="center" vertical="center" wrapText="1"/>
    </xf>
    <xf numFmtId="1" fontId="28" fillId="4" borderId="14" xfId="4" applyNumberFormat="1" applyFont="1" applyFill="1" applyBorder="1" applyAlignment="1">
      <alignment horizontal="center" vertical="center"/>
    </xf>
    <xf numFmtId="1" fontId="28" fillId="4" borderId="12" xfId="4" applyNumberFormat="1" applyFont="1" applyFill="1" applyBorder="1" applyAlignment="1">
      <alignment horizontal="center" vertical="center"/>
    </xf>
    <xf numFmtId="0" fontId="30" fillId="0" borderId="15" xfId="3" applyFont="1" applyBorder="1" applyAlignment="1">
      <alignment horizontal="left" vertical="center"/>
    </xf>
    <xf numFmtId="165" fontId="31" fillId="3" borderId="15" xfId="4" applyNumberFormat="1" applyFont="1" applyFill="1" applyBorder="1" applyAlignment="1">
      <alignment vertical="center" shrinkToFit="1"/>
    </xf>
    <xf numFmtId="165" fontId="31" fillId="3" borderId="18" xfId="4" applyNumberFormat="1" applyFont="1" applyFill="1" applyBorder="1" applyAlignment="1">
      <alignment vertical="center" shrinkToFit="1"/>
    </xf>
    <xf numFmtId="165" fontId="31" fillId="3" borderId="19" xfId="4" applyNumberFormat="1" applyFont="1" applyFill="1" applyBorder="1" applyAlignment="1">
      <alignment vertical="center" shrinkToFit="1"/>
    </xf>
    <xf numFmtId="165" fontId="31" fillId="0" borderId="20" xfId="4" applyNumberFormat="1" applyFont="1" applyFill="1" applyBorder="1" applyAlignment="1">
      <alignment vertical="center" shrinkToFit="1"/>
    </xf>
    <xf numFmtId="165" fontId="31" fillId="0" borderId="18" xfId="4" applyNumberFormat="1" applyFont="1" applyFill="1" applyBorder="1" applyAlignment="1">
      <alignment vertical="center" shrinkToFit="1"/>
    </xf>
    <xf numFmtId="0" fontId="32" fillId="0" borderId="15" xfId="3" applyFont="1" applyBorder="1" applyAlignment="1">
      <alignment horizontal="left" vertical="center"/>
    </xf>
    <xf numFmtId="0" fontId="32" fillId="0" borderId="16" xfId="3" applyFont="1" applyBorder="1" applyAlignment="1">
      <alignment horizontal="left" vertical="center" wrapText="1" indent="1"/>
    </xf>
    <xf numFmtId="165" fontId="33" fillId="3" borderId="15" xfId="4" applyNumberFormat="1" applyFont="1" applyFill="1" applyBorder="1" applyAlignment="1">
      <alignment vertical="center" shrinkToFit="1"/>
    </xf>
    <xf numFmtId="165" fontId="33" fillId="3" borderId="18" xfId="4" applyNumberFormat="1" applyFont="1" applyFill="1" applyBorder="1" applyAlignment="1">
      <alignment vertical="center" shrinkToFit="1"/>
    </xf>
    <xf numFmtId="165" fontId="33" fillId="3" borderId="19" xfId="4" applyNumberFormat="1" applyFont="1" applyFill="1" applyBorder="1" applyAlignment="1">
      <alignment vertical="center" shrinkToFit="1"/>
    </xf>
    <xf numFmtId="165" fontId="33" fillId="0" borderId="20" xfId="4" applyNumberFormat="1" applyFont="1" applyFill="1" applyBorder="1" applyAlignment="1">
      <alignment vertical="center" shrinkToFit="1"/>
    </xf>
    <xf numFmtId="165" fontId="33" fillId="0" borderId="18" xfId="4" applyNumberFormat="1" applyFont="1" applyFill="1" applyBorder="1" applyAlignment="1">
      <alignment vertical="center" shrinkToFit="1"/>
    </xf>
    <xf numFmtId="0" fontId="32" fillId="0" borderId="16" xfId="3" applyFont="1" applyBorder="1" applyAlignment="1">
      <alignment horizontal="left" vertical="center" wrapText="1" indent="2"/>
    </xf>
    <xf numFmtId="0" fontId="32" fillId="0" borderId="16" xfId="3" applyFont="1" applyBorder="1" applyAlignment="1">
      <alignment horizontal="left" vertical="center" wrapText="1" indent="3"/>
    </xf>
    <xf numFmtId="0" fontId="32" fillId="0" borderId="16" xfId="3" applyFont="1" applyBorder="1" applyAlignment="1">
      <alignment horizontal="left" vertical="center" wrapText="1" indent="4"/>
    </xf>
    <xf numFmtId="165" fontId="31" fillId="3" borderId="15" xfId="4" applyNumberFormat="1" applyFont="1" applyFill="1" applyBorder="1" applyAlignment="1">
      <alignment horizontal="center" vertical="center" shrinkToFit="1"/>
    </xf>
    <xf numFmtId="165" fontId="31" fillId="3" borderId="18" xfId="4" applyNumberFormat="1" applyFont="1" applyFill="1" applyBorder="1" applyAlignment="1">
      <alignment horizontal="center" vertical="center" shrinkToFit="1"/>
    </xf>
    <xf numFmtId="165" fontId="31" fillId="3" borderId="19" xfId="4" applyNumberFormat="1" applyFont="1" applyFill="1" applyBorder="1" applyAlignment="1">
      <alignment horizontal="center" vertical="center" shrinkToFit="1"/>
    </xf>
    <xf numFmtId="165" fontId="31" fillId="0" borderId="20" xfId="4" applyNumberFormat="1" applyFont="1" applyFill="1" applyBorder="1" applyAlignment="1">
      <alignment horizontal="center" vertical="center" shrinkToFit="1"/>
    </xf>
    <xf numFmtId="165" fontId="31" fillId="0" borderId="18" xfId="4" applyNumberFormat="1" applyFont="1" applyFill="1" applyBorder="1" applyAlignment="1">
      <alignment horizontal="center" vertical="center" shrinkToFit="1"/>
    </xf>
    <xf numFmtId="166" fontId="33" fillId="3" borderId="15" xfId="4" applyNumberFormat="1" applyFont="1" applyFill="1" applyBorder="1" applyAlignment="1">
      <alignment vertical="center" shrinkToFit="1"/>
    </xf>
    <xf numFmtId="166" fontId="33" fillId="3" borderId="18" xfId="4" applyNumberFormat="1" applyFont="1" applyFill="1" applyBorder="1" applyAlignment="1">
      <alignment vertical="center" shrinkToFit="1"/>
    </xf>
    <xf numFmtId="166" fontId="33" fillId="3" borderId="19" xfId="4" applyNumberFormat="1" applyFont="1" applyFill="1" applyBorder="1" applyAlignment="1">
      <alignment vertical="center" shrinkToFit="1"/>
    </xf>
    <xf numFmtId="166" fontId="33" fillId="0" borderId="20" xfId="4" applyNumberFormat="1" applyFont="1" applyFill="1" applyBorder="1" applyAlignment="1">
      <alignment vertical="center" shrinkToFit="1"/>
    </xf>
    <xf numFmtId="166" fontId="33" fillId="0" borderId="18" xfId="4" applyNumberFormat="1" applyFont="1" applyFill="1" applyBorder="1" applyAlignment="1">
      <alignment vertical="center" shrinkToFit="1"/>
    </xf>
    <xf numFmtId="0" fontId="32" fillId="0" borderId="15" xfId="3" applyFont="1" applyBorder="1" applyAlignment="1" applyProtection="1">
      <alignment horizontal="left" vertical="center"/>
      <protection locked="0"/>
    </xf>
    <xf numFmtId="0" fontId="32" fillId="0" borderId="17" xfId="3" applyFont="1" applyBorder="1" applyAlignment="1" applyProtection="1">
      <alignment horizontal="left" vertical="center" wrapText="1" indent="1"/>
      <protection locked="0"/>
    </xf>
    <xf numFmtId="0" fontId="33" fillId="0" borderId="20" xfId="4" applyNumberFormat="1" applyFont="1" applyFill="1" applyBorder="1" applyAlignment="1">
      <alignment horizontal="center" vertical="center" shrinkToFit="1"/>
    </xf>
    <xf numFmtId="0" fontId="33" fillId="0" borderId="18" xfId="4" applyNumberFormat="1" applyFont="1" applyFill="1" applyBorder="1" applyAlignment="1">
      <alignment horizontal="center" vertical="center" shrinkToFit="1"/>
    </xf>
    <xf numFmtId="0" fontId="32" fillId="0" borderId="16" xfId="3" quotePrefix="1" applyFont="1" applyBorder="1" applyAlignment="1">
      <alignment horizontal="left" vertical="center" wrapText="1" indent="2"/>
    </xf>
    <xf numFmtId="0" fontId="32" fillId="0" borderId="16" xfId="3" quotePrefix="1" applyFont="1" applyBorder="1" applyAlignment="1">
      <alignment horizontal="left" vertical="center" wrapText="1" indent="3"/>
    </xf>
    <xf numFmtId="0" fontId="30" fillId="0" borderId="17" xfId="3" applyFont="1" applyBorder="1" applyAlignment="1">
      <alignment horizontal="left" vertical="center" wrapText="1"/>
    </xf>
    <xf numFmtId="0" fontId="32" fillId="0" borderId="21" xfId="3" applyFont="1" applyBorder="1" applyAlignment="1">
      <alignment horizontal="left" vertical="center"/>
    </xf>
    <xf numFmtId="0" fontId="32" fillId="0" borderId="22" xfId="3" applyFont="1" applyBorder="1" applyAlignment="1">
      <alignment horizontal="left" vertical="center" wrapText="1" indent="1"/>
    </xf>
    <xf numFmtId="165" fontId="33" fillId="3" borderId="21" xfId="4" applyNumberFormat="1" applyFont="1" applyFill="1" applyBorder="1" applyAlignment="1">
      <alignment vertical="center" shrinkToFit="1"/>
    </xf>
    <xf numFmtId="165" fontId="33" fillId="3" borderId="23" xfId="4" applyNumberFormat="1" applyFont="1" applyFill="1" applyBorder="1" applyAlignment="1">
      <alignment vertical="center" shrinkToFit="1"/>
    </xf>
    <xf numFmtId="165" fontId="33" fillId="3" borderId="24" xfId="4" applyNumberFormat="1" applyFont="1" applyFill="1" applyBorder="1" applyAlignment="1">
      <alignment vertical="center" shrinkToFit="1"/>
    </xf>
    <xf numFmtId="165" fontId="33" fillId="0" borderId="25" xfId="4" applyNumberFormat="1" applyFont="1" applyFill="1" applyBorder="1" applyAlignment="1">
      <alignment vertical="center" shrinkToFit="1"/>
    </xf>
    <xf numFmtId="165" fontId="33" fillId="0" borderId="23" xfId="4" applyNumberFormat="1" applyFont="1" applyFill="1" applyBorder="1" applyAlignment="1">
      <alignment vertical="center" shrinkToFit="1"/>
    </xf>
    <xf numFmtId="0" fontId="27" fillId="0" borderId="0" xfId="3" applyFont="1" applyBorder="1" applyProtection="1">
      <protection locked="0"/>
    </xf>
    <xf numFmtId="49" fontId="28" fillId="4" borderId="11" xfId="4" applyNumberFormat="1" applyFont="1" applyFill="1" applyBorder="1" applyAlignment="1">
      <alignment horizontal="center" vertical="center"/>
    </xf>
    <xf numFmtId="0" fontId="30" fillId="0" borderId="17" xfId="3" applyFont="1" applyBorder="1" applyAlignment="1">
      <alignment vertical="center" wrapText="1"/>
    </xf>
    <xf numFmtId="4" fontId="21" fillId="0" borderId="3" xfId="1" applyNumberFormat="1" applyFont="1" applyFill="1" applyBorder="1" applyAlignment="1"/>
    <xf numFmtId="164" fontId="21" fillId="0" borderId="3" xfId="1" applyNumberFormat="1" applyFont="1" applyFill="1" applyBorder="1" applyAlignment="1"/>
    <xf numFmtId="4" fontId="21" fillId="0" borderId="1" xfId="1" applyNumberFormat="1" applyFont="1" applyFill="1" applyBorder="1" applyAlignment="1">
      <alignment horizontal="right"/>
    </xf>
    <xf numFmtId="0" fontId="21" fillId="0" borderId="6" xfId="2" applyFont="1" applyFill="1" applyBorder="1" applyAlignment="1">
      <alignment vertical="center" wrapText="1"/>
    </xf>
    <xf numFmtId="0" fontId="21" fillId="0" borderId="1" xfId="1" applyFont="1" applyFill="1" applyBorder="1" applyAlignment="1">
      <alignment vertical="center" wrapText="1"/>
    </xf>
    <xf numFmtId="4" fontId="21" fillId="0" borderId="1" xfId="1" applyNumberFormat="1" applyFont="1" applyFill="1" applyBorder="1"/>
    <xf numFmtId="0" fontId="35" fillId="0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/>
    </xf>
    <xf numFmtId="4" fontId="35" fillId="0" borderId="1" xfId="1" applyNumberFormat="1" applyFont="1" applyFill="1" applyBorder="1" applyAlignment="1"/>
    <xf numFmtId="4" fontId="21" fillId="0" borderId="1" xfId="1" applyNumberFormat="1" applyFont="1" applyBorder="1" applyAlignment="1">
      <alignment horizontal="right" vertical="center"/>
    </xf>
    <xf numFmtId="2" fontId="21" fillId="0" borderId="1" xfId="1" applyNumberFormat="1" applyFont="1" applyBorder="1" applyAlignment="1">
      <alignment horizontal="right" vertical="center"/>
    </xf>
    <xf numFmtId="0" fontId="21" fillId="0" borderId="27" xfId="1" applyFont="1" applyFill="1" applyBorder="1" applyAlignment="1">
      <alignment horizontal="left" vertical="center" wrapText="1"/>
    </xf>
    <xf numFmtId="0" fontId="21" fillId="0" borderId="26" xfId="1" applyFont="1" applyFill="1" applyBorder="1" applyAlignment="1">
      <alignment horizontal="center" vertical="center"/>
    </xf>
    <xf numFmtId="0" fontId="21" fillId="0" borderId="7" xfId="11" applyFont="1" applyFill="1" applyBorder="1" applyAlignment="1" applyProtection="1">
      <alignment vertical="center" wrapText="1"/>
    </xf>
    <xf numFmtId="0" fontId="21" fillId="0" borderId="6" xfId="1" applyFont="1" applyFill="1" applyBorder="1" applyAlignment="1">
      <alignment horizontal="left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/>
    <xf numFmtId="4" fontId="21" fillId="0" borderId="6" xfId="1" applyNumberFormat="1" applyFont="1" applyBorder="1" applyAlignment="1"/>
    <xf numFmtId="0" fontId="21" fillId="0" borderId="7" xfId="2" applyFont="1" applyFill="1" applyBorder="1" applyAlignment="1" applyProtection="1">
      <alignment horizontal="left" vertical="center" wrapText="1"/>
    </xf>
    <xf numFmtId="0" fontId="21" fillId="0" borderId="7" xfId="2" applyFont="1" applyFill="1" applyBorder="1" applyAlignment="1">
      <alignment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vertical="center"/>
    </xf>
    <xf numFmtId="0" fontId="21" fillId="0" borderId="28" xfId="11" applyFont="1" applyFill="1" applyBorder="1" applyAlignment="1" applyProtection="1">
      <alignment horizontal="left" vertical="center" wrapText="1"/>
    </xf>
    <xf numFmtId="4" fontId="21" fillId="0" borderId="3" xfId="1" applyNumberFormat="1" applyFont="1" applyBorder="1" applyAlignment="1">
      <alignment horizontal="right"/>
    </xf>
    <xf numFmtId="0" fontId="21" fillId="0" borderId="3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4" fontId="35" fillId="0" borderId="1" xfId="1" applyNumberFormat="1" applyFont="1" applyBorder="1" applyAlignment="1"/>
    <xf numFmtId="0" fontId="35" fillId="0" borderId="0" xfId="1" applyFont="1"/>
    <xf numFmtId="0" fontId="21" fillId="0" borderId="3" xfId="1" applyFont="1" applyBorder="1" applyAlignment="1">
      <alignment horizontal="left" vertical="center" wrapText="1"/>
    </xf>
    <xf numFmtId="4" fontId="21" fillId="0" borderId="3" xfId="1" applyNumberFormat="1" applyFont="1" applyBorder="1"/>
    <xf numFmtId="0" fontId="35" fillId="0" borderId="1" xfId="11" applyFont="1" applyFill="1" applyBorder="1" applyAlignment="1" applyProtection="1">
      <alignment vertical="center" wrapText="1"/>
    </xf>
    <xf numFmtId="0" fontId="35" fillId="0" borderId="1" xfId="2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4" fontId="35" fillId="0" borderId="1" xfId="1" applyNumberFormat="1" applyFont="1" applyBorder="1"/>
    <xf numFmtId="0" fontId="21" fillId="0" borderId="1" xfId="2" applyFont="1" applyFill="1" applyBorder="1" applyAlignment="1">
      <alignment horizontal="left" vertical="center" wrapText="1"/>
    </xf>
    <xf numFmtId="164" fontId="21" fillId="0" borderId="1" xfId="1" applyNumberFormat="1" applyFont="1" applyFill="1" applyBorder="1" applyAlignment="1">
      <alignment horizontal="right"/>
    </xf>
    <xf numFmtId="164" fontId="21" fillId="0" borderId="1" xfId="1" applyNumberFormat="1" applyFont="1" applyFill="1" applyBorder="1" applyAlignment="1"/>
    <xf numFmtId="164" fontId="21" fillId="0" borderId="1" xfId="1" applyNumberFormat="1" applyFont="1" applyBorder="1" applyAlignment="1"/>
    <xf numFmtId="0" fontId="35" fillId="0" borderId="1" xfId="1" applyFont="1" applyFill="1" applyBorder="1" applyAlignment="1">
      <alignment horizontal="left" vertical="center" wrapText="1"/>
    </xf>
    <xf numFmtId="0" fontId="35" fillId="0" borderId="0" xfId="1" applyFont="1" applyFill="1" applyAlignment="1">
      <alignment vertical="center"/>
    </xf>
    <xf numFmtId="0" fontId="28" fillId="0" borderId="9" xfId="3" applyFont="1" applyBorder="1" applyAlignment="1" applyProtection="1">
      <alignment horizontal="center" vertical="center" wrapText="1"/>
      <protection locked="0"/>
    </xf>
    <xf numFmtId="0" fontId="27" fillId="0" borderId="0" xfId="3" applyFont="1" applyProtection="1">
      <protection locked="0"/>
    </xf>
    <xf numFmtId="0" fontId="28" fillId="0" borderId="9" xfId="3" applyFont="1" applyBorder="1" applyAlignment="1" applyProtection="1">
      <alignment horizontal="center" vertical="center" wrapText="1"/>
      <protection locked="0"/>
    </xf>
    <xf numFmtId="0" fontId="34" fillId="0" borderId="0" xfId="3" applyFont="1" applyBorder="1" applyAlignment="1">
      <alignment horizontal="center"/>
    </xf>
    <xf numFmtId="0" fontId="22" fillId="3" borderId="1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/>
    </xf>
  </cellXfs>
  <cellStyles count="26">
    <cellStyle name="Normalny" xfId="0" builtinId="0"/>
    <cellStyle name="Normalny 2" xfId="1"/>
    <cellStyle name="Normalny 2 2" xfId="23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2" xfId="8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_sierpie&#324;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S104"/>
  <sheetViews>
    <sheetView zoomScaleNormal="100" zoomScaleSheetLayoutView="100" workbookViewId="0">
      <pane xSplit="2" ySplit="3" topLeftCell="C28" activePane="bottomRight" state="frozen"/>
      <selection activeCell="H158" sqref="H158"/>
      <selection pane="topRight" activeCell="H158" sqref="H158"/>
      <selection pane="bottomLeft" activeCell="H158" sqref="H158"/>
      <selection pane="bottomRight" activeCell="B2" sqref="B1:B1048576"/>
    </sheetView>
  </sheetViews>
  <sheetFormatPr defaultRowHeight="14.25"/>
  <cols>
    <col min="1" max="1" width="7.5703125" style="44" customWidth="1"/>
    <col min="2" max="2" width="36.7109375" style="44" customWidth="1"/>
    <col min="3" max="19" width="11.7109375" style="44" customWidth="1"/>
    <col min="20" max="235" width="9.140625" style="43"/>
    <col min="236" max="236" width="0" style="43" hidden="1" customWidth="1"/>
    <col min="237" max="237" width="7.5703125" style="43" customWidth="1"/>
    <col min="238" max="238" width="0" style="43" hidden="1" customWidth="1"/>
    <col min="239" max="239" width="80.7109375" style="43" customWidth="1"/>
    <col min="240" max="273" width="16" style="43" customWidth="1"/>
    <col min="274" max="491" width="9.140625" style="43"/>
    <col min="492" max="492" width="0" style="43" hidden="1" customWidth="1"/>
    <col min="493" max="493" width="7.5703125" style="43" customWidth="1"/>
    <col min="494" max="494" width="0" style="43" hidden="1" customWidth="1"/>
    <col min="495" max="495" width="80.7109375" style="43" customWidth="1"/>
    <col min="496" max="529" width="16" style="43" customWidth="1"/>
    <col min="530" max="747" width="9.140625" style="43"/>
    <col min="748" max="748" width="0" style="43" hidden="1" customWidth="1"/>
    <col min="749" max="749" width="7.5703125" style="43" customWidth="1"/>
    <col min="750" max="750" width="0" style="43" hidden="1" customWidth="1"/>
    <col min="751" max="751" width="80.7109375" style="43" customWidth="1"/>
    <col min="752" max="785" width="16" style="43" customWidth="1"/>
    <col min="786" max="1003" width="9.140625" style="43"/>
    <col min="1004" max="1004" width="0" style="43" hidden="1" customWidth="1"/>
    <col min="1005" max="1005" width="7.5703125" style="43" customWidth="1"/>
    <col min="1006" max="1006" width="0" style="43" hidden="1" customWidth="1"/>
    <col min="1007" max="1007" width="80.7109375" style="43" customWidth="1"/>
    <col min="1008" max="1041" width="16" style="43" customWidth="1"/>
    <col min="1042" max="1259" width="9.140625" style="43"/>
    <col min="1260" max="1260" width="0" style="43" hidden="1" customWidth="1"/>
    <col min="1261" max="1261" width="7.5703125" style="43" customWidth="1"/>
    <col min="1262" max="1262" width="0" style="43" hidden="1" customWidth="1"/>
    <col min="1263" max="1263" width="80.7109375" style="43" customWidth="1"/>
    <col min="1264" max="1297" width="16" style="43" customWidth="1"/>
    <col min="1298" max="1515" width="9.140625" style="43"/>
    <col min="1516" max="1516" width="0" style="43" hidden="1" customWidth="1"/>
    <col min="1517" max="1517" width="7.5703125" style="43" customWidth="1"/>
    <col min="1518" max="1518" width="0" style="43" hidden="1" customWidth="1"/>
    <col min="1519" max="1519" width="80.7109375" style="43" customWidth="1"/>
    <col min="1520" max="1553" width="16" style="43" customWidth="1"/>
    <col min="1554" max="1771" width="9.140625" style="43"/>
    <col min="1772" max="1772" width="0" style="43" hidden="1" customWidth="1"/>
    <col min="1773" max="1773" width="7.5703125" style="43" customWidth="1"/>
    <col min="1774" max="1774" width="0" style="43" hidden="1" customWidth="1"/>
    <col min="1775" max="1775" width="80.7109375" style="43" customWidth="1"/>
    <col min="1776" max="1809" width="16" style="43" customWidth="1"/>
    <col min="1810" max="2027" width="9.140625" style="43"/>
    <col min="2028" max="2028" width="0" style="43" hidden="1" customWidth="1"/>
    <col min="2029" max="2029" width="7.5703125" style="43" customWidth="1"/>
    <col min="2030" max="2030" width="0" style="43" hidden="1" customWidth="1"/>
    <col min="2031" max="2031" width="80.7109375" style="43" customWidth="1"/>
    <col min="2032" max="2065" width="16" style="43" customWidth="1"/>
    <col min="2066" max="2283" width="9.140625" style="43"/>
    <col min="2284" max="2284" width="0" style="43" hidden="1" customWidth="1"/>
    <col min="2285" max="2285" width="7.5703125" style="43" customWidth="1"/>
    <col min="2286" max="2286" width="0" style="43" hidden="1" customWidth="1"/>
    <col min="2287" max="2287" width="80.7109375" style="43" customWidth="1"/>
    <col min="2288" max="2321" width="16" style="43" customWidth="1"/>
    <col min="2322" max="2539" width="9.140625" style="43"/>
    <col min="2540" max="2540" width="0" style="43" hidden="1" customWidth="1"/>
    <col min="2541" max="2541" width="7.5703125" style="43" customWidth="1"/>
    <col min="2542" max="2542" width="0" style="43" hidden="1" customWidth="1"/>
    <col min="2543" max="2543" width="80.7109375" style="43" customWidth="1"/>
    <col min="2544" max="2577" width="16" style="43" customWidth="1"/>
    <col min="2578" max="2795" width="9.140625" style="43"/>
    <col min="2796" max="2796" width="0" style="43" hidden="1" customWidth="1"/>
    <col min="2797" max="2797" width="7.5703125" style="43" customWidth="1"/>
    <col min="2798" max="2798" width="0" style="43" hidden="1" customWidth="1"/>
    <col min="2799" max="2799" width="80.7109375" style="43" customWidth="1"/>
    <col min="2800" max="2833" width="16" style="43" customWidth="1"/>
    <col min="2834" max="3051" width="9.140625" style="43"/>
    <col min="3052" max="3052" width="0" style="43" hidden="1" customWidth="1"/>
    <col min="3053" max="3053" width="7.5703125" style="43" customWidth="1"/>
    <col min="3054" max="3054" width="0" style="43" hidden="1" customWidth="1"/>
    <col min="3055" max="3055" width="80.7109375" style="43" customWidth="1"/>
    <col min="3056" max="3089" width="16" style="43" customWidth="1"/>
    <col min="3090" max="3307" width="9.140625" style="43"/>
    <col min="3308" max="3308" width="0" style="43" hidden="1" customWidth="1"/>
    <col min="3309" max="3309" width="7.5703125" style="43" customWidth="1"/>
    <col min="3310" max="3310" width="0" style="43" hidden="1" customWidth="1"/>
    <col min="3311" max="3311" width="80.7109375" style="43" customWidth="1"/>
    <col min="3312" max="3345" width="16" style="43" customWidth="1"/>
    <col min="3346" max="3563" width="9.140625" style="43"/>
    <col min="3564" max="3564" width="0" style="43" hidden="1" customWidth="1"/>
    <col min="3565" max="3565" width="7.5703125" style="43" customWidth="1"/>
    <col min="3566" max="3566" width="0" style="43" hidden="1" customWidth="1"/>
    <col min="3567" max="3567" width="80.7109375" style="43" customWidth="1"/>
    <col min="3568" max="3601" width="16" style="43" customWidth="1"/>
    <col min="3602" max="3819" width="9.140625" style="43"/>
    <col min="3820" max="3820" width="0" style="43" hidden="1" customWidth="1"/>
    <col min="3821" max="3821" width="7.5703125" style="43" customWidth="1"/>
    <col min="3822" max="3822" width="0" style="43" hidden="1" customWidth="1"/>
    <col min="3823" max="3823" width="80.7109375" style="43" customWidth="1"/>
    <col min="3824" max="3857" width="16" style="43" customWidth="1"/>
    <col min="3858" max="4075" width="9.140625" style="43"/>
    <col min="4076" max="4076" width="0" style="43" hidden="1" customWidth="1"/>
    <col min="4077" max="4077" width="7.5703125" style="43" customWidth="1"/>
    <col min="4078" max="4078" width="0" style="43" hidden="1" customWidth="1"/>
    <col min="4079" max="4079" width="80.7109375" style="43" customWidth="1"/>
    <col min="4080" max="4113" width="16" style="43" customWidth="1"/>
    <col min="4114" max="4331" width="9.140625" style="43"/>
    <col min="4332" max="4332" width="0" style="43" hidden="1" customWidth="1"/>
    <col min="4333" max="4333" width="7.5703125" style="43" customWidth="1"/>
    <col min="4334" max="4334" width="0" style="43" hidden="1" customWidth="1"/>
    <col min="4335" max="4335" width="80.7109375" style="43" customWidth="1"/>
    <col min="4336" max="4369" width="16" style="43" customWidth="1"/>
    <col min="4370" max="4587" width="9.140625" style="43"/>
    <col min="4588" max="4588" width="0" style="43" hidden="1" customWidth="1"/>
    <col min="4589" max="4589" width="7.5703125" style="43" customWidth="1"/>
    <col min="4590" max="4590" width="0" style="43" hidden="1" customWidth="1"/>
    <col min="4591" max="4591" width="80.7109375" style="43" customWidth="1"/>
    <col min="4592" max="4625" width="16" style="43" customWidth="1"/>
    <col min="4626" max="4843" width="9.140625" style="43"/>
    <col min="4844" max="4844" width="0" style="43" hidden="1" customWidth="1"/>
    <col min="4845" max="4845" width="7.5703125" style="43" customWidth="1"/>
    <col min="4846" max="4846" width="0" style="43" hidden="1" customWidth="1"/>
    <col min="4847" max="4847" width="80.7109375" style="43" customWidth="1"/>
    <col min="4848" max="4881" width="16" style="43" customWidth="1"/>
    <col min="4882" max="5099" width="9.140625" style="43"/>
    <col min="5100" max="5100" width="0" style="43" hidden="1" customWidth="1"/>
    <col min="5101" max="5101" width="7.5703125" style="43" customWidth="1"/>
    <col min="5102" max="5102" width="0" style="43" hidden="1" customWidth="1"/>
    <col min="5103" max="5103" width="80.7109375" style="43" customWidth="1"/>
    <col min="5104" max="5137" width="16" style="43" customWidth="1"/>
    <col min="5138" max="5355" width="9.140625" style="43"/>
    <col min="5356" max="5356" width="0" style="43" hidden="1" customWidth="1"/>
    <col min="5357" max="5357" width="7.5703125" style="43" customWidth="1"/>
    <col min="5358" max="5358" width="0" style="43" hidden="1" customWidth="1"/>
    <col min="5359" max="5359" width="80.7109375" style="43" customWidth="1"/>
    <col min="5360" max="5393" width="16" style="43" customWidth="1"/>
    <col min="5394" max="5611" width="9.140625" style="43"/>
    <col min="5612" max="5612" width="0" style="43" hidden="1" customWidth="1"/>
    <col min="5613" max="5613" width="7.5703125" style="43" customWidth="1"/>
    <col min="5614" max="5614" width="0" style="43" hidden="1" customWidth="1"/>
    <col min="5615" max="5615" width="80.7109375" style="43" customWidth="1"/>
    <col min="5616" max="5649" width="16" style="43" customWidth="1"/>
    <col min="5650" max="5867" width="9.140625" style="43"/>
    <col min="5868" max="5868" width="0" style="43" hidden="1" customWidth="1"/>
    <col min="5869" max="5869" width="7.5703125" style="43" customWidth="1"/>
    <col min="5870" max="5870" width="0" style="43" hidden="1" customWidth="1"/>
    <col min="5871" max="5871" width="80.7109375" style="43" customWidth="1"/>
    <col min="5872" max="5905" width="16" style="43" customWidth="1"/>
    <col min="5906" max="6123" width="9.140625" style="43"/>
    <col min="6124" max="6124" width="0" style="43" hidden="1" customWidth="1"/>
    <col min="6125" max="6125" width="7.5703125" style="43" customWidth="1"/>
    <col min="6126" max="6126" width="0" style="43" hidden="1" customWidth="1"/>
    <col min="6127" max="6127" width="80.7109375" style="43" customWidth="1"/>
    <col min="6128" max="6161" width="16" style="43" customWidth="1"/>
    <col min="6162" max="6379" width="9.140625" style="43"/>
    <col min="6380" max="6380" width="0" style="43" hidden="1" customWidth="1"/>
    <col min="6381" max="6381" width="7.5703125" style="43" customWidth="1"/>
    <col min="6382" max="6382" width="0" style="43" hidden="1" customWidth="1"/>
    <col min="6383" max="6383" width="80.7109375" style="43" customWidth="1"/>
    <col min="6384" max="6417" width="16" style="43" customWidth="1"/>
    <col min="6418" max="6635" width="9.140625" style="43"/>
    <col min="6636" max="6636" width="0" style="43" hidden="1" customWidth="1"/>
    <col min="6637" max="6637" width="7.5703125" style="43" customWidth="1"/>
    <col min="6638" max="6638" width="0" style="43" hidden="1" customWidth="1"/>
    <col min="6639" max="6639" width="80.7109375" style="43" customWidth="1"/>
    <col min="6640" max="6673" width="16" style="43" customWidth="1"/>
    <col min="6674" max="6891" width="9.140625" style="43"/>
    <col min="6892" max="6892" width="0" style="43" hidden="1" customWidth="1"/>
    <col min="6893" max="6893" width="7.5703125" style="43" customWidth="1"/>
    <col min="6894" max="6894" width="0" style="43" hidden="1" customWidth="1"/>
    <col min="6895" max="6895" width="80.7109375" style="43" customWidth="1"/>
    <col min="6896" max="6929" width="16" style="43" customWidth="1"/>
    <col min="6930" max="7147" width="9.140625" style="43"/>
    <col min="7148" max="7148" width="0" style="43" hidden="1" customWidth="1"/>
    <col min="7149" max="7149" width="7.5703125" style="43" customWidth="1"/>
    <col min="7150" max="7150" width="0" style="43" hidden="1" customWidth="1"/>
    <col min="7151" max="7151" width="80.7109375" style="43" customWidth="1"/>
    <col min="7152" max="7185" width="16" style="43" customWidth="1"/>
    <col min="7186" max="7403" width="9.140625" style="43"/>
    <col min="7404" max="7404" width="0" style="43" hidden="1" customWidth="1"/>
    <col min="7405" max="7405" width="7.5703125" style="43" customWidth="1"/>
    <col min="7406" max="7406" width="0" style="43" hidden="1" customWidth="1"/>
    <col min="7407" max="7407" width="80.7109375" style="43" customWidth="1"/>
    <col min="7408" max="7441" width="16" style="43" customWidth="1"/>
    <col min="7442" max="7659" width="9.140625" style="43"/>
    <col min="7660" max="7660" width="0" style="43" hidden="1" customWidth="1"/>
    <col min="7661" max="7661" width="7.5703125" style="43" customWidth="1"/>
    <col min="7662" max="7662" width="0" style="43" hidden="1" customWidth="1"/>
    <col min="7663" max="7663" width="80.7109375" style="43" customWidth="1"/>
    <col min="7664" max="7697" width="16" style="43" customWidth="1"/>
    <col min="7698" max="7915" width="9.140625" style="43"/>
    <col min="7916" max="7916" width="0" style="43" hidden="1" customWidth="1"/>
    <col min="7917" max="7917" width="7.5703125" style="43" customWidth="1"/>
    <col min="7918" max="7918" width="0" style="43" hidden="1" customWidth="1"/>
    <col min="7919" max="7919" width="80.7109375" style="43" customWidth="1"/>
    <col min="7920" max="7953" width="16" style="43" customWidth="1"/>
    <col min="7954" max="8171" width="9.140625" style="43"/>
    <col min="8172" max="8172" width="0" style="43" hidden="1" customWidth="1"/>
    <col min="8173" max="8173" width="7.5703125" style="43" customWidth="1"/>
    <col min="8174" max="8174" width="0" style="43" hidden="1" customWidth="1"/>
    <col min="8175" max="8175" width="80.7109375" style="43" customWidth="1"/>
    <col min="8176" max="8209" width="16" style="43" customWidth="1"/>
    <col min="8210" max="8427" width="9.140625" style="43"/>
    <col min="8428" max="8428" width="0" style="43" hidden="1" customWidth="1"/>
    <col min="8429" max="8429" width="7.5703125" style="43" customWidth="1"/>
    <col min="8430" max="8430" width="0" style="43" hidden="1" customWidth="1"/>
    <col min="8431" max="8431" width="80.7109375" style="43" customWidth="1"/>
    <col min="8432" max="8465" width="16" style="43" customWidth="1"/>
    <col min="8466" max="8683" width="9.140625" style="43"/>
    <col min="8684" max="8684" width="0" style="43" hidden="1" customWidth="1"/>
    <col min="8685" max="8685" width="7.5703125" style="43" customWidth="1"/>
    <col min="8686" max="8686" width="0" style="43" hidden="1" customWidth="1"/>
    <col min="8687" max="8687" width="80.7109375" style="43" customWidth="1"/>
    <col min="8688" max="8721" width="16" style="43" customWidth="1"/>
    <col min="8722" max="8939" width="9.140625" style="43"/>
    <col min="8940" max="8940" width="0" style="43" hidden="1" customWidth="1"/>
    <col min="8941" max="8941" width="7.5703125" style="43" customWidth="1"/>
    <col min="8942" max="8942" width="0" style="43" hidden="1" customWidth="1"/>
    <col min="8943" max="8943" width="80.7109375" style="43" customWidth="1"/>
    <col min="8944" max="8977" width="16" style="43" customWidth="1"/>
    <col min="8978" max="9195" width="9.140625" style="43"/>
    <col min="9196" max="9196" width="0" style="43" hidden="1" customWidth="1"/>
    <col min="9197" max="9197" width="7.5703125" style="43" customWidth="1"/>
    <col min="9198" max="9198" width="0" style="43" hidden="1" customWidth="1"/>
    <col min="9199" max="9199" width="80.7109375" style="43" customWidth="1"/>
    <col min="9200" max="9233" width="16" style="43" customWidth="1"/>
    <col min="9234" max="9451" width="9.140625" style="43"/>
    <col min="9452" max="9452" width="0" style="43" hidden="1" customWidth="1"/>
    <col min="9453" max="9453" width="7.5703125" style="43" customWidth="1"/>
    <col min="9454" max="9454" width="0" style="43" hidden="1" customWidth="1"/>
    <col min="9455" max="9455" width="80.7109375" style="43" customWidth="1"/>
    <col min="9456" max="9489" width="16" style="43" customWidth="1"/>
    <col min="9490" max="9707" width="9.140625" style="43"/>
    <col min="9708" max="9708" width="0" style="43" hidden="1" customWidth="1"/>
    <col min="9709" max="9709" width="7.5703125" style="43" customWidth="1"/>
    <col min="9710" max="9710" width="0" style="43" hidden="1" customWidth="1"/>
    <col min="9711" max="9711" width="80.7109375" style="43" customWidth="1"/>
    <col min="9712" max="9745" width="16" style="43" customWidth="1"/>
    <col min="9746" max="9963" width="9.140625" style="43"/>
    <col min="9964" max="9964" width="0" style="43" hidden="1" customWidth="1"/>
    <col min="9965" max="9965" width="7.5703125" style="43" customWidth="1"/>
    <col min="9966" max="9966" width="0" style="43" hidden="1" customWidth="1"/>
    <col min="9967" max="9967" width="80.7109375" style="43" customWidth="1"/>
    <col min="9968" max="10001" width="16" style="43" customWidth="1"/>
    <col min="10002" max="10219" width="9.140625" style="43"/>
    <col min="10220" max="10220" width="0" style="43" hidden="1" customWidth="1"/>
    <col min="10221" max="10221" width="7.5703125" style="43" customWidth="1"/>
    <col min="10222" max="10222" width="0" style="43" hidden="1" customWidth="1"/>
    <col min="10223" max="10223" width="80.7109375" style="43" customWidth="1"/>
    <col min="10224" max="10257" width="16" style="43" customWidth="1"/>
    <col min="10258" max="10475" width="9.140625" style="43"/>
    <col min="10476" max="10476" width="0" style="43" hidden="1" customWidth="1"/>
    <col min="10477" max="10477" width="7.5703125" style="43" customWidth="1"/>
    <col min="10478" max="10478" width="0" style="43" hidden="1" customWidth="1"/>
    <col min="10479" max="10479" width="80.7109375" style="43" customWidth="1"/>
    <col min="10480" max="10513" width="16" style="43" customWidth="1"/>
    <col min="10514" max="10731" width="9.140625" style="43"/>
    <col min="10732" max="10732" width="0" style="43" hidden="1" customWidth="1"/>
    <col min="10733" max="10733" width="7.5703125" style="43" customWidth="1"/>
    <col min="10734" max="10734" width="0" style="43" hidden="1" customWidth="1"/>
    <col min="10735" max="10735" width="80.7109375" style="43" customWidth="1"/>
    <col min="10736" max="10769" width="16" style="43" customWidth="1"/>
    <col min="10770" max="10987" width="9.140625" style="43"/>
    <col min="10988" max="10988" width="0" style="43" hidden="1" customWidth="1"/>
    <col min="10989" max="10989" width="7.5703125" style="43" customWidth="1"/>
    <col min="10990" max="10990" width="0" style="43" hidden="1" customWidth="1"/>
    <col min="10991" max="10991" width="80.7109375" style="43" customWidth="1"/>
    <col min="10992" max="11025" width="16" style="43" customWidth="1"/>
    <col min="11026" max="11243" width="9.140625" style="43"/>
    <col min="11244" max="11244" width="0" style="43" hidden="1" customWidth="1"/>
    <col min="11245" max="11245" width="7.5703125" style="43" customWidth="1"/>
    <col min="11246" max="11246" width="0" style="43" hidden="1" customWidth="1"/>
    <col min="11247" max="11247" width="80.7109375" style="43" customWidth="1"/>
    <col min="11248" max="11281" width="16" style="43" customWidth="1"/>
    <col min="11282" max="11499" width="9.140625" style="43"/>
    <col min="11500" max="11500" width="0" style="43" hidden="1" customWidth="1"/>
    <col min="11501" max="11501" width="7.5703125" style="43" customWidth="1"/>
    <col min="11502" max="11502" width="0" style="43" hidden="1" customWidth="1"/>
    <col min="11503" max="11503" width="80.7109375" style="43" customWidth="1"/>
    <col min="11504" max="11537" width="16" style="43" customWidth="1"/>
    <col min="11538" max="11755" width="9.140625" style="43"/>
    <col min="11756" max="11756" width="0" style="43" hidden="1" customWidth="1"/>
    <col min="11757" max="11757" width="7.5703125" style="43" customWidth="1"/>
    <col min="11758" max="11758" width="0" style="43" hidden="1" customWidth="1"/>
    <col min="11759" max="11759" width="80.7109375" style="43" customWidth="1"/>
    <col min="11760" max="11793" width="16" style="43" customWidth="1"/>
    <col min="11794" max="12011" width="9.140625" style="43"/>
    <col min="12012" max="12012" width="0" style="43" hidden="1" customWidth="1"/>
    <col min="12013" max="12013" width="7.5703125" style="43" customWidth="1"/>
    <col min="12014" max="12014" width="0" style="43" hidden="1" customWidth="1"/>
    <col min="12015" max="12015" width="80.7109375" style="43" customWidth="1"/>
    <col min="12016" max="12049" width="16" style="43" customWidth="1"/>
    <col min="12050" max="12267" width="9.140625" style="43"/>
    <col min="12268" max="12268" width="0" style="43" hidden="1" customWidth="1"/>
    <col min="12269" max="12269" width="7.5703125" style="43" customWidth="1"/>
    <col min="12270" max="12270" width="0" style="43" hidden="1" customWidth="1"/>
    <col min="12271" max="12271" width="80.7109375" style="43" customWidth="1"/>
    <col min="12272" max="12305" width="16" style="43" customWidth="1"/>
    <col min="12306" max="12523" width="9.140625" style="43"/>
    <col min="12524" max="12524" width="0" style="43" hidden="1" customWidth="1"/>
    <col min="12525" max="12525" width="7.5703125" style="43" customWidth="1"/>
    <col min="12526" max="12526" width="0" style="43" hidden="1" customWidth="1"/>
    <col min="12527" max="12527" width="80.7109375" style="43" customWidth="1"/>
    <col min="12528" max="12561" width="16" style="43" customWidth="1"/>
    <col min="12562" max="12779" width="9.140625" style="43"/>
    <col min="12780" max="12780" width="0" style="43" hidden="1" customWidth="1"/>
    <col min="12781" max="12781" width="7.5703125" style="43" customWidth="1"/>
    <col min="12782" max="12782" width="0" style="43" hidden="1" customWidth="1"/>
    <col min="12783" max="12783" width="80.7109375" style="43" customWidth="1"/>
    <col min="12784" max="12817" width="16" style="43" customWidth="1"/>
    <col min="12818" max="13035" width="9.140625" style="43"/>
    <col min="13036" max="13036" width="0" style="43" hidden="1" customWidth="1"/>
    <col min="13037" max="13037" width="7.5703125" style="43" customWidth="1"/>
    <col min="13038" max="13038" width="0" style="43" hidden="1" customWidth="1"/>
    <col min="13039" max="13039" width="80.7109375" style="43" customWidth="1"/>
    <col min="13040" max="13073" width="16" style="43" customWidth="1"/>
    <col min="13074" max="13291" width="9.140625" style="43"/>
    <col min="13292" max="13292" width="0" style="43" hidden="1" customWidth="1"/>
    <col min="13293" max="13293" width="7.5703125" style="43" customWidth="1"/>
    <col min="13294" max="13294" width="0" style="43" hidden="1" customWidth="1"/>
    <col min="13295" max="13295" width="80.7109375" style="43" customWidth="1"/>
    <col min="13296" max="13329" width="16" style="43" customWidth="1"/>
    <col min="13330" max="13547" width="9.140625" style="43"/>
    <col min="13548" max="13548" width="0" style="43" hidden="1" customWidth="1"/>
    <col min="13549" max="13549" width="7.5703125" style="43" customWidth="1"/>
    <col min="13550" max="13550" width="0" style="43" hidden="1" customWidth="1"/>
    <col min="13551" max="13551" width="80.7109375" style="43" customWidth="1"/>
    <col min="13552" max="13585" width="16" style="43" customWidth="1"/>
    <col min="13586" max="13803" width="9.140625" style="43"/>
    <col min="13804" max="13804" width="0" style="43" hidden="1" customWidth="1"/>
    <col min="13805" max="13805" width="7.5703125" style="43" customWidth="1"/>
    <col min="13806" max="13806" width="0" style="43" hidden="1" customWidth="1"/>
    <col min="13807" max="13807" width="80.7109375" style="43" customWidth="1"/>
    <col min="13808" max="13841" width="16" style="43" customWidth="1"/>
    <col min="13842" max="14059" width="9.140625" style="43"/>
    <col min="14060" max="14060" width="0" style="43" hidden="1" customWidth="1"/>
    <col min="14061" max="14061" width="7.5703125" style="43" customWidth="1"/>
    <col min="14062" max="14062" width="0" style="43" hidden="1" customWidth="1"/>
    <col min="14063" max="14063" width="80.7109375" style="43" customWidth="1"/>
    <col min="14064" max="14097" width="16" style="43" customWidth="1"/>
    <col min="14098" max="14315" width="9.140625" style="43"/>
    <col min="14316" max="14316" width="0" style="43" hidden="1" customWidth="1"/>
    <col min="14317" max="14317" width="7.5703125" style="43" customWidth="1"/>
    <col min="14318" max="14318" width="0" style="43" hidden="1" customWidth="1"/>
    <col min="14319" max="14319" width="80.7109375" style="43" customWidth="1"/>
    <col min="14320" max="14353" width="16" style="43" customWidth="1"/>
    <col min="14354" max="14571" width="9.140625" style="43"/>
    <col min="14572" max="14572" width="0" style="43" hidden="1" customWidth="1"/>
    <col min="14573" max="14573" width="7.5703125" style="43" customWidth="1"/>
    <col min="14574" max="14574" width="0" style="43" hidden="1" customWidth="1"/>
    <col min="14575" max="14575" width="80.7109375" style="43" customWidth="1"/>
    <col min="14576" max="14609" width="16" style="43" customWidth="1"/>
    <col min="14610" max="14827" width="9.140625" style="43"/>
    <col min="14828" max="14828" width="0" style="43" hidden="1" customWidth="1"/>
    <col min="14829" max="14829" width="7.5703125" style="43" customWidth="1"/>
    <col min="14830" max="14830" width="0" style="43" hidden="1" customWidth="1"/>
    <col min="14831" max="14831" width="80.7109375" style="43" customWidth="1"/>
    <col min="14832" max="14865" width="16" style="43" customWidth="1"/>
    <col min="14866" max="15083" width="9.140625" style="43"/>
    <col min="15084" max="15084" width="0" style="43" hidden="1" customWidth="1"/>
    <col min="15085" max="15085" width="7.5703125" style="43" customWidth="1"/>
    <col min="15086" max="15086" width="0" style="43" hidden="1" customWidth="1"/>
    <col min="15087" max="15087" width="80.7109375" style="43" customWidth="1"/>
    <col min="15088" max="15121" width="16" style="43" customWidth="1"/>
    <col min="15122" max="15339" width="9.140625" style="43"/>
    <col min="15340" max="15340" width="0" style="43" hidden="1" customWidth="1"/>
    <col min="15341" max="15341" width="7.5703125" style="43" customWidth="1"/>
    <col min="15342" max="15342" width="0" style="43" hidden="1" customWidth="1"/>
    <col min="15343" max="15343" width="80.7109375" style="43" customWidth="1"/>
    <col min="15344" max="15377" width="16" style="43" customWidth="1"/>
    <col min="15378" max="15595" width="9.140625" style="43"/>
    <col min="15596" max="15596" width="0" style="43" hidden="1" customWidth="1"/>
    <col min="15597" max="15597" width="7.5703125" style="43" customWidth="1"/>
    <col min="15598" max="15598" width="0" style="43" hidden="1" customWidth="1"/>
    <col min="15599" max="15599" width="80.7109375" style="43" customWidth="1"/>
    <col min="15600" max="15633" width="16" style="43" customWidth="1"/>
    <col min="15634" max="15851" width="9.140625" style="43"/>
    <col min="15852" max="15852" width="0" style="43" hidden="1" customWidth="1"/>
    <col min="15853" max="15853" width="7.5703125" style="43" customWidth="1"/>
    <col min="15854" max="15854" width="0" style="43" hidden="1" customWidth="1"/>
    <col min="15855" max="15855" width="80.7109375" style="43" customWidth="1"/>
    <col min="15856" max="15889" width="16" style="43" customWidth="1"/>
    <col min="15890" max="16107" width="9.140625" style="43"/>
    <col min="16108" max="16108" width="0" style="43" hidden="1" customWidth="1"/>
    <col min="16109" max="16109" width="7.5703125" style="43" customWidth="1"/>
    <col min="16110" max="16110" width="0" style="43" hidden="1" customWidth="1"/>
    <col min="16111" max="16111" width="80.7109375" style="43" customWidth="1"/>
    <col min="16112" max="16145" width="16" style="43" customWidth="1"/>
    <col min="16146" max="16384" width="9.140625" style="43"/>
  </cols>
  <sheetData>
    <row r="1" spans="1:19" ht="20.25">
      <c r="A1" s="143" t="s">
        <v>322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5.75">
      <c r="A2" s="141"/>
      <c r="B2" s="93"/>
      <c r="C2" s="142" t="s">
        <v>115</v>
      </c>
      <c r="D2" s="142"/>
      <c r="E2" s="140" t="s">
        <v>116</v>
      </c>
      <c r="F2" s="140" t="s">
        <v>115</v>
      </c>
      <c r="G2" s="45" t="str">
        <f>""</f>
        <v/>
      </c>
      <c r="H2" s="46"/>
      <c r="I2" s="46"/>
      <c r="J2" s="46"/>
      <c r="K2" s="46"/>
      <c r="L2" s="141"/>
      <c r="M2" s="141"/>
      <c r="N2" s="141"/>
      <c r="O2" s="141"/>
      <c r="P2" s="141"/>
      <c r="Q2" s="141"/>
      <c r="R2" s="141"/>
      <c r="S2" s="141"/>
    </row>
    <row r="3" spans="1:19">
      <c r="A3" s="47" t="s">
        <v>1</v>
      </c>
      <c r="B3" s="94" t="s">
        <v>117</v>
      </c>
      <c r="C3" s="48">
        <f>+D3-1</f>
        <v>2016</v>
      </c>
      <c r="D3" s="49">
        <f>+E3-1</f>
        <v>2017</v>
      </c>
      <c r="E3" s="49">
        <f>+F3</f>
        <v>2018</v>
      </c>
      <c r="F3" s="50">
        <f>+G3-1</f>
        <v>2018</v>
      </c>
      <c r="G3" s="51">
        <f>+[1]DaneZrodlowe!$N$1</f>
        <v>2019</v>
      </c>
      <c r="H3" s="52">
        <f>+G3+1</f>
        <v>2020</v>
      </c>
      <c r="I3" s="52">
        <f t="shared" ref="I3:S3" si="0">+H3+1</f>
        <v>2021</v>
      </c>
      <c r="J3" s="52">
        <f t="shared" si="0"/>
        <v>2022</v>
      </c>
      <c r="K3" s="52">
        <f t="shared" si="0"/>
        <v>2023</v>
      </c>
      <c r="L3" s="52">
        <f t="shared" si="0"/>
        <v>2024</v>
      </c>
      <c r="M3" s="52">
        <f t="shared" si="0"/>
        <v>2025</v>
      </c>
      <c r="N3" s="52">
        <f t="shared" si="0"/>
        <v>2026</v>
      </c>
      <c r="O3" s="52">
        <f t="shared" si="0"/>
        <v>2027</v>
      </c>
      <c r="P3" s="52">
        <f t="shared" si="0"/>
        <v>2028</v>
      </c>
      <c r="Q3" s="52">
        <f t="shared" si="0"/>
        <v>2029</v>
      </c>
      <c r="R3" s="52">
        <f t="shared" si="0"/>
        <v>2030</v>
      </c>
      <c r="S3" s="52">
        <f t="shared" si="0"/>
        <v>2031</v>
      </c>
    </row>
    <row r="4" spans="1:19" ht="17.25" customHeight="1">
      <c r="A4" s="53">
        <v>1</v>
      </c>
      <c r="B4" s="95" t="s">
        <v>118</v>
      </c>
      <c r="C4" s="54">
        <f>119031147.34</f>
        <v>119031147.34</v>
      </c>
      <c r="D4" s="55">
        <f>135769078.54</f>
        <v>135769078.53999999</v>
      </c>
      <c r="E4" s="55">
        <f>146993607</f>
        <v>146993607</v>
      </c>
      <c r="F4" s="56">
        <f>145269730.18</f>
        <v>145269730.18000001</v>
      </c>
      <c r="G4" s="57">
        <f>145732927.55</f>
        <v>145732927.55000001</v>
      </c>
      <c r="H4" s="58">
        <f>147784305</f>
        <v>147784305</v>
      </c>
      <c r="I4" s="58">
        <f>149159497</f>
        <v>149159497</v>
      </c>
      <c r="J4" s="58">
        <f>153342099</f>
        <v>153342099</v>
      </c>
      <c r="K4" s="58">
        <f>157768322</f>
        <v>157768322</v>
      </c>
      <c r="L4" s="58">
        <f>162202772</f>
        <v>162202772</v>
      </c>
      <c r="M4" s="58">
        <f>167068655</f>
        <v>167068655</v>
      </c>
      <c r="N4" s="58">
        <f>172103496</f>
        <v>172103496</v>
      </c>
      <c r="O4" s="58">
        <f>176706994</f>
        <v>176706994</v>
      </c>
      <c r="P4" s="58">
        <f>181644990</f>
        <v>181644990</v>
      </c>
      <c r="Q4" s="58">
        <f>186539955</f>
        <v>186539955</v>
      </c>
      <c r="R4" s="58">
        <f>191567084</f>
        <v>191567084</v>
      </c>
      <c r="S4" s="58">
        <f>196538728</f>
        <v>196538728</v>
      </c>
    </row>
    <row r="5" spans="1:19" ht="18" customHeight="1">
      <c r="A5" s="59" t="s">
        <v>119</v>
      </c>
      <c r="B5" s="60" t="s">
        <v>120</v>
      </c>
      <c r="C5" s="61">
        <f>112338702.73</f>
        <v>112338702.73</v>
      </c>
      <c r="D5" s="62">
        <f>116715488.34</f>
        <v>116715488.34</v>
      </c>
      <c r="E5" s="62">
        <f>124093494</f>
        <v>124093494</v>
      </c>
      <c r="F5" s="63">
        <f>126568566.74</f>
        <v>126568566.73999999</v>
      </c>
      <c r="G5" s="64">
        <f>138162456.55</f>
        <v>138162456.55000001</v>
      </c>
      <c r="H5" s="65">
        <f>142504305</f>
        <v>142504305</v>
      </c>
      <c r="I5" s="65">
        <f>147829497</f>
        <v>147829497</v>
      </c>
      <c r="J5" s="65">
        <f>152542099</f>
        <v>152542099</v>
      </c>
      <c r="K5" s="65">
        <f>157148322</f>
        <v>157148322</v>
      </c>
      <c r="L5" s="65">
        <f>161862772</f>
        <v>161862772</v>
      </c>
      <c r="M5" s="65">
        <f>166718655</f>
        <v>166718655</v>
      </c>
      <c r="N5" s="65">
        <f>171553496</f>
        <v>171553496</v>
      </c>
      <c r="O5" s="65">
        <f>176356994</f>
        <v>176356994</v>
      </c>
      <c r="P5" s="65">
        <f>181294990</f>
        <v>181294990</v>
      </c>
      <c r="Q5" s="65">
        <f>186189955</f>
        <v>186189955</v>
      </c>
      <c r="R5" s="65">
        <f>191217084</f>
        <v>191217084</v>
      </c>
      <c r="S5" s="65">
        <f>196188728</f>
        <v>196188728</v>
      </c>
    </row>
    <row r="6" spans="1:19" ht="31.5" customHeight="1">
      <c r="A6" s="59" t="s">
        <v>121</v>
      </c>
      <c r="B6" s="66" t="s">
        <v>122</v>
      </c>
      <c r="C6" s="61">
        <f>39127727</f>
        <v>39127727</v>
      </c>
      <c r="D6" s="62">
        <f>44035115</f>
        <v>44035115</v>
      </c>
      <c r="E6" s="62">
        <f>47173387</f>
        <v>47173387</v>
      </c>
      <c r="F6" s="63">
        <f>50171188</f>
        <v>50171188</v>
      </c>
      <c r="G6" s="64">
        <f>53890702</f>
        <v>53890702</v>
      </c>
      <c r="H6" s="65">
        <f>56693019</f>
        <v>56693019</v>
      </c>
      <c r="I6" s="65">
        <f>58847354</f>
        <v>58847354</v>
      </c>
      <c r="J6" s="65">
        <f>60907011</f>
        <v>60907011</v>
      </c>
      <c r="K6" s="65">
        <f>62795128</f>
        <v>62795128</v>
      </c>
      <c r="L6" s="65">
        <f>64678982</f>
        <v>64678982</v>
      </c>
      <c r="M6" s="65">
        <f>66619351</f>
        <v>66619351</v>
      </c>
      <c r="N6" s="65">
        <f>68551312</f>
        <v>68551312</v>
      </c>
      <c r="O6" s="65">
        <f>70470749</f>
        <v>70470749</v>
      </c>
      <c r="P6" s="65">
        <f>72443930</f>
        <v>72443930</v>
      </c>
      <c r="Q6" s="65">
        <f>74399916</f>
        <v>74399916</v>
      </c>
      <c r="R6" s="65">
        <f>76408714</f>
        <v>76408714</v>
      </c>
      <c r="S6" s="65">
        <f>78395341</f>
        <v>78395341</v>
      </c>
    </row>
    <row r="7" spans="1:19" ht="30" customHeight="1">
      <c r="A7" s="59" t="s">
        <v>123</v>
      </c>
      <c r="B7" s="66" t="s">
        <v>124</v>
      </c>
      <c r="C7" s="61">
        <f>865724.06</f>
        <v>865724.06</v>
      </c>
      <c r="D7" s="62">
        <f>987572.58</f>
        <v>987572.58</v>
      </c>
      <c r="E7" s="62">
        <f>1300000</f>
        <v>1300000</v>
      </c>
      <c r="F7" s="63">
        <f>888145.77</f>
        <v>888145.77</v>
      </c>
      <c r="G7" s="64">
        <f>1000000</f>
        <v>1000000</v>
      </c>
      <c r="H7" s="65">
        <f>1052000</f>
        <v>1052000</v>
      </c>
      <c r="I7" s="65">
        <f>1091976</f>
        <v>1091976</v>
      </c>
      <c r="J7" s="65">
        <f>1130195</f>
        <v>1130195</v>
      </c>
      <c r="K7" s="65">
        <f>1165231</f>
        <v>1165231</v>
      </c>
      <c r="L7" s="65">
        <f>1200188</f>
        <v>1200188</v>
      </c>
      <c r="M7" s="65">
        <f>1236194</f>
        <v>1236194</v>
      </c>
      <c r="N7" s="65">
        <f>1272044</f>
        <v>1272044</v>
      </c>
      <c r="O7" s="65">
        <f>1307661</f>
        <v>1307661</v>
      </c>
      <c r="P7" s="65">
        <f>1344276</f>
        <v>1344276</v>
      </c>
      <c r="Q7" s="65">
        <f>1380571</f>
        <v>1380571</v>
      </c>
      <c r="R7" s="65">
        <f>1417846</f>
        <v>1417846</v>
      </c>
      <c r="S7" s="65">
        <f>1454710</f>
        <v>1454710</v>
      </c>
    </row>
    <row r="8" spans="1:19" ht="18" customHeight="1">
      <c r="A8" s="59" t="s">
        <v>125</v>
      </c>
      <c r="B8" s="66" t="s">
        <v>126</v>
      </c>
      <c r="C8" s="61">
        <f>4549004.28</f>
        <v>4549004.28</v>
      </c>
      <c r="D8" s="62">
        <f>4508131.33</f>
        <v>4508131.33</v>
      </c>
      <c r="E8" s="62">
        <f>4757027</f>
        <v>4757027</v>
      </c>
      <c r="F8" s="63">
        <f>4712799.89</f>
        <v>4712799.8899999997</v>
      </c>
      <c r="G8" s="64">
        <f>4824598</f>
        <v>4824598</v>
      </c>
      <c r="H8" s="65">
        <f>5047496</f>
        <v>5047496</v>
      </c>
      <c r="I8" s="65">
        <f>5239301</f>
        <v>5239301</v>
      </c>
      <c r="J8" s="65">
        <f>5422677</f>
        <v>5422677</v>
      </c>
      <c r="K8" s="65">
        <f>5590780</f>
        <v>5590780</v>
      </c>
      <c r="L8" s="65">
        <f>5758503</f>
        <v>5758503</v>
      </c>
      <c r="M8" s="65">
        <f>5931258</f>
        <v>5931258</v>
      </c>
      <c r="N8" s="65">
        <f>6103264</f>
        <v>6103264</v>
      </c>
      <c r="O8" s="65">
        <f>6274155</f>
        <v>6274155</v>
      </c>
      <c r="P8" s="65">
        <f>6449831</f>
        <v>6449831</v>
      </c>
      <c r="Q8" s="65">
        <f>6623976</f>
        <v>6623976</v>
      </c>
      <c r="R8" s="65">
        <f>6802823</f>
        <v>6802823</v>
      </c>
      <c r="S8" s="65">
        <f>6979696</f>
        <v>6979696</v>
      </c>
    </row>
    <row r="9" spans="1:19" ht="18" customHeight="1">
      <c r="A9" s="59" t="s">
        <v>127</v>
      </c>
      <c r="B9" s="67" t="s">
        <v>128</v>
      </c>
      <c r="C9" s="61">
        <f>0</f>
        <v>0</v>
      </c>
      <c r="D9" s="62">
        <f>0</f>
        <v>0</v>
      </c>
      <c r="E9" s="62">
        <f>0</f>
        <v>0</v>
      </c>
      <c r="F9" s="63">
        <f>0</f>
        <v>0</v>
      </c>
      <c r="G9" s="64">
        <f>0</f>
        <v>0</v>
      </c>
      <c r="H9" s="65">
        <f>0</f>
        <v>0</v>
      </c>
      <c r="I9" s="65">
        <f>0</f>
        <v>0</v>
      </c>
      <c r="J9" s="65">
        <f>0</f>
        <v>0</v>
      </c>
      <c r="K9" s="65">
        <f>0</f>
        <v>0</v>
      </c>
      <c r="L9" s="65">
        <f>0</f>
        <v>0</v>
      </c>
      <c r="M9" s="65">
        <f>0</f>
        <v>0</v>
      </c>
      <c r="N9" s="65">
        <f>0</f>
        <v>0</v>
      </c>
      <c r="O9" s="65">
        <f>0</f>
        <v>0</v>
      </c>
      <c r="P9" s="65">
        <f>0</f>
        <v>0</v>
      </c>
      <c r="Q9" s="65">
        <f>0</f>
        <v>0</v>
      </c>
      <c r="R9" s="65">
        <f>0</f>
        <v>0</v>
      </c>
      <c r="S9" s="65">
        <f>0</f>
        <v>0</v>
      </c>
    </row>
    <row r="10" spans="1:19" ht="18" customHeight="1">
      <c r="A10" s="59" t="s">
        <v>129</v>
      </c>
      <c r="B10" s="66" t="s">
        <v>130</v>
      </c>
      <c r="C10" s="61">
        <f>44895602</f>
        <v>44895602</v>
      </c>
      <c r="D10" s="62">
        <f>43955181</f>
        <v>43955181</v>
      </c>
      <c r="E10" s="62">
        <f>46106543</f>
        <v>46106543</v>
      </c>
      <c r="F10" s="63">
        <f>46201081</f>
        <v>46201081</v>
      </c>
      <c r="G10" s="64">
        <f>52130329</f>
        <v>52130329</v>
      </c>
      <c r="H10" s="65">
        <f>54128624</f>
        <v>54128624</v>
      </c>
      <c r="I10" s="65">
        <f>56185512</f>
        <v>56185512</v>
      </c>
      <c r="J10" s="65">
        <f>58152005</f>
        <v>58152005</v>
      </c>
      <c r="K10" s="65">
        <f>59954717</f>
        <v>59954717</v>
      </c>
      <c r="L10" s="65">
        <f>61753359</f>
        <v>61753359</v>
      </c>
      <c r="M10" s="65">
        <f>63605960</f>
        <v>63605960</v>
      </c>
      <c r="N10" s="65">
        <f>65450533</f>
        <v>65450533</v>
      </c>
      <c r="O10" s="65">
        <f>67283148</f>
        <v>67283148</v>
      </c>
      <c r="P10" s="65">
        <f>69167076</f>
        <v>69167076</v>
      </c>
      <c r="Q10" s="65">
        <f>71034587</f>
        <v>71034587</v>
      </c>
      <c r="R10" s="65">
        <f>72952521</f>
        <v>72952521</v>
      </c>
      <c r="S10" s="65">
        <f>74849287</f>
        <v>74849287</v>
      </c>
    </row>
    <row r="11" spans="1:19" ht="30" customHeight="1">
      <c r="A11" s="59" t="s">
        <v>131</v>
      </c>
      <c r="B11" s="66" t="s">
        <v>132</v>
      </c>
      <c r="C11" s="61">
        <f>16519142.81</f>
        <v>16519142.810000001</v>
      </c>
      <c r="D11" s="62">
        <f>16878810.53</f>
        <v>16878810.530000001</v>
      </c>
      <c r="E11" s="62">
        <f>17649046</f>
        <v>17649046</v>
      </c>
      <c r="F11" s="63">
        <f>17583692.65</f>
        <v>17583692.649999999</v>
      </c>
      <c r="G11" s="64">
        <f>19568152.55</f>
        <v>19568152.550000001</v>
      </c>
      <c r="H11" s="65">
        <f>17829056</f>
        <v>17829056</v>
      </c>
      <c r="I11" s="65">
        <f>18506560</f>
        <v>18506560</v>
      </c>
      <c r="J11" s="65">
        <f>19154290</f>
        <v>19154290</v>
      </c>
      <c r="K11" s="65">
        <f>19748073</f>
        <v>19748073</v>
      </c>
      <c r="L11" s="65">
        <f>20340515</f>
        <v>20340515</v>
      </c>
      <c r="M11" s="65">
        <f>20950730</f>
        <v>20950730</v>
      </c>
      <c r="N11" s="65">
        <f>21558301</f>
        <v>21558301</v>
      </c>
      <c r="O11" s="65">
        <f>22161933</f>
        <v>22161933</v>
      </c>
      <c r="P11" s="65">
        <f>22782467</f>
        <v>22782467</v>
      </c>
      <c r="Q11" s="65">
        <f>23397594</f>
        <v>23397594</v>
      </c>
      <c r="R11" s="65">
        <f>24029329</f>
        <v>24029329</v>
      </c>
      <c r="S11" s="65">
        <f>24654092</f>
        <v>24654092</v>
      </c>
    </row>
    <row r="12" spans="1:19" ht="18" customHeight="1">
      <c r="A12" s="59" t="s">
        <v>133</v>
      </c>
      <c r="B12" s="60" t="s">
        <v>134</v>
      </c>
      <c r="C12" s="61">
        <f>6692444.61</f>
        <v>6692444.6100000003</v>
      </c>
      <c r="D12" s="62">
        <f>19053590.2</f>
        <v>19053590.199999999</v>
      </c>
      <c r="E12" s="62">
        <f>22900113</f>
        <v>22900113</v>
      </c>
      <c r="F12" s="63">
        <f>18701163.44</f>
        <v>18701163.440000001</v>
      </c>
      <c r="G12" s="64">
        <f>7570471</f>
        <v>7570471</v>
      </c>
      <c r="H12" s="65">
        <f>5280000</f>
        <v>5280000</v>
      </c>
      <c r="I12" s="65">
        <f>1330000</f>
        <v>1330000</v>
      </c>
      <c r="J12" s="65">
        <f>800000</f>
        <v>800000</v>
      </c>
      <c r="K12" s="65">
        <f>620000</f>
        <v>620000</v>
      </c>
      <c r="L12" s="65">
        <f>340000</f>
        <v>340000</v>
      </c>
      <c r="M12" s="65">
        <f>350000</f>
        <v>350000</v>
      </c>
      <c r="N12" s="65">
        <f>550000</f>
        <v>550000</v>
      </c>
      <c r="O12" s="65">
        <f>350000</f>
        <v>350000</v>
      </c>
      <c r="P12" s="65">
        <f>350000</f>
        <v>350000</v>
      </c>
      <c r="Q12" s="65">
        <f>350000</f>
        <v>350000</v>
      </c>
      <c r="R12" s="65">
        <f>350000</f>
        <v>350000</v>
      </c>
      <c r="S12" s="65">
        <f>350000</f>
        <v>350000</v>
      </c>
    </row>
    <row r="13" spans="1:19" ht="18" customHeight="1">
      <c r="A13" s="59" t="s">
        <v>135</v>
      </c>
      <c r="B13" s="66" t="s">
        <v>136</v>
      </c>
      <c r="C13" s="61">
        <f>4846510.38</f>
        <v>4846510.38</v>
      </c>
      <c r="D13" s="62">
        <f>4862594.7</f>
        <v>4862594.7</v>
      </c>
      <c r="E13" s="62">
        <f>4886470</f>
        <v>4886470</v>
      </c>
      <c r="F13" s="63">
        <f>926571.82</f>
        <v>926571.82</v>
      </c>
      <c r="G13" s="64">
        <f>4709843</f>
        <v>4709843</v>
      </c>
      <c r="H13" s="65">
        <f>4210000</f>
        <v>4210000</v>
      </c>
      <c r="I13" s="65">
        <f>830000</f>
        <v>830000</v>
      </c>
      <c r="J13" s="65">
        <f>300000</f>
        <v>300000</v>
      </c>
      <c r="K13" s="65">
        <f>120000</f>
        <v>120000</v>
      </c>
      <c r="L13" s="65">
        <f>40000</f>
        <v>40000</v>
      </c>
      <c r="M13" s="65">
        <f>50000</f>
        <v>50000</v>
      </c>
      <c r="N13" s="65">
        <f>250000</f>
        <v>250000</v>
      </c>
      <c r="O13" s="65">
        <f>50000</f>
        <v>50000</v>
      </c>
      <c r="P13" s="65">
        <f>50000</f>
        <v>50000</v>
      </c>
      <c r="Q13" s="65">
        <f>50000</f>
        <v>50000</v>
      </c>
      <c r="R13" s="65">
        <f>50000</f>
        <v>50000</v>
      </c>
      <c r="S13" s="65">
        <f>50000</f>
        <v>50000</v>
      </c>
    </row>
    <row r="14" spans="1:19" ht="33.75" customHeight="1">
      <c r="A14" s="59" t="s">
        <v>137</v>
      </c>
      <c r="B14" s="66" t="s">
        <v>138</v>
      </c>
      <c r="C14" s="61">
        <f>1823935.38</f>
        <v>1823935.38</v>
      </c>
      <c r="D14" s="62">
        <f>14100719</f>
        <v>14100719</v>
      </c>
      <c r="E14" s="62">
        <f>18008643</f>
        <v>18008643</v>
      </c>
      <c r="F14" s="63">
        <f>17768942.48</f>
        <v>17768942.48</v>
      </c>
      <c r="G14" s="64">
        <f>2854628</f>
        <v>2854628</v>
      </c>
      <c r="H14" s="65">
        <f>1070000</f>
        <v>1070000</v>
      </c>
      <c r="I14" s="65">
        <f>500000</f>
        <v>500000</v>
      </c>
      <c r="J14" s="65">
        <f>500000</f>
        <v>500000</v>
      </c>
      <c r="K14" s="65">
        <f>500000</f>
        <v>500000</v>
      </c>
      <c r="L14" s="65">
        <f t="shared" ref="L14:S14" si="1">300000</f>
        <v>300000</v>
      </c>
      <c r="M14" s="65">
        <f t="shared" si="1"/>
        <v>300000</v>
      </c>
      <c r="N14" s="65">
        <f t="shared" si="1"/>
        <v>300000</v>
      </c>
      <c r="O14" s="65">
        <f t="shared" si="1"/>
        <v>300000</v>
      </c>
      <c r="P14" s="65">
        <f t="shared" si="1"/>
        <v>300000</v>
      </c>
      <c r="Q14" s="65">
        <f t="shared" si="1"/>
        <v>300000</v>
      </c>
      <c r="R14" s="65">
        <f t="shared" si="1"/>
        <v>300000</v>
      </c>
      <c r="S14" s="65">
        <f t="shared" si="1"/>
        <v>300000</v>
      </c>
    </row>
    <row r="15" spans="1:19" ht="18" customHeight="1">
      <c r="A15" s="53">
        <v>2</v>
      </c>
      <c r="B15" s="95" t="s">
        <v>139</v>
      </c>
      <c r="C15" s="54">
        <f>115011965.36</f>
        <v>115011965.36</v>
      </c>
      <c r="D15" s="55">
        <f>132768246.1</f>
        <v>132768246.09999999</v>
      </c>
      <c r="E15" s="55">
        <f>156164976</f>
        <v>156164976</v>
      </c>
      <c r="F15" s="56">
        <f>151231402.82</f>
        <v>151231402.81999999</v>
      </c>
      <c r="G15" s="57">
        <f>150779061.55</f>
        <v>150779061.55000001</v>
      </c>
      <c r="H15" s="58">
        <f>146529693</f>
        <v>146529693</v>
      </c>
      <c r="I15" s="58">
        <f>144417497</f>
        <v>144417497</v>
      </c>
      <c r="J15" s="58">
        <f>148400099</f>
        <v>148400099</v>
      </c>
      <c r="K15" s="58">
        <f>153126322</f>
        <v>153126322</v>
      </c>
      <c r="L15" s="58">
        <f>157410772</f>
        <v>157410772</v>
      </c>
      <c r="M15" s="58">
        <f>162076655</f>
        <v>162076655</v>
      </c>
      <c r="N15" s="58">
        <f>167403496</f>
        <v>167403496</v>
      </c>
      <c r="O15" s="58">
        <f>172006994</f>
        <v>172006994</v>
      </c>
      <c r="P15" s="58">
        <f>176944990</f>
        <v>176944990</v>
      </c>
      <c r="Q15" s="58">
        <f>182539955</f>
        <v>182539955</v>
      </c>
      <c r="R15" s="58">
        <f>187767084</f>
        <v>187767084</v>
      </c>
      <c r="S15" s="58">
        <f>193638728</f>
        <v>193638728</v>
      </c>
    </row>
    <row r="16" spans="1:19" ht="18" customHeight="1">
      <c r="A16" s="59" t="s">
        <v>140</v>
      </c>
      <c r="B16" s="60" t="s">
        <v>141</v>
      </c>
      <c r="C16" s="61">
        <f>106329765.59</f>
        <v>106329765.59</v>
      </c>
      <c r="D16" s="62">
        <f>104880266.03</f>
        <v>104880266.03</v>
      </c>
      <c r="E16" s="62">
        <f>118308832</f>
        <v>118308832</v>
      </c>
      <c r="F16" s="63">
        <f>114334644.46</f>
        <v>114334644.45999999</v>
      </c>
      <c r="G16" s="64">
        <f>132608451.55</f>
        <v>132608451.55</v>
      </c>
      <c r="H16" s="65">
        <f>132206008</f>
        <v>132206008</v>
      </c>
      <c r="I16" s="65">
        <f>135229336</f>
        <v>135229336</v>
      </c>
      <c r="J16" s="65">
        <f>138159246</f>
        <v>138159246</v>
      </c>
      <c r="K16" s="65">
        <f>141296359</f>
        <v>141296359</v>
      </c>
      <c r="L16" s="65">
        <f>144838768</f>
        <v>144838768</v>
      </c>
      <c r="M16" s="65">
        <f>148469737</f>
        <v>148469737</v>
      </c>
      <c r="N16" s="65">
        <f>152191480</f>
        <v>152191480</v>
      </c>
      <c r="O16" s="65">
        <f>156006267</f>
        <v>156006267</v>
      </c>
      <c r="P16" s="65">
        <f>159916424</f>
        <v>159916424</v>
      </c>
      <c r="Q16" s="65">
        <f>163924335</f>
        <v>163924335</v>
      </c>
      <c r="R16" s="65">
        <f>167632443</f>
        <v>167632443</v>
      </c>
      <c r="S16" s="65">
        <f>172643254</f>
        <v>172643254</v>
      </c>
    </row>
    <row r="17" spans="1:19" ht="18" customHeight="1">
      <c r="A17" s="59" t="s">
        <v>142</v>
      </c>
      <c r="B17" s="66" t="s">
        <v>143</v>
      </c>
      <c r="C17" s="61">
        <f>0</f>
        <v>0</v>
      </c>
      <c r="D17" s="62">
        <f>431053.14</f>
        <v>431053.14</v>
      </c>
      <c r="E17" s="62">
        <f>482801</f>
        <v>482801</v>
      </c>
      <c r="F17" s="63">
        <f>428958</f>
        <v>428958</v>
      </c>
      <c r="G17" s="64">
        <f>2900000</f>
        <v>2900000</v>
      </c>
      <c r="H17" s="65">
        <f>2800000</f>
        <v>2800000</v>
      </c>
      <c r="I17" s="65">
        <f>2700000</f>
        <v>2700000</v>
      </c>
      <c r="J17" s="65">
        <f>2600000</f>
        <v>2600000</v>
      </c>
      <c r="K17" s="65">
        <f>2550000</f>
        <v>2550000</v>
      </c>
      <c r="L17" s="65">
        <f>0</f>
        <v>0</v>
      </c>
      <c r="M17" s="65">
        <f>0</f>
        <v>0</v>
      </c>
      <c r="N17" s="65">
        <f>0</f>
        <v>0</v>
      </c>
      <c r="O17" s="65">
        <f>0</f>
        <v>0</v>
      </c>
      <c r="P17" s="65">
        <f>0</f>
        <v>0</v>
      </c>
      <c r="Q17" s="65">
        <f>0</f>
        <v>0</v>
      </c>
      <c r="R17" s="65">
        <f>0</f>
        <v>0</v>
      </c>
      <c r="S17" s="65">
        <f>0</f>
        <v>0</v>
      </c>
    </row>
    <row r="18" spans="1:19" ht="46.5" customHeight="1">
      <c r="A18" s="59" t="s">
        <v>144</v>
      </c>
      <c r="B18" s="67" t="s">
        <v>145</v>
      </c>
      <c r="C18" s="61">
        <f>0</f>
        <v>0</v>
      </c>
      <c r="D18" s="62">
        <f>0</f>
        <v>0</v>
      </c>
      <c r="E18" s="62">
        <f>0</f>
        <v>0</v>
      </c>
      <c r="F18" s="63">
        <f>0</f>
        <v>0</v>
      </c>
      <c r="G18" s="64">
        <f>0</f>
        <v>0</v>
      </c>
      <c r="H18" s="65">
        <f>0</f>
        <v>0</v>
      </c>
      <c r="I18" s="65">
        <f>0</f>
        <v>0</v>
      </c>
      <c r="J18" s="65">
        <f>0</f>
        <v>0</v>
      </c>
      <c r="K18" s="65">
        <f>0</f>
        <v>0</v>
      </c>
      <c r="L18" s="65">
        <f>0</f>
        <v>0</v>
      </c>
      <c r="M18" s="65">
        <f>0</f>
        <v>0</v>
      </c>
      <c r="N18" s="65">
        <f>0</f>
        <v>0</v>
      </c>
      <c r="O18" s="65">
        <f>0</f>
        <v>0</v>
      </c>
      <c r="P18" s="65">
        <f>0</f>
        <v>0</v>
      </c>
      <c r="Q18" s="65">
        <f>0</f>
        <v>0</v>
      </c>
      <c r="R18" s="65">
        <f>0</f>
        <v>0</v>
      </c>
      <c r="S18" s="65">
        <f>0</f>
        <v>0</v>
      </c>
    </row>
    <row r="19" spans="1:19" ht="82.5" customHeight="1">
      <c r="A19" s="59" t="s">
        <v>146</v>
      </c>
      <c r="B19" s="66" t="s">
        <v>147</v>
      </c>
      <c r="C19" s="61">
        <f>0</f>
        <v>0</v>
      </c>
      <c r="D19" s="62">
        <f>0</f>
        <v>0</v>
      </c>
      <c r="E19" s="62">
        <f>0</f>
        <v>0</v>
      </c>
      <c r="F19" s="63">
        <f>0</f>
        <v>0</v>
      </c>
      <c r="G19" s="64">
        <f>0</f>
        <v>0</v>
      </c>
      <c r="H19" s="65">
        <f>0</f>
        <v>0</v>
      </c>
      <c r="I19" s="65">
        <f>0</f>
        <v>0</v>
      </c>
      <c r="J19" s="65">
        <f>0</f>
        <v>0</v>
      </c>
      <c r="K19" s="65">
        <f>0</f>
        <v>0</v>
      </c>
      <c r="L19" s="65">
        <f>0</f>
        <v>0</v>
      </c>
      <c r="M19" s="65">
        <f>0</f>
        <v>0</v>
      </c>
      <c r="N19" s="65">
        <f>0</f>
        <v>0</v>
      </c>
      <c r="O19" s="65">
        <f>0</f>
        <v>0</v>
      </c>
      <c r="P19" s="65">
        <f>0</f>
        <v>0</v>
      </c>
      <c r="Q19" s="65">
        <f>0</f>
        <v>0</v>
      </c>
      <c r="R19" s="65">
        <f>0</f>
        <v>0</v>
      </c>
      <c r="S19" s="65">
        <f>0</f>
        <v>0</v>
      </c>
    </row>
    <row r="20" spans="1:19" ht="21.75" customHeight="1">
      <c r="A20" s="59" t="s">
        <v>148</v>
      </c>
      <c r="B20" s="66" t="s">
        <v>149</v>
      </c>
      <c r="C20" s="61">
        <f>1276184.14</f>
        <v>1276184.1399999999</v>
      </c>
      <c r="D20" s="62">
        <f>1119766</f>
        <v>1119766</v>
      </c>
      <c r="E20" s="62">
        <f>1300000</f>
        <v>1300000</v>
      </c>
      <c r="F20" s="63">
        <f>1120444.53</f>
        <v>1120444.53</v>
      </c>
      <c r="G20" s="64">
        <f>1300000</f>
        <v>1300000</v>
      </c>
      <c r="H20" s="65">
        <f>1320000</f>
        <v>1320000</v>
      </c>
      <c r="I20" s="65">
        <f>1200000</f>
        <v>1200000</v>
      </c>
      <c r="J20" s="65">
        <f>1050000</f>
        <v>1050000</v>
      </c>
      <c r="K20" s="65">
        <f>950000</f>
        <v>950000</v>
      </c>
      <c r="L20" s="65">
        <f>800000</f>
        <v>800000</v>
      </c>
      <c r="M20" s="65">
        <f>700000</f>
        <v>700000</v>
      </c>
      <c r="N20" s="65">
        <f>600000</f>
        <v>600000</v>
      </c>
      <c r="O20" s="65">
        <f>450000</f>
        <v>450000</v>
      </c>
      <c r="P20" s="65">
        <f>350000</f>
        <v>350000</v>
      </c>
      <c r="Q20" s="65">
        <f>250000</f>
        <v>250000</v>
      </c>
      <c r="R20" s="65">
        <f>150000</f>
        <v>150000</v>
      </c>
      <c r="S20" s="65">
        <f>50000</f>
        <v>50000</v>
      </c>
    </row>
    <row r="21" spans="1:19" ht="31.5" customHeight="1">
      <c r="A21" s="59" t="s">
        <v>150</v>
      </c>
      <c r="B21" s="67" t="s">
        <v>151</v>
      </c>
      <c r="C21" s="61">
        <f>1276184.14</f>
        <v>1276184.1399999999</v>
      </c>
      <c r="D21" s="62">
        <f>1119766</f>
        <v>1119766</v>
      </c>
      <c r="E21" s="62">
        <f>1300000</f>
        <v>1300000</v>
      </c>
      <c r="F21" s="63">
        <f>1120444.53</f>
        <v>1120444.53</v>
      </c>
      <c r="G21" s="64">
        <f>1300000</f>
        <v>1300000</v>
      </c>
      <c r="H21" s="65">
        <f>1320000</f>
        <v>1320000</v>
      </c>
      <c r="I21" s="65">
        <f>1200000</f>
        <v>1200000</v>
      </c>
      <c r="J21" s="65">
        <f>1050000</f>
        <v>1050000</v>
      </c>
      <c r="K21" s="65">
        <f>950000</f>
        <v>950000</v>
      </c>
      <c r="L21" s="65">
        <f>800000</f>
        <v>800000</v>
      </c>
      <c r="M21" s="65">
        <f>700000</f>
        <v>700000</v>
      </c>
      <c r="N21" s="65">
        <f>600000</f>
        <v>600000</v>
      </c>
      <c r="O21" s="65">
        <f>450000</f>
        <v>450000</v>
      </c>
      <c r="P21" s="65">
        <f>350000</f>
        <v>350000</v>
      </c>
      <c r="Q21" s="65">
        <f>250000</f>
        <v>250000</v>
      </c>
      <c r="R21" s="65">
        <f>150000</f>
        <v>150000</v>
      </c>
      <c r="S21" s="65">
        <f>50000</f>
        <v>50000</v>
      </c>
    </row>
    <row r="22" spans="1:19" ht="96">
      <c r="A22" s="59" t="s">
        <v>152</v>
      </c>
      <c r="B22" s="68" t="s">
        <v>153</v>
      </c>
      <c r="C22" s="61">
        <f>0</f>
        <v>0</v>
      </c>
      <c r="D22" s="62">
        <f>0</f>
        <v>0</v>
      </c>
      <c r="E22" s="62">
        <f>0</f>
        <v>0</v>
      </c>
      <c r="F22" s="63">
        <f>0</f>
        <v>0</v>
      </c>
      <c r="G22" s="64">
        <f>0</f>
        <v>0</v>
      </c>
      <c r="H22" s="65">
        <f>0</f>
        <v>0</v>
      </c>
      <c r="I22" s="65">
        <f>0</f>
        <v>0</v>
      </c>
      <c r="J22" s="65">
        <f>0</f>
        <v>0</v>
      </c>
      <c r="K22" s="65">
        <f>0</f>
        <v>0</v>
      </c>
      <c r="L22" s="65">
        <f>0</f>
        <v>0</v>
      </c>
      <c r="M22" s="65">
        <f>0</f>
        <v>0</v>
      </c>
      <c r="N22" s="65">
        <f>0</f>
        <v>0</v>
      </c>
      <c r="O22" s="65">
        <f>0</f>
        <v>0</v>
      </c>
      <c r="P22" s="65">
        <f>0</f>
        <v>0</v>
      </c>
      <c r="Q22" s="65">
        <f>0</f>
        <v>0</v>
      </c>
      <c r="R22" s="65">
        <f>0</f>
        <v>0</v>
      </c>
      <c r="S22" s="65">
        <f>0</f>
        <v>0</v>
      </c>
    </row>
    <row r="23" spans="1:19" ht="65.25" customHeight="1">
      <c r="A23" s="59" t="s">
        <v>154</v>
      </c>
      <c r="B23" s="68" t="s">
        <v>155</v>
      </c>
      <c r="C23" s="61">
        <f>0</f>
        <v>0</v>
      </c>
      <c r="D23" s="62">
        <f>0</f>
        <v>0</v>
      </c>
      <c r="E23" s="62">
        <f>0</f>
        <v>0</v>
      </c>
      <c r="F23" s="63">
        <f>0</f>
        <v>0</v>
      </c>
      <c r="G23" s="64">
        <f>0</f>
        <v>0</v>
      </c>
      <c r="H23" s="65">
        <f>0</f>
        <v>0</v>
      </c>
      <c r="I23" s="65">
        <f>0</f>
        <v>0</v>
      </c>
      <c r="J23" s="65">
        <f>0</f>
        <v>0</v>
      </c>
      <c r="K23" s="65">
        <f>0</f>
        <v>0</v>
      </c>
      <c r="L23" s="65">
        <f>0</f>
        <v>0</v>
      </c>
      <c r="M23" s="65">
        <f>0</f>
        <v>0</v>
      </c>
      <c r="N23" s="65">
        <f>0</f>
        <v>0</v>
      </c>
      <c r="O23" s="65">
        <f>0</f>
        <v>0</v>
      </c>
      <c r="P23" s="65">
        <f>0</f>
        <v>0</v>
      </c>
      <c r="Q23" s="65">
        <f>0</f>
        <v>0</v>
      </c>
      <c r="R23" s="65">
        <f>0</f>
        <v>0</v>
      </c>
      <c r="S23" s="65">
        <f>0</f>
        <v>0</v>
      </c>
    </row>
    <row r="24" spans="1:19" ht="18" customHeight="1">
      <c r="A24" s="59" t="s">
        <v>156</v>
      </c>
      <c r="B24" s="60" t="s">
        <v>157</v>
      </c>
      <c r="C24" s="61">
        <f>8682199.77</f>
        <v>8682199.7699999996</v>
      </c>
      <c r="D24" s="62">
        <f>27887980.07</f>
        <v>27887980.07</v>
      </c>
      <c r="E24" s="62">
        <f>37856144</f>
        <v>37856144</v>
      </c>
      <c r="F24" s="63">
        <f>36896758.36</f>
        <v>36896758.359999999</v>
      </c>
      <c r="G24" s="64">
        <f>18170610</f>
        <v>18170610</v>
      </c>
      <c r="H24" s="65">
        <f>14323685</f>
        <v>14323685</v>
      </c>
      <c r="I24" s="65">
        <f>9188161</f>
        <v>9188161</v>
      </c>
      <c r="J24" s="65">
        <f>10240853</f>
        <v>10240853</v>
      </c>
      <c r="K24" s="65">
        <f>11829963</f>
        <v>11829963</v>
      </c>
      <c r="L24" s="65">
        <f>12572004</f>
        <v>12572004</v>
      </c>
      <c r="M24" s="65">
        <f>13606918</f>
        <v>13606918</v>
      </c>
      <c r="N24" s="65">
        <f>15212016</f>
        <v>15212016</v>
      </c>
      <c r="O24" s="65">
        <f>16000727</f>
        <v>16000727</v>
      </c>
      <c r="P24" s="65">
        <f>17028566</f>
        <v>17028566</v>
      </c>
      <c r="Q24" s="65">
        <f>18615620</f>
        <v>18615620</v>
      </c>
      <c r="R24" s="65">
        <f>20134641</f>
        <v>20134641</v>
      </c>
      <c r="S24" s="65">
        <f>20995474</f>
        <v>20995474</v>
      </c>
    </row>
    <row r="25" spans="1:19" ht="18" customHeight="1">
      <c r="A25" s="53">
        <v>3</v>
      </c>
      <c r="B25" s="95" t="s">
        <v>158</v>
      </c>
      <c r="C25" s="54">
        <f>4019181.98</f>
        <v>4019181.98</v>
      </c>
      <c r="D25" s="55">
        <f>3000832.44</f>
        <v>3000832.44</v>
      </c>
      <c r="E25" s="55">
        <f>-9171369</f>
        <v>-9171369</v>
      </c>
      <c r="F25" s="56">
        <f>-5961672.64</f>
        <v>-5961672.6399999997</v>
      </c>
      <c r="G25" s="57">
        <f>-5046134</f>
        <v>-5046134</v>
      </c>
      <c r="H25" s="58">
        <f>1254612</f>
        <v>1254612</v>
      </c>
      <c r="I25" s="58">
        <f>4742000</f>
        <v>4742000</v>
      </c>
      <c r="J25" s="58">
        <f>4942000</f>
        <v>4942000</v>
      </c>
      <c r="K25" s="58">
        <f>4642000</f>
        <v>4642000</v>
      </c>
      <c r="L25" s="58">
        <f>4792000</f>
        <v>4792000</v>
      </c>
      <c r="M25" s="58">
        <f>4992000</f>
        <v>4992000</v>
      </c>
      <c r="N25" s="58">
        <f>4700000</f>
        <v>4700000</v>
      </c>
      <c r="O25" s="58">
        <f>4700000</f>
        <v>4700000</v>
      </c>
      <c r="P25" s="58">
        <f>4700000</f>
        <v>4700000</v>
      </c>
      <c r="Q25" s="58">
        <f>4000000</f>
        <v>4000000</v>
      </c>
      <c r="R25" s="58">
        <f>3800000</f>
        <v>3800000</v>
      </c>
      <c r="S25" s="58">
        <f>2900000</f>
        <v>2900000</v>
      </c>
    </row>
    <row r="26" spans="1:19" ht="18" customHeight="1">
      <c r="A26" s="53">
        <v>4</v>
      </c>
      <c r="B26" s="95" t="s">
        <v>159</v>
      </c>
      <c r="C26" s="54">
        <f>7676749.94</f>
        <v>7676749.9400000004</v>
      </c>
      <c r="D26" s="55">
        <f>10166608.92</f>
        <v>10166608.92</v>
      </c>
      <c r="E26" s="55">
        <f>15732304</f>
        <v>15732304</v>
      </c>
      <c r="F26" s="56">
        <f>17440165.36</f>
        <v>17440165.359999999</v>
      </c>
      <c r="G26" s="57">
        <f>10834404</f>
        <v>10834404</v>
      </c>
      <c r="H26" s="58">
        <f>4000000</f>
        <v>4000000</v>
      </c>
      <c r="I26" s="58">
        <f>0</f>
        <v>0</v>
      </c>
      <c r="J26" s="58">
        <f>0</f>
        <v>0</v>
      </c>
      <c r="K26" s="58">
        <f>0</f>
        <v>0</v>
      </c>
      <c r="L26" s="58">
        <f>0</f>
        <v>0</v>
      </c>
      <c r="M26" s="58">
        <f>0</f>
        <v>0</v>
      </c>
      <c r="N26" s="58">
        <f>0</f>
        <v>0</v>
      </c>
      <c r="O26" s="58">
        <f>0</f>
        <v>0</v>
      </c>
      <c r="P26" s="58">
        <f>0</f>
        <v>0</v>
      </c>
      <c r="Q26" s="58">
        <f>0</f>
        <v>0</v>
      </c>
      <c r="R26" s="58">
        <f>0</f>
        <v>0</v>
      </c>
      <c r="S26" s="58">
        <f>0</f>
        <v>0</v>
      </c>
    </row>
    <row r="27" spans="1:19" ht="18" customHeight="1">
      <c r="A27" s="59" t="s">
        <v>160</v>
      </c>
      <c r="B27" s="60" t="s">
        <v>161</v>
      </c>
      <c r="C27" s="61">
        <f>0</f>
        <v>0</v>
      </c>
      <c r="D27" s="62">
        <f>0</f>
        <v>0</v>
      </c>
      <c r="E27" s="62">
        <f>0</f>
        <v>0</v>
      </c>
      <c r="F27" s="63">
        <f>0</f>
        <v>0</v>
      </c>
      <c r="G27" s="64">
        <f>0</f>
        <v>0</v>
      </c>
      <c r="H27" s="65">
        <f>0</f>
        <v>0</v>
      </c>
      <c r="I27" s="65">
        <f>0</f>
        <v>0</v>
      </c>
      <c r="J27" s="65">
        <f>0</f>
        <v>0</v>
      </c>
      <c r="K27" s="65">
        <f>0</f>
        <v>0</v>
      </c>
      <c r="L27" s="65">
        <f>0</f>
        <v>0</v>
      </c>
      <c r="M27" s="65">
        <f>0</f>
        <v>0</v>
      </c>
      <c r="N27" s="65">
        <f>0</f>
        <v>0</v>
      </c>
      <c r="O27" s="65">
        <f>0</f>
        <v>0</v>
      </c>
      <c r="P27" s="65">
        <f>0</f>
        <v>0</v>
      </c>
      <c r="Q27" s="65">
        <f>0</f>
        <v>0</v>
      </c>
      <c r="R27" s="65">
        <f>0</f>
        <v>0</v>
      </c>
      <c r="S27" s="65">
        <f>0</f>
        <v>0</v>
      </c>
    </row>
    <row r="28" spans="1:19" ht="18" customHeight="1">
      <c r="A28" s="59" t="s">
        <v>162</v>
      </c>
      <c r="B28" s="66" t="s">
        <v>163</v>
      </c>
      <c r="C28" s="61">
        <f>0</f>
        <v>0</v>
      </c>
      <c r="D28" s="62">
        <f>0</f>
        <v>0</v>
      </c>
      <c r="E28" s="62">
        <f>0</f>
        <v>0</v>
      </c>
      <c r="F28" s="63">
        <f>0</f>
        <v>0</v>
      </c>
      <c r="G28" s="64">
        <f>0</f>
        <v>0</v>
      </c>
      <c r="H28" s="65">
        <f>0</f>
        <v>0</v>
      </c>
      <c r="I28" s="65">
        <f>0</f>
        <v>0</v>
      </c>
      <c r="J28" s="65">
        <f>0</f>
        <v>0</v>
      </c>
      <c r="K28" s="65">
        <f>0</f>
        <v>0</v>
      </c>
      <c r="L28" s="65">
        <f>0</f>
        <v>0</v>
      </c>
      <c r="M28" s="65">
        <f>0</f>
        <v>0</v>
      </c>
      <c r="N28" s="65">
        <f>0</f>
        <v>0</v>
      </c>
      <c r="O28" s="65">
        <f>0</f>
        <v>0</v>
      </c>
      <c r="P28" s="65">
        <f>0</f>
        <v>0</v>
      </c>
      <c r="Q28" s="65">
        <f>0</f>
        <v>0</v>
      </c>
      <c r="R28" s="65">
        <f>0</f>
        <v>0</v>
      </c>
      <c r="S28" s="65">
        <f>0</f>
        <v>0</v>
      </c>
    </row>
    <row r="29" spans="1:19" ht="36.75" customHeight="1">
      <c r="A29" s="59" t="s">
        <v>164</v>
      </c>
      <c r="B29" s="60" t="s">
        <v>165</v>
      </c>
      <c r="C29" s="61">
        <f>3476749.94</f>
        <v>3476749.94</v>
      </c>
      <c r="D29" s="62">
        <f>4466608.92</f>
        <v>4466608.92</v>
      </c>
      <c r="E29" s="62">
        <f>4782304</f>
        <v>4782304</v>
      </c>
      <c r="F29" s="63">
        <f>6490165.36</f>
        <v>6490165.3600000003</v>
      </c>
      <c r="G29" s="64">
        <f>3044404</f>
        <v>3044404</v>
      </c>
      <c r="H29" s="65">
        <f>0</f>
        <v>0</v>
      </c>
      <c r="I29" s="65">
        <f>0</f>
        <v>0</v>
      </c>
      <c r="J29" s="65">
        <f>0</f>
        <v>0</v>
      </c>
      <c r="K29" s="65">
        <f>0</f>
        <v>0</v>
      </c>
      <c r="L29" s="65">
        <f>0</f>
        <v>0</v>
      </c>
      <c r="M29" s="65">
        <f>0</f>
        <v>0</v>
      </c>
      <c r="N29" s="65">
        <f>0</f>
        <v>0</v>
      </c>
      <c r="O29" s="65">
        <f>0</f>
        <v>0</v>
      </c>
      <c r="P29" s="65">
        <f>0</f>
        <v>0</v>
      </c>
      <c r="Q29" s="65">
        <f>0</f>
        <v>0</v>
      </c>
      <c r="R29" s="65">
        <f>0</f>
        <v>0</v>
      </c>
      <c r="S29" s="65">
        <f>0</f>
        <v>0</v>
      </c>
    </row>
    <row r="30" spans="1:19" ht="21.75" customHeight="1">
      <c r="A30" s="59" t="s">
        <v>166</v>
      </c>
      <c r="B30" s="66" t="s">
        <v>163</v>
      </c>
      <c r="C30" s="61">
        <f>0</f>
        <v>0</v>
      </c>
      <c r="D30" s="62">
        <f>0</f>
        <v>0</v>
      </c>
      <c r="E30" s="62">
        <f>0</f>
        <v>0</v>
      </c>
      <c r="F30" s="63">
        <f>0</f>
        <v>0</v>
      </c>
      <c r="G30" s="64">
        <f>0</f>
        <v>0</v>
      </c>
      <c r="H30" s="65">
        <f>0</f>
        <v>0</v>
      </c>
      <c r="I30" s="65">
        <f>0</f>
        <v>0</v>
      </c>
      <c r="J30" s="65">
        <f>0</f>
        <v>0</v>
      </c>
      <c r="K30" s="65">
        <f>0</f>
        <v>0</v>
      </c>
      <c r="L30" s="65">
        <f>0</f>
        <v>0</v>
      </c>
      <c r="M30" s="65">
        <f>0</f>
        <v>0</v>
      </c>
      <c r="N30" s="65">
        <f>0</f>
        <v>0</v>
      </c>
      <c r="O30" s="65">
        <f>0</f>
        <v>0</v>
      </c>
      <c r="P30" s="65">
        <f>0</f>
        <v>0</v>
      </c>
      <c r="Q30" s="65">
        <f>0</f>
        <v>0</v>
      </c>
      <c r="R30" s="65">
        <f>0</f>
        <v>0</v>
      </c>
      <c r="S30" s="65">
        <f>0</f>
        <v>0</v>
      </c>
    </row>
    <row r="31" spans="1:19" ht="30" customHeight="1">
      <c r="A31" s="59" t="s">
        <v>167</v>
      </c>
      <c r="B31" s="60" t="s">
        <v>168</v>
      </c>
      <c r="C31" s="61">
        <f>4200000</f>
        <v>4200000</v>
      </c>
      <c r="D31" s="62">
        <f>5700000</f>
        <v>5700000</v>
      </c>
      <c r="E31" s="62">
        <f>10950000</f>
        <v>10950000</v>
      </c>
      <c r="F31" s="63">
        <f>10950000</f>
        <v>10950000</v>
      </c>
      <c r="G31" s="64">
        <f>7790000</f>
        <v>7790000</v>
      </c>
      <c r="H31" s="65">
        <f>4000000</f>
        <v>4000000</v>
      </c>
      <c r="I31" s="65">
        <f>0</f>
        <v>0</v>
      </c>
      <c r="J31" s="65">
        <f>0</f>
        <v>0</v>
      </c>
      <c r="K31" s="65">
        <f>0</f>
        <v>0</v>
      </c>
      <c r="L31" s="65">
        <f>0</f>
        <v>0</v>
      </c>
      <c r="M31" s="65">
        <f>0</f>
        <v>0</v>
      </c>
      <c r="N31" s="65">
        <f>0</f>
        <v>0</v>
      </c>
      <c r="O31" s="65">
        <f>0</f>
        <v>0</v>
      </c>
      <c r="P31" s="65">
        <f>0</f>
        <v>0</v>
      </c>
      <c r="Q31" s="65">
        <f>0</f>
        <v>0</v>
      </c>
      <c r="R31" s="65">
        <f>0</f>
        <v>0</v>
      </c>
      <c r="S31" s="65">
        <f>0</f>
        <v>0</v>
      </c>
    </row>
    <row r="32" spans="1:19" ht="20.25" customHeight="1">
      <c r="A32" s="59" t="s">
        <v>169</v>
      </c>
      <c r="B32" s="66" t="s">
        <v>163</v>
      </c>
      <c r="C32" s="61">
        <f>0</f>
        <v>0</v>
      </c>
      <c r="D32" s="62">
        <f>0</f>
        <v>0</v>
      </c>
      <c r="E32" s="62">
        <f>9171369</f>
        <v>9171369</v>
      </c>
      <c r="F32" s="63">
        <f>5961692.85</f>
        <v>5961692.8499999996</v>
      </c>
      <c r="G32" s="64">
        <f>5046134</f>
        <v>5046134</v>
      </c>
      <c r="H32" s="65">
        <f>0</f>
        <v>0</v>
      </c>
      <c r="I32" s="65">
        <f>0</f>
        <v>0</v>
      </c>
      <c r="J32" s="65">
        <f>0</f>
        <v>0</v>
      </c>
      <c r="K32" s="65">
        <f>0</f>
        <v>0</v>
      </c>
      <c r="L32" s="65">
        <f>0</f>
        <v>0</v>
      </c>
      <c r="M32" s="65">
        <f>0</f>
        <v>0</v>
      </c>
      <c r="N32" s="65">
        <f>0</f>
        <v>0</v>
      </c>
      <c r="O32" s="65">
        <f>0</f>
        <v>0</v>
      </c>
      <c r="P32" s="65">
        <f>0</f>
        <v>0</v>
      </c>
      <c r="Q32" s="65">
        <f>0</f>
        <v>0</v>
      </c>
      <c r="R32" s="65">
        <f>0</f>
        <v>0</v>
      </c>
      <c r="S32" s="65">
        <f>0</f>
        <v>0</v>
      </c>
    </row>
    <row r="33" spans="1:19" ht="28.5" customHeight="1">
      <c r="A33" s="59" t="s">
        <v>170</v>
      </c>
      <c r="B33" s="60" t="s">
        <v>171</v>
      </c>
      <c r="C33" s="61">
        <f>0</f>
        <v>0</v>
      </c>
      <c r="D33" s="62">
        <f>0</f>
        <v>0</v>
      </c>
      <c r="E33" s="62">
        <f>0</f>
        <v>0</v>
      </c>
      <c r="F33" s="63">
        <f>0</f>
        <v>0</v>
      </c>
      <c r="G33" s="64">
        <f>0</f>
        <v>0</v>
      </c>
      <c r="H33" s="65">
        <f>0</f>
        <v>0</v>
      </c>
      <c r="I33" s="65">
        <f>0</f>
        <v>0</v>
      </c>
      <c r="J33" s="65">
        <f>0</f>
        <v>0</v>
      </c>
      <c r="K33" s="65">
        <f>0</f>
        <v>0</v>
      </c>
      <c r="L33" s="65">
        <f>0</f>
        <v>0</v>
      </c>
      <c r="M33" s="65">
        <f>0</f>
        <v>0</v>
      </c>
      <c r="N33" s="65">
        <f>0</f>
        <v>0</v>
      </c>
      <c r="O33" s="65">
        <f>0</f>
        <v>0</v>
      </c>
      <c r="P33" s="65">
        <f>0</f>
        <v>0</v>
      </c>
      <c r="Q33" s="65">
        <f>0</f>
        <v>0</v>
      </c>
      <c r="R33" s="65">
        <f>0</f>
        <v>0</v>
      </c>
      <c r="S33" s="65">
        <f>0</f>
        <v>0</v>
      </c>
    </row>
    <row r="34" spans="1:19" ht="19.5" customHeight="1">
      <c r="A34" s="59" t="s">
        <v>172</v>
      </c>
      <c r="B34" s="66" t="s">
        <v>163</v>
      </c>
      <c r="C34" s="61">
        <f>0</f>
        <v>0</v>
      </c>
      <c r="D34" s="62">
        <f>0</f>
        <v>0</v>
      </c>
      <c r="E34" s="62">
        <f>0</f>
        <v>0</v>
      </c>
      <c r="F34" s="63">
        <f>0</f>
        <v>0</v>
      </c>
      <c r="G34" s="64">
        <f>0</f>
        <v>0</v>
      </c>
      <c r="H34" s="65">
        <f>0</f>
        <v>0</v>
      </c>
      <c r="I34" s="65">
        <f>0</f>
        <v>0</v>
      </c>
      <c r="J34" s="65">
        <f>0</f>
        <v>0</v>
      </c>
      <c r="K34" s="65">
        <f>0</f>
        <v>0</v>
      </c>
      <c r="L34" s="65">
        <f>0</f>
        <v>0</v>
      </c>
      <c r="M34" s="65">
        <f>0</f>
        <v>0</v>
      </c>
      <c r="N34" s="65">
        <f>0</f>
        <v>0</v>
      </c>
      <c r="O34" s="65">
        <f>0</f>
        <v>0</v>
      </c>
      <c r="P34" s="65">
        <f>0</f>
        <v>0</v>
      </c>
      <c r="Q34" s="65">
        <f>0</f>
        <v>0</v>
      </c>
      <c r="R34" s="65">
        <f>0</f>
        <v>0</v>
      </c>
      <c r="S34" s="65">
        <f>0</f>
        <v>0</v>
      </c>
    </row>
    <row r="35" spans="1:19" ht="20.25" customHeight="1">
      <c r="A35" s="53">
        <v>5</v>
      </c>
      <c r="B35" s="95" t="s">
        <v>173</v>
      </c>
      <c r="C35" s="54">
        <f>7229323</f>
        <v>7229323</v>
      </c>
      <c r="D35" s="55">
        <f>8501375.48</f>
        <v>8501375.4800000004</v>
      </c>
      <c r="E35" s="55">
        <f>6560935</f>
        <v>6560935</v>
      </c>
      <c r="F35" s="56">
        <f>6560935</f>
        <v>6560935</v>
      </c>
      <c r="G35" s="57">
        <f>5788270</f>
        <v>5788270</v>
      </c>
      <c r="H35" s="58">
        <f>5254612</f>
        <v>5254612</v>
      </c>
      <c r="I35" s="58">
        <f>4742000</f>
        <v>4742000</v>
      </c>
      <c r="J35" s="58">
        <f>4942000</f>
        <v>4942000</v>
      </c>
      <c r="K35" s="58">
        <f>4642000</f>
        <v>4642000</v>
      </c>
      <c r="L35" s="58">
        <f>4792000</f>
        <v>4792000</v>
      </c>
      <c r="M35" s="58">
        <f>4992000</f>
        <v>4992000</v>
      </c>
      <c r="N35" s="58">
        <f t="shared" ref="N35:P36" si="2">4700000</f>
        <v>4700000</v>
      </c>
      <c r="O35" s="58">
        <f t="shared" si="2"/>
        <v>4700000</v>
      </c>
      <c r="P35" s="58">
        <f t="shared" si="2"/>
        <v>4700000</v>
      </c>
      <c r="Q35" s="58">
        <f>4000000</f>
        <v>4000000</v>
      </c>
      <c r="R35" s="58">
        <f>3800000</f>
        <v>3800000</v>
      </c>
      <c r="S35" s="58">
        <f>2900000</f>
        <v>2900000</v>
      </c>
    </row>
    <row r="36" spans="1:19" ht="35.25" customHeight="1">
      <c r="A36" s="59" t="s">
        <v>174</v>
      </c>
      <c r="B36" s="60" t="s">
        <v>175</v>
      </c>
      <c r="C36" s="61">
        <f>7229323</f>
        <v>7229323</v>
      </c>
      <c r="D36" s="62">
        <f>8501375.48</f>
        <v>8501375.4800000004</v>
      </c>
      <c r="E36" s="62">
        <f>6560935</f>
        <v>6560935</v>
      </c>
      <c r="F36" s="63">
        <f>6560935</f>
        <v>6560935</v>
      </c>
      <c r="G36" s="64">
        <f>5788270</f>
        <v>5788270</v>
      </c>
      <c r="H36" s="65">
        <f>5254612</f>
        <v>5254612</v>
      </c>
      <c r="I36" s="65">
        <f>4742000</f>
        <v>4742000</v>
      </c>
      <c r="J36" s="65">
        <f>4942000</f>
        <v>4942000</v>
      </c>
      <c r="K36" s="65">
        <f>4642000</f>
        <v>4642000</v>
      </c>
      <c r="L36" s="65">
        <f>4792000</f>
        <v>4792000</v>
      </c>
      <c r="M36" s="65">
        <f>4992000</f>
        <v>4992000</v>
      </c>
      <c r="N36" s="65">
        <f t="shared" si="2"/>
        <v>4700000</v>
      </c>
      <c r="O36" s="65">
        <f t="shared" si="2"/>
        <v>4700000</v>
      </c>
      <c r="P36" s="65">
        <f t="shared" si="2"/>
        <v>4700000</v>
      </c>
      <c r="Q36" s="65">
        <f>4000000</f>
        <v>4000000</v>
      </c>
      <c r="R36" s="65">
        <f>3800000</f>
        <v>3800000</v>
      </c>
      <c r="S36" s="65">
        <f>2900000</f>
        <v>2900000</v>
      </c>
    </row>
    <row r="37" spans="1:19" ht="60" customHeight="1">
      <c r="A37" s="59" t="s">
        <v>176</v>
      </c>
      <c r="B37" s="66" t="s">
        <v>177</v>
      </c>
      <c r="C37" s="61">
        <f>2000000</f>
        <v>2000000</v>
      </c>
      <c r="D37" s="62">
        <f>2000000</f>
        <v>2000000</v>
      </c>
      <c r="E37" s="62">
        <f>2000000</f>
        <v>2000000</v>
      </c>
      <c r="F37" s="63">
        <f>2000006</f>
        <v>2000006</v>
      </c>
      <c r="G37" s="64">
        <f>0</f>
        <v>0</v>
      </c>
      <c r="H37" s="65">
        <f>0</f>
        <v>0</v>
      </c>
      <c r="I37" s="65">
        <f>0</f>
        <v>0</v>
      </c>
      <c r="J37" s="65">
        <f>0</f>
        <v>0</v>
      </c>
      <c r="K37" s="65">
        <f>0</f>
        <v>0</v>
      </c>
      <c r="L37" s="65">
        <f>0</f>
        <v>0</v>
      </c>
      <c r="M37" s="65">
        <f>0</f>
        <v>0</v>
      </c>
      <c r="N37" s="65">
        <f>0</f>
        <v>0</v>
      </c>
      <c r="O37" s="65">
        <f>0</f>
        <v>0</v>
      </c>
      <c r="P37" s="65">
        <f>0</f>
        <v>0</v>
      </c>
      <c r="Q37" s="65">
        <f>0</f>
        <v>0</v>
      </c>
      <c r="R37" s="65">
        <f>0</f>
        <v>0</v>
      </c>
      <c r="S37" s="65">
        <f>0</f>
        <v>0</v>
      </c>
    </row>
    <row r="38" spans="1:19" ht="50.25" customHeight="1">
      <c r="A38" s="59" t="s">
        <v>178</v>
      </c>
      <c r="B38" s="67" t="s">
        <v>179</v>
      </c>
      <c r="C38" s="61">
        <f>0</f>
        <v>0</v>
      </c>
      <c r="D38" s="62">
        <f>0</f>
        <v>0</v>
      </c>
      <c r="E38" s="62">
        <f>0</f>
        <v>0</v>
      </c>
      <c r="F38" s="63">
        <f>0</f>
        <v>0</v>
      </c>
      <c r="G38" s="64">
        <f>0</f>
        <v>0</v>
      </c>
      <c r="H38" s="65">
        <f>0</f>
        <v>0</v>
      </c>
      <c r="I38" s="65">
        <f>0</f>
        <v>0</v>
      </c>
      <c r="J38" s="65">
        <f>0</f>
        <v>0</v>
      </c>
      <c r="K38" s="65">
        <f>0</f>
        <v>0</v>
      </c>
      <c r="L38" s="65">
        <f>0</f>
        <v>0</v>
      </c>
      <c r="M38" s="65">
        <f>0</f>
        <v>0</v>
      </c>
      <c r="N38" s="65">
        <f>0</f>
        <v>0</v>
      </c>
      <c r="O38" s="65">
        <f>0</f>
        <v>0</v>
      </c>
      <c r="P38" s="65">
        <f>0</f>
        <v>0</v>
      </c>
      <c r="Q38" s="65">
        <f>0</f>
        <v>0</v>
      </c>
      <c r="R38" s="65">
        <f>0</f>
        <v>0</v>
      </c>
      <c r="S38" s="65">
        <f>0</f>
        <v>0</v>
      </c>
    </row>
    <row r="39" spans="1:19" ht="47.25" customHeight="1">
      <c r="A39" s="59" t="s">
        <v>180</v>
      </c>
      <c r="B39" s="67" t="s">
        <v>181</v>
      </c>
      <c r="C39" s="61">
        <f>0</f>
        <v>0</v>
      </c>
      <c r="D39" s="62">
        <f>0</f>
        <v>0</v>
      </c>
      <c r="E39" s="62">
        <f>0</f>
        <v>0</v>
      </c>
      <c r="F39" s="63">
        <f>0</f>
        <v>0</v>
      </c>
      <c r="G39" s="64">
        <f>0</f>
        <v>0</v>
      </c>
      <c r="H39" s="65">
        <f>0</f>
        <v>0</v>
      </c>
      <c r="I39" s="65">
        <f>0</f>
        <v>0</v>
      </c>
      <c r="J39" s="65">
        <f>0</f>
        <v>0</v>
      </c>
      <c r="K39" s="65">
        <f>0</f>
        <v>0</v>
      </c>
      <c r="L39" s="65">
        <f>0</f>
        <v>0</v>
      </c>
      <c r="M39" s="65">
        <f>0</f>
        <v>0</v>
      </c>
      <c r="N39" s="65">
        <f>0</f>
        <v>0</v>
      </c>
      <c r="O39" s="65">
        <f>0</f>
        <v>0</v>
      </c>
      <c r="P39" s="65">
        <f>0</f>
        <v>0</v>
      </c>
      <c r="Q39" s="65">
        <f>0</f>
        <v>0</v>
      </c>
      <c r="R39" s="65">
        <f>0</f>
        <v>0</v>
      </c>
      <c r="S39" s="65">
        <f>0</f>
        <v>0</v>
      </c>
    </row>
    <row r="40" spans="1:19" ht="47.25" customHeight="1">
      <c r="A40" s="59" t="s">
        <v>182</v>
      </c>
      <c r="B40" s="67" t="s">
        <v>183</v>
      </c>
      <c r="C40" s="61">
        <f>2000000</f>
        <v>2000000</v>
      </c>
      <c r="D40" s="62">
        <f>2000000</f>
        <v>2000000</v>
      </c>
      <c r="E40" s="62">
        <f>2000000</f>
        <v>2000000</v>
      </c>
      <c r="F40" s="63">
        <f>2000006</f>
        <v>2000006</v>
      </c>
      <c r="G40" s="64">
        <f>0</f>
        <v>0</v>
      </c>
      <c r="H40" s="65">
        <f>0</f>
        <v>0</v>
      </c>
      <c r="I40" s="65">
        <f>0</f>
        <v>0</v>
      </c>
      <c r="J40" s="65">
        <f>0</f>
        <v>0</v>
      </c>
      <c r="K40" s="65">
        <f>0</f>
        <v>0</v>
      </c>
      <c r="L40" s="65">
        <f>0</f>
        <v>0</v>
      </c>
      <c r="M40" s="65">
        <f>0</f>
        <v>0</v>
      </c>
      <c r="N40" s="65">
        <f>0</f>
        <v>0</v>
      </c>
      <c r="O40" s="65">
        <f>0</f>
        <v>0</v>
      </c>
      <c r="P40" s="65">
        <f>0</f>
        <v>0</v>
      </c>
      <c r="Q40" s="65">
        <f>0</f>
        <v>0</v>
      </c>
      <c r="R40" s="65">
        <f>0</f>
        <v>0</v>
      </c>
      <c r="S40" s="65">
        <f>0</f>
        <v>0</v>
      </c>
    </row>
    <row r="41" spans="1:19" ht="18" customHeight="1">
      <c r="A41" s="59" t="s">
        <v>184</v>
      </c>
      <c r="B41" s="60" t="s">
        <v>185</v>
      </c>
      <c r="C41" s="61">
        <f>0</f>
        <v>0</v>
      </c>
      <c r="D41" s="62">
        <f>0</f>
        <v>0</v>
      </c>
      <c r="E41" s="62">
        <f>0</f>
        <v>0</v>
      </c>
      <c r="F41" s="63">
        <f>0</f>
        <v>0</v>
      </c>
      <c r="G41" s="64">
        <f>0</f>
        <v>0</v>
      </c>
      <c r="H41" s="65">
        <f>0</f>
        <v>0</v>
      </c>
      <c r="I41" s="65">
        <f>0</f>
        <v>0</v>
      </c>
      <c r="J41" s="65">
        <f>0</f>
        <v>0</v>
      </c>
      <c r="K41" s="65">
        <f>0</f>
        <v>0</v>
      </c>
      <c r="L41" s="65">
        <f>0</f>
        <v>0</v>
      </c>
      <c r="M41" s="65">
        <f>0</f>
        <v>0</v>
      </c>
      <c r="N41" s="65">
        <f>0</f>
        <v>0</v>
      </c>
      <c r="O41" s="65">
        <f>0</f>
        <v>0</v>
      </c>
      <c r="P41" s="65">
        <f>0</f>
        <v>0</v>
      </c>
      <c r="Q41" s="65">
        <f>0</f>
        <v>0</v>
      </c>
      <c r="R41" s="65">
        <f>0</f>
        <v>0</v>
      </c>
      <c r="S41" s="65">
        <f>0</f>
        <v>0</v>
      </c>
    </row>
    <row r="42" spans="1:19" ht="18" customHeight="1">
      <c r="A42" s="53">
        <v>6</v>
      </c>
      <c r="B42" s="95" t="s">
        <v>186</v>
      </c>
      <c r="C42" s="54">
        <f>48024902.57</f>
        <v>48024902.57</v>
      </c>
      <c r="D42" s="55">
        <f>46392864.69</f>
        <v>46392864.689999998</v>
      </c>
      <c r="E42" s="55">
        <f>50127168</f>
        <v>50127168</v>
      </c>
      <c r="F42" s="56">
        <f>50127167.81</f>
        <v>50127167.810000002</v>
      </c>
      <c r="G42" s="57">
        <f>51474136</f>
        <v>51474136</v>
      </c>
      <c r="H42" s="58">
        <f>49564762</f>
        <v>49564762</v>
      </c>
      <c r="I42" s="58">
        <f>44168000</f>
        <v>44168000</v>
      </c>
      <c r="J42" s="58">
        <f>39226000</f>
        <v>39226000</v>
      </c>
      <c r="K42" s="58">
        <f>34584000</f>
        <v>34584000</v>
      </c>
      <c r="L42" s="58">
        <f>29792000</f>
        <v>29792000</v>
      </c>
      <c r="M42" s="58">
        <f>24800000</f>
        <v>24800000</v>
      </c>
      <c r="N42" s="58">
        <f>20100000</f>
        <v>20100000</v>
      </c>
      <c r="O42" s="58">
        <f>15400000</f>
        <v>15400000</v>
      </c>
      <c r="P42" s="58">
        <f>10700000</f>
        <v>10700000</v>
      </c>
      <c r="Q42" s="58">
        <f>6700000</f>
        <v>6700000</v>
      </c>
      <c r="R42" s="58">
        <f>2900000</f>
        <v>2900000</v>
      </c>
      <c r="S42" s="58">
        <f>0</f>
        <v>0</v>
      </c>
    </row>
    <row r="43" spans="1:19" ht="76.5" customHeight="1">
      <c r="A43" s="53">
        <v>7</v>
      </c>
      <c r="B43" s="95" t="s">
        <v>187</v>
      </c>
      <c r="C43" s="54">
        <f>3273809.57</f>
        <v>3273809.57</v>
      </c>
      <c r="D43" s="55">
        <f>2619047.69</f>
        <v>2619047.69</v>
      </c>
      <c r="E43" s="55">
        <f>1964286</f>
        <v>1964286</v>
      </c>
      <c r="F43" s="56">
        <f>1964285.81</f>
        <v>1964285.81</v>
      </c>
      <c r="G43" s="57">
        <f>1309524</f>
        <v>1309524</v>
      </c>
      <c r="H43" s="58">
        <f>654762</f>
        <v>654762</v>
      </c>
      <c r="I43" s="58">
        <f>0</f>
        <v>0</v>
      </c>
      <c r="J43" s="58">
        <f>0</f>
        <v>0</v>
      </c>
      <c r="K43" s="58">
        <f>0</f>
        <v>0</v>
      </c>
      <c r="L43" s="58">
        <f>0</f>
        <v>0</v>
      </c>
      <c r="M43" s="58">
        <f>0</f>
        <v>0</v>
      </c>
      <c r="N43" s="58">
        <f>0</f>
        <v>0</v>
      </c>
      <c r="O43" s="58">
        <f>0</f>
        <v>0</v>
      </c>
      <c r="P43" s="58">
        <f>0</f>
        <v>0</v>
      </c>
      <c r="Q43" s="58">
        <f>0</f>
        <v>0</v>
      </c>
      <c r="R43" s="58">
        <f>0</f>
        <v>0</v>
      </c>
      <c r="S43" s="58">
        <f>0</f>
        <v>0</v>
      </c>
    </row>
    <row r="44" spans="1:19" ht="34.5" customHeight="1">
      <c r="A44" s="53">
        <v>8</v>
      </c>
      <c r="B44" s="95" t="s">
        <v>188</v>
      </c>
      <c r="C44" s="69" t="s">
        <v>189</v>
      </c>
      <c r="D44" s="70" t="s">
        <v>189</v>
      </c>
      <c r="E44" s="70" t="s">
        <v>189</v>
      </c>
      <c r="F44" s="71" t="s">
        <v>189</v>
      </c>
      <c r="G44" s="72" t="s">
        <v>189</v>
      </c>
      <c r="H44" s="73" t="s">
        <v>189</v>
      </c>
      <c r="I44" s="73" t="s">
        <v>189</v>
      </c>
      <c r="J44" s="73" t="s">
        <v>189</v>
      </c>
      <c r="K44" s="73" t="s">
        <v>189</v>
      </c>
      <c r="L44" s="73" t="s">
        <v>189</v>
      </c>
      <c r="M44" s="73" t="s">
        <v>189</v>
      </c>
      <c r="N44" s="73" t="s">
        <v>189</v>
      </c>
      <c r="O44" s="73" t="s">
        <v>189</v>
      </c>
      <c r="P44" s="73" t="s">
        <v>189</v>
      </c>
      <c r="Q44" s="73" t="s">
        <v>189</v>
      </c>
      <c r="R44" s="73" t="s">
        <v>189</v>
      </c>
      <c r="S44" s="73" t="s">
        <v>189</v>
      </c>
    </row>
    <row r="45" spans="1:19" ht="37.5" customHeight="1">
      <c r="A45" s="59" t="s">
        <v>190</v>
      </c>
      <c r="B45" s="60" t="s">
        <v>191</v>
      </c>
      <c r="C45" s="61">
        <f>6008937.14</f>
        <v>6008937.1399999997</v>
      </c>
      <c r="D45" s="62">
        <f>11835222.31</f>
        <v>11835222.310000001</v>
      </c>
      <c r="E45" s="62">
        <f>5784662</f>
        <v>5784662</v>
      </c>
      <c r="F45" s="63">
        <f>12233922.28</f>
        <v>12233922.279999999</v>
      </c>
      <c r="G45" s="64">
        <f>5554005</f>
        <v>5554005</v>
      </c>
      <c r="H45" s="65">
        <f>10298297</f>
        <v>10298297</v>
      </c>
      <c r="I45" s="65">
        <f>12600161</f>
        <v>12600161</v>
      </c>
      <c r="J45" s="65">
        <f>14382853</f>
        <v>14382853</v>
      </c>
      <c r="K45" s="65">
        <f>15851963</f>
        <v>15851963</v>
      </c>
      <c r="L45" s="65">
        <f>17024004</f>
        <v>17024004</v>
      </c>
      <c r="M45" s="65">
        <f>18248918</f>
        <v>18248918</v>
      </c>
      <c r="N45" s="65">
        <f>19362016</f>
        <v>19362016</v>
      </c>
      <c r="O45" s="65">
        <f>20350727</f>
        <v>20350727</v>
      </c>
      <c r="P45" s="65">
        <f>21378566</f>
        <v>21378566</v>
      </c>
      <c r="Q45" s="65">
        <f>22265620</f>
        <v>22265620</v>
      </c>
      <c r="R45" s="65">
        <f>23584641</f>
        <v>23584641</v>
      </c>
      <c r="S45" s="65">
        <f>23545474</f>
        <v>23545474</v>
      </c>
    </row>
    <row r="46" spans="1:19" ht="48" customHeight="1">
      <c r="A46" s="59" t="s">
        <v>192</v>
      </c>
      <c r="B46" s="60" t="s">
        <v>193</v>
      </c>
      <c r="C46" s="61">
        <f>9485687.08</f>
        <v>9485687.0800000001</v>
      </c>
      <c r="D46" s="62">
        <f>16301831.23</f>
        <v>16301831.23</v>
      </c>
      <c r="E46" s="62">
        <f>10566966</f>
        <v>10566966</v>
      </c>
      <c r="F46" s="63">
        <f>18724087.64</f>
        <v>18724087.640000001</v>
      </c>
      <c r="G46" s="64">
        <f>8598409</f>
        <v>8598409</v>
      </c>
      <c r="H46" s="65">
        <f>10298297</f>
        <v>10298297</v>
      </c>
      <c r="I46" s="65">
        <f>12600161</f>
        <v>12600161</v>
      </c>
      <c r="J46" s="65">
        <f>14382853</f>
        <v>14382853</v>
      </c>
      <c r="K46" s="65">
        <f>15851963</f>
        <v>15851963</v>
      </c>
      <c r="L46" s="65">
        <f>17024004</f>
        <v>17024004</v>
      </c>
      <c r="M46" s="65">
        <f>18248918</f>
        <v>18248918</v>
      </c>
      <c r="N46" s="65">
        <f>19362016</f>
        <v>19362016</v>
      </c>
      <c r="O46" s="65">
        <f>20350727</f>
        <v>20350727</v>
      </c>
      <c r="P46" s="65">
        <f>21378566</f>
        <v>21378566</v>
      </c>
      <c r="Q46" s="65">
        <f>22265620</f>
        <v>22265620</v>
      </c>
      <c r="R46" s="65">
        <f>23584641</f>
        <v>23584641</v>
      </c>
      <c r="S46" s="65">
        <f>23545474</f>
        <v>23545474</v>
      </c>
    </row>
    <row r="47" spans="1:19" ht="20.25" customHeight="1">
      <c r="A47" s="53">
        <v>9</v>
      </c>
      <c r="B47" s="95" t="s">
        <v>194</v>
      </c>
      <c r="C47" s="69" t="s">
        <v>189</v>
      </c>
      <c r="D47" s="70" t="s">
        <v>189</v>
      </c>
      <c r="E47" s="70" t="s">
        <v>189</v>
      </c>
      <c r="F47" s="71" t="s">
        <v>189</v>
      </c>
      <c r="G47" s="72" t="s">
        <v>189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 t="s">
        <v>189</v>
      </c>
      <c r="N47" s="73" t="s">
        <v>189</v>
      </c>
      <c r="O47" s="73" t="s">
        <v>189</v>
      </c>
      <c r="P47" s="73" t="s">
        <v>189</v>
      </c>
      <c r="Q47" s="73" t="s">
        <v>189</v>
      </c>
      <c r="R47" s="73" t="s">
        <v>189</v>
      </c>
      <c r="S47" s="73" t="s">
        <v>189</v>
      </c>
    </row>
    <row r="48" spans="1:19" ht="97.5" customHeight="1">
      <c r="A48" s="59" t="s">
        <v>195</v>
      </c>
      <c r="B48" s="60" t="s">
        <v>196</v>
      </c>
      <c r="C48" s="74">
        <f>0.0715</f>
        <v>7.1499999999999994E-2</v>
      </c>
      <c r="D48" s="75">
        <f>0.074</f>
        <v>7.3999999999999996E-2</v>
      </c>
      <c r="E48" s="75">
        <f>0.0568</f>
        <v>5.6800000000000003E-2</v>
      </c>
      <c r="F48" s="76">
        <f>0.0558</f>
        <v>5.5800000000000002E-2</v>
      </c>
      <c r="G48" s="77">
        <f>0.0685</f>
        <v>6.8500000000000005E-2</v>
      </c>
      <c r="H48" s="78">
        <f>0.0634</f>
        <v>6.3399999999999998E-2</v>
      </c>
      <c r="I48" s="78">
        <f>0.0579</f>
        <v>5.79E-2</v>
      </c>
      <c r="J48" s="78">
        <f>0.056</f>
        <v>5.6000000000000001E-2</v>
      </c>
      <c r="K48" s="78">
        <f>0.0516</f>
        <v>5.16E-2</v>
      </c>
      <c r="L48" s="78">
        <f>0.0345</f>
        <v>3.4500000000000003E-2</v>
      </c>
      <c r="M48" s="78">
        <f>0.0341</f>
        <v>3.4099999999999998E-2</v>
      </c>
      <c r="N48" s="78">
        <f>0.0308</f>
        <v>3.0800000000000001E-2</v>
      </c>
      <c r="O48" s="78">
        <f>0.0291</f>
        <v>2.9100000000000001E-2</v>
      </c>
      <c r="P48" s="78">
        <f>0.0278</f>
        <v>2.7799999999999998E-2</v>
      </c>
      <c r="Q48" s="78">
        <f>0.0228</f>
        <v>2.2800000000000001E-2</v>
      </c>
      <c r="R48" s="78">
        <f>0.0206</f>
        <v>2.06E-2</v>
      </c>
      <c r="S48" s="78">
        <f>0.015</f>
        <v>1.4999999999999999E-2</v>
      </c>
    </row>
    <row r="49" spans="1:19" ht="93.75" customHeight="1">
      <c r="A49" s="59" t="s">
        <v>197</v>
      </c>
      <c r="B49" s="60" t="s">
        <v>198</v>
      </c>
      <c r="C49" s="74">
        <f>0.0547</f>
        <v>5.4699999999999999E-2</v>
      </c>
      <c r="D49" s="75">
        <f>0.0593</f>
        <v>5.9299999999999999E-2</v>
      </c>
      <c r="E49" s="75">
        <f>0.0432</f>
        <v>4.3200000000000002E-2</v>
      </c>
      <c r="F49" s="76">
        <f>0.0421</f>
        <v>4.2099999999999999E-2</v>
      </c>
      <c r="G49" s="77">
        <f>0.0685</f>
        <v>6.8500000000000005E-2</v>
      </c>
      <c r="H49" s="78">
        <f>0.0634</f>
        <v>6.3399999999999998E-2</v>
      </c>
      <c r="I49" s="78">
        <f>0.0579</f>
        <v>5.79E-2</v>
      </c>
      <c r="J49" s="78">
        <f>0.056</f>
        <v>5.6000000000000001E-2</v>
      </c>
      <c r="K49" s="78">
        <f>0.0516</f>
        <v>5.16E-2</v>
      </c>
      <c r="L49" s="78">
        <f>0.0345</f>
        <v>3.4500000000000003E-2</v>
      </c>
      <c r="M49" s="78">
        <f>0.0341</f>
        <v>3.4099999999999998E-2</v>
      </c>
      <c r="N49" s="78">
        <f>0.0308</f>
        <v>3.0800000000000001E-2</v>
      </c>
      <c r="O49" s="78">
        <f>0.0291</f>
        <v>2.9100000000000001E-2</v>
      </c>
      <c r="P49" s="78">
        <f>0.0278</f>
        <v>2.7799999999999998E-2</v>
      </c>
      <c r="Q49" s="78">
        <f>0.0228</f>
        <v>2.2800000000000001E-2</v>
      </c>
      <c r="R49" s="78">
        <f>0.0206</f>
        <v>2.06E-2</v>
      </c>
      <c r="S49" s="78">
        <f>0.015</f>
        <v>1.4999999999999999E-2</v>
      </c>
    </row>
    <row r="50" spans="1:19" ht="71.25" customHeight="1">
      <c r="A50" s="59" t="s">
        <v>199</v>
      </c>
      <c r="B50" s="60" t="s">
        <v>200</v>
      </c>
      <c r="C50" s="61">
        <f>0</f>
        <v>0</v>
      </c>
      <c r="D50" s="62">
        <f>0</f>
        <v>0</v>
      </c>
      <c r="E50" s="62">
        <f>0</f>
        <v>0</v>
      </c>
      <c r="F50" s="63">
        <f>0</f>
        <v>0</v>
      </c>
      <c r="G50" s="64">
        <f>0</f>
        <v>0</v>
      </c>
      <c r="H50" s="65">
        <f>0</f>
        <v>0</v>
      </c>
      <c r="I50" s="65">
        <f>0</f>
        <v>0</v>
      </c>
      <c r="J50" s="65">
        <f>0</f>
        <v>0</v>
      </c>
      <c r="K50" s="65">
        <f>0</f>
        <v>0</v>
      </c>
      <c r="L50" s="65">
        <f>0</f>
        <v>0</v>
      </c>
      <c r="M50" s="65">
        <f>0</f>
        <v>0</v>
      </c>
      <c r="N50" s="65">
        <f>0</f>
        <v>0</v>
      </c>
      <c r="O50" s="65">
        <f>0</f>
        <v>0</v>
      </c>
      <c r="P50" s="65">
        <f>0</f>
        <v>0</v>
      </c>
      <c r="Q50" s="65">
        <f>0</f>
        <v>0</v>
      </c>
      <c r="R50" s="65">
        <f>0</f>
        <v>0</v>
      </c>
      <c r="S50" s="65">
        <f>0</f>
        <v>0</v>
      </c>
    </row>
    <row r="51" spans="1:19" ht="96" customHeight="1">
      <c r="A51" s="59" t="s">
        <v>201</v>
      </c>
      <c r="B51" s="60" t="s">
        <v>202</v>
      </c>
      <c r="C51" s="74">
        <f>0.0547</f>
        <v>5.4699999999999999E-2</v>
      </c>
      <c r="D51" s="75">
        <f>0.0593</f>
        <v>5.9299999999999999E-2</v>
      </c>
      <c r="E51" s="75">
        <f>0.0432</f>
        <v>4.3200000000000002E-2</v>
      </c>
      <c r="F51" s="76">
        <f>0.0421</f>
        <v>4.2099999999999999E-2</v>
      </c>
      <c r="G51" s="77">
        <f>0.0685</f>
        <v>6.8500000000000005E-2</v>
      </c>
      <c r="H51" s="78">
        <f>0.0634</f>
        <v>6.3399999999999998E-2</v>
      </c>
      <c r="I51" s="78">
        <f>0.0579</f>
        <v>5.79E-2</v>
      </c>
      <c r="J51" s="78">
        <f>0.056</f>
        <v>5.6000000000000001E-2</v>
      </c>
      <c r="K51" s="78">
        <f>0.0516</f>
        <v>5.16E-2</v>
      </c>
      <c r="L51" s="78">
        <f>0.0345</f>
        <v>3.4500000000000003E-2</v>
      </c>
      <c r="M51" s="78">
        <f>0.0341</f>
        <v>3.4099999999999998E-2</v>
      </c>
      <c r="N51" s="78">
        <f>0.0308</f>
        <v>3.0800000000000001E-2</v>
      </c>
      <c r="O51" s="78">
        <f>0.0291</f>
        <v>2.9100000000000001E-2</v>
      </c>
      <c r="P51" s="78">
        <f>0.0278</f>
        <v>2.7799999999999998E-2</v>
      </c>
      <c r="Q51" s="78">
        <f>0.0228</f>
        <v>2.2800000000000001E-2</v>
      </c>
      <c r="R51" s="78">
        <f>0.0206</f>
        <v>2.06E-2</v>
      </c>
      <c r="S51" s="78">
        <f>0.015</f>
        <v>1.4999999999999999E-2</v>
      </c>
    </row>
    <row r="52" spans="1:19" ht="76.5" customHeight="1">
      <c r="A52" s="79" t="s">
        <v>203</v>
      </c>
      <c r="B52" s="80" t="s">
        <v>204</v>
      </c>
      <c r="C52" s="74">
        <f>0.0912</f>
        <v>9.1200000000000003E-2</v>
      </c>
      <c r="D52" s="75">
        <f>0.123</f>
        <v>0.123</v>
      </c>
      <c r="E52" s="75">
        <f>0.0726</f>
        <v>7.2599999999999998E-2</v>
      </c>
      <c r="F52" s="76">
        <f>0.0906</f>
        <v>9.06E-2</v>
      </c>
      <c r="G52" s="77">
        <f>0.0704</f>
        <v>7.0400000000000004E-2</v>
      </c>
      <c r="H52" s="78">
        <f>0.0982</f>
        <v>9.8199999999999996E-2</v>
      </c>
      <c r="I52" s="78">
        <f>0.09</f>
        <v>0.09</v>
      </c>
      <c r="J52" s="78">
        <f>0.0958</f>
        <v>9.5799999999999996E-2</v>
      </c>
      <c r="K52" s="78">
        <f>0.1012</f>
        <v>0.1012</v>
      </c>
      <c r="L52" s="78">
        <f>0.1052</f>
        <v>0.1052</v>
      </c>
      <c r="M52" s="78">
        <f>0.1095</f>
        <v>0.1095</v>
      </c>
      <c r="N52" s="78">
        <f>0.114</f>
        <v>0.114</v>
      </c>
      <c r="O52" s="78">
        <f>0.1154</f>
        <v>0.1154</v>
      </c>
      <c r="P52" s="78">
        <f>0.118</f>
        <v>0.11799999999999999</v>
      </c>
      <c r="Q52" s="78">
        <f>0.1196</f>
        <v>0.1196</v>
      </c>
      <c r="R52" s="78">
        <f>0.1234</f>
        <v>0.1234</v>
      </c>
      <c r="S52" s="78">
        <f>0.1201</f>
        <v>0.1201</v>
      </c>
    </row>
    <row r="53" spans="1:19" ht="85.5" customHeight="1">
      <c r="A53" s="59" t="s">
        <v>205</v>
      </c>
      <c r="B53" s="60" t="s">
        <v>206</v>
      </c>
      <c r="C53" s="69" t="s">
        <v>189</v>
      </c>
      <c r="D53" s="70" t="s">
        <v>189</v>
      </c>
      <c r="E53" s="70" t="s">
        <v>189</v>
      </c>
      <c r="F53" s="71" t="s">
        <v>189</v>
      </c>
      <c r="G53" s="77">
        <f>0.0956</f>
        <v>9.5600000000000004E-2</v>
      </c>
      <c r="H53" s="78">
        <f>0.0887</f>
        <v>8.8700000000000001E-2</v>
      </c>
      <c r="I53" s="78">
        <f>0.0804</f>
        <v>8.0399999999999999E-2</v>
      </c>
      <c r="J53" s="78">
        <f>0.0862</f>
        <v>8.6199999999999999E-2</v>
      </c>
      <c r="K53" s="78">
        <f>0.0947</f>
        <v>9.4700000000000006E-2</v>
      </c>
      <c r="L53" s="78">
        <f>0.0957</f>
        <v>9.5699999999999993E-2</v>
      </c>
      <c r="M53" s="78">
        <f>0.1007</f>
        <v>0.1007</v>
      </c>
      <c r="N53" s="78">
        <f>0.1053</f>
        <v>0.1053</v>
      </c>
      <c r="O53" s="78">
        <f>0.1096</f>
        <v>0.1096</v>
      </c>
      <c r="P53" s="78">
        <f>0.113</f>
        <v>0.113</v>
      </c>
      <c r="Q53" s="78">
        <f>0.1158</f>
        <v>0.1158</v>
      </c>
      <c r="R53" s="78">
        <f>0.1177</f>
        <v>0.1177</v>
      </c>
      <c r="S53" s="78">
        <f>0.1203</f>
        <v>0.1203</v>
      </c>
    </row>
    <row r="54" spans="1:19" ht="84">
      <c r="A54" s="59" t="s">
        <v>207</v>
      </c>
      <c r="B54" s="66" t="s">
        <v>208</v>
      </c>
      <c r="C54" s="69" t="s">
        <v>189</v>
      </c>
      <c r="D54" s="70" t="s">
        <v>189</v>
      </c>
      <c r="E54" s="70" t="s">
        <v>189</v>
      </c>
      <c r="F54" s="71" t="s">
        <v>189</v>
      </c>
      <c r="G54" s="77">
        <f>0.1016</f>
        <v>0.1016</v>
      </c>
      <c r="H54" s="78">
        <f>0.0947</f>
        <v>9.4700000000000006E-2</v>
      </c>
      <c r="I54" s="78">
        <f>0.0864</f>
        <v>8.6400000000000005E-2</v>
      </c>
      <c r="J54" s="78">
        <f>0.0862</f>
        <v>8.6199999999999999E-2</v>
      </c>
      <c r="K54" s="78">
        <f>0.0947</f>
        <v>9.4700000000000006E-2</v>
      </c>
      <c r="L54" s="78">
        <f>0.0957</f>
        <v>9.5699999999999993E-2</v>
      </c>
      <c r="M54" s="78">
        <f>0.1007</f>
        <v>0.1007</v>
      </c>
      <c r="N54" s="78">
        <f>0.1053</f>
        <v>0.1053</v>
      </c>
      <c r="O54" s="78">
        <f>0.1096</f>
        <v>0.1096</v>
      </c>
      <c r="P54" s="78">
        <f>0.113</f>
        <v>0.113</v>
      </c>
      <c r="Q54" s="78">
        <f>0.1158</f>
        <v>0.1158</v>
      </c>
      <c r="R54" s="78">
        <f>0.1177</f>
        <v>0.1177</v>
      </c>
      <c r="S54" s="78">
        <f>0.1203</f>
        <v>0.1203</v>
      </c>
    </row>
    <row r="55" spans="1:19" ht="107.25" customHeight="1">
      <c r="A55" s="59" t="s">
        <v>209</v>
      </c>
      <c r="B55" s="60" t="s">
        <v>210</v>
      </c>
      <c r="C55" s="69" t="s">
        <v>189</v>
      </c>
      <c r="D55" s="70" t="s">
        <v>189</v>
      </c>
      <c r="E55" s="70" t="s">
        <v>189</v>
      </c>
      <c r="F55" s="71" t="s">
        <v>189</v>
      </c>
      <c r="G55" s="81" t="str">
        <f>IF(G51&lt;=G53,"Spełniona","Nie spełniona")</f>
        <v>Spełniona</v>
      </c>
      <c r="H55" s="82" t="str">
        <f t="shared" ref="H55:S55" si="3">IF(H51&lt;=H53,"Spełniona","Nie spełniona")</f>
        <v>Spełniona</v>
      </c>
      <c r="I55" s="82" t="str">
        <f t="shared" si="3"/>
        <v>Spełniona</v>
      </c>
      <c r="J55" s="82" t="str">
        <f t="shared" si="3"/>
        <v>Spełniona</v>
      </c>
      <c r="K55" s="82" t="str">
        <f t="shared" si="3"/>
        <v>Spełniona</v>
      </c>
      <c r="L55" s="82" t="str">
        <f t="shared" si="3"/>
        <v>Spełniona</v>
      </c>
      <c r="M55" s="82" t="str">
        <f t="shared" si="3"/>
        <v>Spełniona</v>
      </c>
      <c r="N55" s="82" t="str">
        <f t="shared" si="3"/>
        <v>Spełniona</v>
      </c>
      <c r="O55" s="82" t="str">
        <f t="shared" si="3"/>
        <v>Spełniona</v>
      </c>
      <c r="P55" s="82" t="str">
        <f t="shared" si="3"/>
        <v>Spełniona</v>
      </c>
      <c r="Q55" s="82" t="str">
        <f t="shared" si="3"/>
        <v>Spełniona</v>
      </c>
      <c r="R55" s="82" t="str">
        <f t="shared" si="3"/>
        <v>Spełniona</v>
      </c>
      <c r="S55" s="82" t="str">
        <f t="shared" si="3"/>
        <v>Spełniona</v>
      </c>
    </row>
    <row r="56" spans="1:19" ht="105.75" customHeight="1">
      <c r="A56" s="59" t="s">
        <v>211</v>
      </c>
      <c r="B56" s="66" t="s">
        <v>212</v>
      </c>
      <c r="C56" s="69" t="s">
        <v>189</v>
      </c>
      <c r="D56" s="70" t="s">
        <v>189</v>
      </c>
      <c r="E56" s="70" t="s">
        <v>189</v>
      </c>
      <c r="F56" s="71" t="s">
        <v>189</v>
      </c>
      <c r="G56" s="81" t="str">
        <f>IF(G51&lt;=G54,"Spełniona","Nie spełniona")</f>
        <v>Spełniona</v>
      </c>
      <c r="H56" s="82" t="str">
        <f t="shared" ref="H56:S56" si="4">IF(H51&lt;=H54,"Spełniona","Nie spełniona")</f>
        <v>Spełniona</v>
      </c>
      <c r="I56" s="82" t="str">
        <f t="shared" si="4"/>
        <v>Spełniona</v>
      </c>
      <c r="J56" s="82" t="str">
        <f t="shared" si="4"/>
        <v>Spełniona</v>
      </c>
      <c r="K56" s="82" t="str">
        <f t="shared" si="4"/>
        <v>Spełniona</v>
      </c>
      <c r="L56" s="82" t="str">
        <f t="shared" si="4"/>
        <v>Spełniona</v>
      </c>
      <c r="M56" s="82" t="str">
        <f t="shared" si="4"/>
        <v>Spełniona</v>
      </c>
      <c r="N56" s="82" t="str">
        <f t="shared" si="4"/>
        <v>Spełniona</v>
      </c>
      <c r="O56" s="82" t="str">
        <f t="shared" si="4"/>
        <v>Spełniona</v>
      </c>
      <c r="P56" s="82" t="str">
        <f t="shared" si="4"/>
        <v>Spełniona</v>
      </c>
      <c r="Q56" s="82" t="str">
        <f t="shared" si="4"/>
        <v>Spełniona</v>
      </c>
      <c r="R56" s="82" t="str">
        <f t="shared" si="4"/>
        <v>Spełniona</v>
      </c>
      <c r="S56" s="82" t="str">
        <f t="shared" si="4"/>
        <v>Spełniona</v>
      </c>
    </row>
    <row r="57" spans="1:19" ht="34.5" customHeight="1">
      <c r="A57" s="53">
        <v>10</v>
      </c>
      <c r="B57" s="95" t="s">
        <v>213</v>
      </c>
      <c r="C57" s="54">
        <f>0</f>
        <v>0</v>
      </c>
      <c r="D57" s="55">
        <f>0</f>
        <v>0</v>
      </c>
      <c r="E57" s="55">
        <f>0</f>
        <v>0</v>
      </c>
      <c r="F57" s="56">
        <f>0</f>
        <v>0</v>
      </c>
      <c r="G57" s="57">
        <f>0</f>
        <v>0</v>
      </c>
      <c r="H57" s="58">
        <f>1254612</f>
        <v>1254612</v>
      </c>
      <c r="I57" s="58">
        <f>4742000</f>
        <v>4742000</v>
      </c>
      <c r="J57" s="58">
        <f>4942000</f>
        <v>4942000</v>
      </c>
      <c r="K57" s="58">
        <f>4642000</f>
        <v>4642000</v>
      </c>
      <c r="L57" s="58">
        <f>4792000</f>
        <v>4792000</v>
      </c>
      <c r="M57" s="58">
        <f>4992000</f>
        <v>4992000</v>
      </c>
      <c r="N57" s="58">
        <f t="shared" ref="N57:P58" si="5">4700000</f>
        <v>4700000</v>
      </c>
      <c r="O57" s="58">
        <f t="shared" si="5"/>
        <v>4700000</v>
      </c>
      <c r="P57" s="58">
        <f t="shared" si="5"/>
        <v>4700000</v>
      </c>
      <c r="Q57" s="58">
        <f>4000000</f>
        <v>4000000</v>
      </c>
      <c r="R57" s="58">
        <f>3800000</f>
        <v>3800000</v>
      </c>
      <c r="S57" s="58">
        <f>2900000</f>
        <v>2900000</v>
      </c>
    </row>
    <row r="58" spans="1:19" ht="33" customHeight="1">
      <c r="A58" s="59" t="s">
        <v>214</v>
      </c>
      <c r="B58" s="60" t="s">
        <v>215</v>
      </c>
      <c r="C58" s="61">
        <f>0</f>
        <v>0</v>
      </c>
      <c r="D58" s="62">
        <f>0</f>
        <v>0</v>
      </c>
      <c r="E58" s="62">
        <f>0</f>
        <v>0</v>
      </c>
      <c r="F58" s="63">
        <f>0</f>
        <v>0</v>
      </c>
      <c r="G58" s="64">
        <f>0</f>
        <v>0</v>
      </c>
      <c r="H58" s="65">
        <f>1254612</f>
        <v>1254612</v>
      </c>
      <c r="I58" s="65">
        <f>4742000</f>
        <v>4742000</v>
      </c>
      <c r="J58" s="65">
        <f>4942000</f>
        <v>4942000</v>
      </c>
      <c r="K58" s="65">
        <f>4642000</f>
        <v>4642000</v>
      </c>
      <c r="L58" s="65">
        <f>4792000</f>
        <v>4792000</v>
      </c>
      <c r="M58" s="65">
        <f>4992000</f>
        <v>4992000</v>
      </c>
      <c r="N58" s="65">
        <f t="shared" si="5"/>
        <v>4700000</v>
      </c>
      <c r="O58" s="65">
        <f t="shared" si="5"/>
        <v>4700000</v>
      </c>
      <c r="P58" s="65">
        <f t="shared" si="5"/>
        <v>4700000</v>
      </c>
      <c r="Q58" s="65">
        <f>4000000</f>
        <v>4000000</v>
      </c>
      <c r="R58" s="65">
        <f>3800000</f>
        <v>3800000</v>
      </c>
      <c r="S58" s="65">
        <f>2900000</f>
        <v>2900000</v>
      </c>
    </row>
    <row r="59" spans="1:19" ht="32.25" customHeight="1">
      <c r="A59" s="53">
        <v>11</v>
      </c>
      <c r="B59" s="95" t="s">
        <v>216</v>
      </c>
      <c r="C59" s="69" t="s">
        <v>189</v>
      </c>
      <c r="D59" s="70" t="s">
        <v>189</v>
      </c>
      <c r="E59" s="70" t="s">
        <v>189</v>
      </c>
      <c r="F59" s="71" t="s">
        <v>189</v>
      </c>
      <c r="G59" s="72" t="s">
        <v>189</v>
      </c>
      <c r="H59" s="73" t="s">
        <v>189</v>
      </c>
      <c r="I59" s="73" t="s">
        <v>189</v>
      </c>
      <c r="J59" s="73" t="s">
        <v>189</v>
      </c>
      <c r="K59" s="73" t="s">
        <v>189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 t="s">
        <v>189</v>
      </c>
      <c r="Q59" s="73" t="s">
        <v>189</v>
      </c>
      <c r="R59" s="73" t="s">
        <v>189</v>
      </c>
      <c r="S59" s="73" t="s">
        <v>189</v>
      </c>
    </row>
    <row r="60" spans="1:19" ht="32.25" customHeight="1">
      <c r="A60" s="59" t="s">
        <v>217</v>
      </c>
      <c r="B60" s="60" t="s">
        <v>218</v>
      </c>
      <c r="C60" s="61">
        <f>64574748.58</f>
        <v>64574748.579999998</v>
      </c>
      <c r="D60" s="62">
        <f>67696183.63</f>
        <v>67696183.629999995</v>
      </c>
      <c r="E60" s="62">
        <f>73616808</f>
        <v>73616808</v>
      </c>
      <c r="F60" s="63">
        <f>71787197.01</f>
        <v>71787197.010000005</v>
      </c>
      <c r="G60" s="64">
        <f>79811802</f>
        <v>79811802</v>
      </c>
      <c r="H60" s="65">
        <f>78601542</f>
        <v>78601542</v>
      </c>
      <c r="I60" s="65">
        <f>80566581</f>
        <v>80566581</v>
      </c>
      <c r="J60" s="65">
        <f>82580746</f>
        <v>82580746</v>
      </c>
      <c r="K60" s="65">
        <f>84645265</f>
        <v>84645265</v>
      </c>
      <c r="L60" s="65">
        <f>86761397</f>
        <v>86761397</v>
      </c>
      <c r="M60" s="65">
        <f>88930432</f>
        <v>88930432</v>
      </c>
      <c r="N60" s="65">
        <f>91153693</f>
        <v>91153693</v>
      </c>
      <c r="O60" s="65">
        <f>93432535</f>
        <v>93432535</v>
      </c>
      <c r="P60" s="65">
        <f>95768348</f>
        <v>95768348</v>
      </c>
      <c r="Q60" s="65">
        <f>98162557</f>
        <v>98162557</v>
      </c>
      <c r="R60" s="65">
        <f>100616621</f>
        <v>100616621</v>
      </c>
      <c r="S60" s="65">
        <f>103132037</f>
        <v>103132037</v>
      </c>
    </row>
    <row r="61" spans="1:19" ht="33.75" customHeight="1">
      <c r="A61" s="59" t="s">
        <v>219</v>
      </c>
      <c r="B61" s="60" t="s">
        <v>220</v>
      </c>
      <c r="C61" s="61">
        <f>9861886.2</f>
        <v>9861886.1999999993</v>
      </c>
      <c r="D61" s="62">
        <f>9942354.83</f>
        <v>9942354.8300000001</v>
      </c>
      <c r="E61" s="62">
        <f>11924128</f>
        <v>11924128</v>
      </c>
      <c r="F61" s="63">
        <f>10703885.07</f>
        <v>10703885.07</v>
      </c>
      <c r="G61" s="64">
        <f>12060969</f>
        <v>12060969</v>
      </c>
      <c r="H61" s="65">
        <f>13062250</f>
        <v>13062250</v>
      </c>
      <c r="I61" s="65">
        <f>13388806</f>
        <v>13388806</v>
      </c>
      <c r="J61" s="65">
        <f>13723526</f>
        <v>13723526</v>
      </c>
      <c r="K61" s="65">
        <f>14066614</f>
        <v>14066614</v>
      </c>
      <c r="L61" s="65">
        <f>14418279</f>
        <v>14418279</v>
      </c>
      <c r="M61" s="65">
        <f>14778736</f>
        <v>14778736</v>
      </c>
      <c r="N61" s="65">
        <f>15148204</f>
        <v>15148204</v>
      </c>
      <c r="O61" s="65">
        <f>15526909</f>
        <v>15526909</v>
      </c>
      <c r="P61" s="65">
        <f>15915082</f>
        <v>15915082</v>
      </c>
      <c r="Q61" s="65">
        <f>16312959</f>
        <v>16312959</v>
      </c>
      <c r="R61" s="65">
        <f>16720783</f>
        <v>16720783</v>
      </c>
      <c r="S61" s="65">
        <f>17138803</f>
        <v>17138803</v>
      </c>
    </row>
    <row r="62" spans="1:19" ht="29.25" customHeight="1">
      <c r="A62" s="59" t="s">
        <v>221</v>
      </c>
      <c r="B62" s="60" t="s">
        <v>222</v>
      </c>
      <c r="C62" s="61">
        <f>4693324.07</f>
        <v>4693324.07</v>
      </c>
      <c r="D62" s="62">
        <f>19651893.88</f>
        <v>19651893.879999999</v>
      </c>
      <c r="E62" s="62">
        <f>29773946</f>
        <v>29773946</v>
      </c>
      <c r="F62" s="63">
        <f>28121021.88</f>
        <v>28121021.879999999</v>
      </c>
      <c r="G62" s="64">
        <f>13683837</f>
        <v>13683837</v>
      </c>
      <c r="H62" s="65">
        <f>15850084</f>
        <v>15850084</v>
      </c>
      <c r="I62" s="65">
        <f>9891363</f>
        <v>9891363</v>
      </c>
      <c r="J62" s="65">
        <f>7772437</f>
        <v>7772437</v>
      </c>
      <c r="K62" s="65">
        <f>903540</f>
        <v>903540</v>
      </c>
      <c r="L62" s="65">
        <f>0</f>
        <v>0</v>
      </c>
      <c r="M62" s="65">
        <f>0</f>
        <v>0</v>
      </c>
      <c r="N62" s="65">
        <f>0</f>
        <v>0</v>
      </c>
      <c r="O62" s="65">
        <f>0</f>
        <v>0</v>
      </c>
      <c r="P62" s="65">
        <f>0</f>
        <v>0</v>
      </c>
      <c r="Q62" s="65">
        <f>0</f>
        <v>0</v>
      </c>
      <c r="R62" s="65">
        <f>0</f>
        <v>0</v>
      </c>
      <c r="S62" s="65">
        <f>0</f>
        <v>0</v>
      </c>
    </row>
    <row r="63" spans="1:19" ht="18" customHeight="1">
      <c r="A63" s="59" t="s">
        <v>223</v>
      </c>
      <c r="B63" s="66" t="s">
        <v>224</v>
      </c>
      <c r="C63" s="61">
        <f>860587.73</f>
        <v>860587.73</v>
      </c>
      <c r="D63" s="62">
        <f>1317922.84</f>
        <v>1317922.8400000001</v>
      </c>
      <c r="E63" s="62">
        <f>2544849</f>
        <v>2544849</v>
      </c>
      <c r="F63" s="63">
        <f>1763345.01</f>
        <v>1763345.01</v>
      </c>
      <c r="G63" s="64">
        <f>3640999</f>
        <v>3640999</v>
      </c>
      <c r="H63" s="65">
        <f>2425084</f>
        <v>2425084</v>
      </c>
      <c r="I63" s="65">
        <f>1891363</f>
        <v>1891363</v>
      </c>
      <c r="J63" s="65">
        <f>1022437</f>
        <v>1022437</v>
      </c>
      <c r="K63" s="65">
        <f>903540</f>
        <v>903540</v>
      </c>
      <c r="L63" s="65">
        <f>0</f>
        <v>0</v>
      </c>
      <c r="M63" s="65">
        <f>0</f>
        <v>0</v>
      </c>
      <c r="N63" s="65">
        <f>0</f>
        <v>0</v>
      </c>
      <c r="O63" s="65">
        <f>0</f>
        <v>0</v>
      </c>
      <c r="P63" s="65">
        <f>0</f>
        <v>0</v>
      </c>
      <c r="Q63" s="65">
        <f>0</f>
        <v>0</v>
      </c>
      <c r="R63" s="65">
        <f>0</f>
        <v>0</v>
      </c>
      <c r="S63" s="65">
        <f>0</f>
        <v>0</v>
      </c>
    </row>
    <row r="64" spans="1:19" ht="18" customHeight="1">
      <c r="A64" s="59" t="s">
        <v>225</v>
      </c>
      <c r="B64" s="66" t="s">
        <v>226</v>
      </c>
      <c r="C64" s="61">
        <f>3832736.34</f>
        <v>3832736.34</v>
      </c>
      <c r="D64" s="62">
        <f>18333971.04</f>
        <v>18333971.039999999</v>
      </c>
      <c r="E64" s="62">
        <f>27229097</f>
        <v>27229097</v>
      </c>
      <c r="F64" s="63">
        <f>26357676.87</f>
        <v>26357676.870000001</v>
      </c>
      <c r="G64" s="64">
        <f>10042838</f>
        <v>10042838</v>
      </c>
      <c r="H64" s="65">
        <f>13425000</f>
        <v>13425000</v>
      </c>
      <c r="I64" s="65">
        <f>8000000</f>
        <v>8000000</v>
      </c>
      <c r="J64" s="65">
        <f>6750000</f>
        <v>6750000</v>
      </c>
      <c r="K64" s="65">
        <f>0</f>
        <v>0</v>
      </c>
      <c r="L64" s="65">
        <f>0</f>
        <v>0</v>
      </c>
      <c r="M64" s="65">
        <f>0</f>
        <v>0</v>
      </c>
      <c r="N64" s="65">
        <f>0</f>
        <v>0</v>
      </c>
      <c r="O64" s="65">
        <f>0</f>
        <v>0</v>
      </c>
      <c r="P64" s="65">
        <f>0</f>
        <v>0</v>
      </c>
      <c r="Q64" s="65">
        <f>0</f>
        <v>0</v>
      </c>
      <c r="R64" s="65">
        <f>0</f>
        <v>0</v>
      </c>
      <c r="S64" s="65">
        <f>0</f>
        <v>0</v>
      </c>
    </row>
    <row r="65" spans="1:19" ht="18" customHeight="1">
      <c r="A65" s="59" t="s">
        <v>227</v>
      </c>
      <c r="B65" s="60" t="s">
        <v>228</v>
      </c>
      <c r="C65" s="61">
        <f>3638806.34</f>
        <v>3638806.34</v>
      </c>
      <c r="D65" s="62">
        <f>16269990.03</f>
        <v>16269990.029999999</v>
      </c>
      <c r="E65" s="62">
        <f>26836967</f>
        <v>26836967</v>
      </c>
      <c r="F65" s="63">
        <f>26044576.95</f>
        <v>26044576.949999999</v>
      </c>
      <c r="G65" s="64">
        <f>5452266</f>
        <v>5452266</v>
      </c>
      <c r="H65" s="65">
        <f>13425000</f>
        <v>13425000</v>
      </c>
      <c r="I65" s="65">
        <f>8000000</f>
        <v>8000000</v>
      </c>
      <c r="J65" s="65">
        <f>6750000</f>
        <v>6750000</v>
      </c>
      <c r="K65" s="65">
        <f>0</f>
        <v>0</v>
      </c>
      <c r="L65" s="65">
        <f>0</f>
        <v>0</v>
      </c>
      <c r="M65" s="65">
        <f>0</f>
        <v>0</v>
      </c>
      <c r="N65" s="65">
        <f>0</f>
        <v>0</v>
      </c>
      <c r="O65" s="65">
        <f>0</f>
        <v>0</v>
      </c>
      <c r="P65" s="65">
        <f>0</f>
        <v>0</v>
      </c>
      <c r="Q65" s="65">
        <f>0</f>
        <v>0</v>
      </c>
      <c r="R65" s="65">
        <f>0</f>
        <v>0</v>
      </c>
      <c r="S65" s="65">
        <f>0</f>
        <v>0</v>
      </c>
    </row>
    <row r="66" spans="1:19" ht="18" customHeight="1">
      <c r="A66" s="59" t="s">
        <v>229</v>
      </c>
      <c r="B66" s="60" t="s">
        <v>230</v>
      </c>
      <c r="C66" s="61">
        <f>4953899.43</f>
        <v>4953899.43</v>
      </c>
      <c r="D66" s="62">
        <f>8914706.04</f>
        <v>8914706.0399999991</v>
      </c>
      <c r="E66" s="62">
        <f>8135047</f>
        <v>8135047</v>
      </c>
      <c r="F66" s="63">
        <f>8129712.37</f>
        <v>8129712.3700000001</v>
      </c>
      <c r="G66" s="64">
        <f>8180272</f>
        <v>8180272</v>
      </c>
      <c r="H66" s="65">
        <f>898685</f>
        <v>898685</v>
      </c>
      <c r="I66" s="65">
        <f>1188161</f>
        <v>1188161</v>
      </c>
      <c r="J66" s="65">
        <f>3490853</f>
        <v>3490853</v>
      </c>
      <c r="K66" s="65">
        <f>11829963</f>
        <v>11829963</v>
      </c>
      <c r="L66" s="65">
        <f>12572004</f>
        <v>12572004</v>
      </c>
      <c r="M66" s="65">
        <f>13606918</f>
        <v>13606918</v>
      </c>
      <c r="N66" s="65">
        <f>15212016</f>
        <v>15212016</v>
      </c>
      <c r="O66" s="65">
        <f>16000727</f>
        <v>16000727</v>
      </c>
      <c r="P66" s="65">
        <f>17028566</f>
        <v>17028566</v>
      </c>
      <c r="Q66" s="65">
        <f>18615620</f>
        <v>18615620</v>
      </c>
      <c r="R66" s="65">
        <f>20134641</f>
        <v>20134641</v>
      </c>
      <c r="S66" s="65">
        <f>20995474</f>
        <v>20995474</v>
      </c>
    </row>
    <row r="67" spans="1:19" ht="18" customHeight="1">
      <c r="A67" s="59" t="s">
        <v>231</v>
      </c>
      <c r="B67" s="60" t="s">
        <v>232</v>
      </c>
      <c r="C67" s="61">
        <f>89494</f>
        <v>89494</v>
      </c>
      <c r="D67" s="62">
        <f>712834</f>
        <v>712834</v>
      </c>
      <c r="E67" s="62">
        <f>893680</f>
        <v>893680</v>
      </c>
      <c r="F67" s="63">
        <f>732019.04</f>
        <v>732019.04</v>
      </c>
      <c r="G67" s="64">
        <f>476572</f>
        <v>476572</v>
      </c>
      <c r="H67" s="65">
        <f>0</f>
        <v>0</v>
      </c>
      <c r="I67" s="65">
        <f>0</f>
        <v>0</v>
      </c>
      <c r="J67" s="65">
        <f>0</f>
        <v>0</v>
      </c>
      <c r="K67" s="65">
        <f>0</f>
        <v>0</v>
      </c>
      <c r="L67" s="65">
        <f>0</f>
        <v>0</v>
      </c>
      <c r="M67" s="65">
        <f>0</f>
        <v>0</v>
      </c>
      <c r="N67" s="65">
        <f>0</f>
        <v>0</v>
      </c>
      <c r="O67" s="65">
        <f>0</f>
        <v>0</v>
      </c>
      <c r="P67" s="65">
        <f>0</f>
        <v>0</v>
      </c>
      <c r="Q67" s="65">
        <f>0</f>
        <v>0</v>
      </c>
      <c r="R67" s="65">
        <f>0</f>
        <v>0</v>
      </c>
      <c r="S67" s="65">
        <f>0</f>
        <v>0</v>
      </c>
    </row>
    <row r="68" spans="1:19" ht="51" customHeight="1">
      <c r="A68" s="53">
        <v>12</v>
      </c>
      <c r="B68" s="95" t="s">
        <v>233</v>
      </c>
      <c r="C68" s="69" t="s">
        <v>189</v>
      </c>
      <c r="D68" s="70" t="s">
        <v>189</v>
      </c>
      <c r="E68" s="70" t="s">
        <v>189</v>
      </c>
      <c r="F68" s="71" t="s">
        <v>189</v>
      </c>
      <c r="G68" s="72" t="s">
        <v>189</v>
      </c>
      <c r="H68" s="73" t="s">
        <v>189</v>
      </c>
      <c r="I68" s="73" t="s">
        <v>189</v>
      </c>
      <c r="J68" s="73" t="s">
        <v>189</v>
      </c>
      <c r="K68" s="73" t="s">
        <v>189</v>
      </c>
      <c r="L68" s="73" t="s">
        <v>189</v>
      </c>
      <c r="M68" s="73" t="s">
        <v>189</v>
      </c>
      <c r="N68" s="73" t="s">
        <v>189</v>
      </c>
      <c r="O68" s="73" t="s">
        <v>189</v>
      </c>
      <c r="P68" s="73" t="s">
        <v>189</v>
      </c>
      <c r="Q68" s="73" t="s">
        <v>189</v>
      </c>
      <c r="R68" s="73" t="s">
        <v>189</v>
      </c>
      <c r="S68" s="73" t="s">
        <v>189</v>
      </c>
    </row>
    <row r="69" spans="1:19" ht="48" customHeight="1">
      <c r="A69" s="59" t="s">
        <v>234</v>
      </c>
      <c r="B69" s="60" t="s">
        <v>235</v>
      </c>
      <c r="C69" s="61">
        <f>1030177.5</f>
        <v>1030177.5</v>
      </c>
      <c r="D69" s="62">
        <f>1117061.86</f>
        <v>1117061.8600000001</v>
      </c>
      <c r="E69" s="62">
        <f>2106997</f>
        <v>2106997</v>
      </c>
      <c r="F69" s="63">
        <f>1625820.8</f>
        <v>1625820.8</v>
      </c>
      <c r="G69" s="64">
        <f>3043760</f>
        <v>3043760</v>
      </c>
      <c r="H69" s="65">
        <f>1760196</f>
        <v>1760196</v>
      </c>
      <c r="I69" s="65">
        <f>1464243</f>
        <v>1464243</v>
      </c>
      <c r="J69" s="65">
        <f>1022437</f>
        <v>1022437</v>
      </c>
      <c r="K69" s="65">
        <f>903540</f>
        <v>903540</v>
      </c>
      <c r="L69" s="65">
        <f>0</f>
        <v>0</v>
      </c>
      <c r="M69" s="65">
        <f>0</f>
        <v>0</v>
      </c>
      <c r="N69" s="65">
        <f>0</f>
        <v>0</v>
      </c>
      <c r="O69" s="65">
        <f>0</f>
        <v>0</v>
      </c>
      <c r="P69" s="65">
        <f>0</f>
        <v>0</v>
      </c>
      <c r="Q69" s="65">
        <f>0</f>
        <v>0</v>
      </c>
      <c r="R69" s="65">
        <f>0</f>
        <v>0</v>
      </c>
      <c r="S69" s="65">
        <f>0</f>
        <v>0</v>
      </c>
    </row>
    <row r="70" spans="1:19" ht="38.25" customHeight="1">
      <c r="A70" s="59" t="s">
        <v>236</v>
      </c>
      <c r="B70" s="83" t="s">
        <v>237</v>
      </c>
      <c r="C70" s="61">
        <f>1007962.48</f>
        <v>1007962.48</v>
      </c>
      <c r="D70" s="62">
        <f>1117061.86</f>
        <v>1117061.8600000001</v>
      </c>
      <c r="E70" s="62">
        <f>1976621</f>
        <v>1976621</v>
      </c>
      <c r="F70" s="63">
        <f>1560662.78</f>
        <v>1560662.78</v>
      </c>
      <c r="G70" s="64">
        <f>2822279</f>
        <v>2822279</v>
      </c>
      <c r="H70" s="65">
        <f>1555694</f>
        <v>1555694</v>
      </c>
      <c r="I70" s="65">
        <f>529216</f>
        <v>529216</v>
      </c>
      <c r="J70" s="65">
        <f>106080</f>
        <v>106080</v>
      </c>
      <c r="K70" s="65">
        <f>0</f>
        <v>0</v>
      </c>
      <c r="L70" s="65">
        <f>0</f>
        <v>0</v>
      </c>
      <c r="M70" s="65">
        <f>0</f>
        <v>0</v>
      </c>
      <c r="N70" s="65">
        <f>0</f>
        <v>0</v>
      </c>
      <c r="O70" s="65">
        <f>0</f>
        <v>0</v>
      </c>
      <c r="P70" s="65">
        <f>0</f>
        <v>0</v>
      </c>
      <c r="Q70" s="65">
        <f>0</f>
        <v>0</v>
      </c>
      <c r="R70" s="65">
        <f>0</f>
        <v>0</v>
      </c>
      <c r="S70" s="65">
        <f>0</f>
        <v>0</v>
      </c>
    </row>
    <row r="71" spans="1:19" ht="57" customHeight="1">
      <c r="A71" s="59" t="s">
        <v>238</v>
      </c>
      <c r="B71" s="84" t="s">
        <v>239</v>
      </c>
      <c r="C71" s="61">
        <f>1007962.48</f>
        <v>1007962.48</v>
      </c>
      <c r="D71" s="62">
        <f>1117061.86</f>
        <v>1117061.8600000001</v>
      </c>
      <c r="E71" s="62">
        <f>1976621</f>
        <v>1976621</v>
      </c>
      <c r="F71" s="63">
        <f>1560662.78</f>
        <v>1560662.78</v>
      </c>
      <c r="G71" s="64">
        <f>2822279</f>
        <v>2822279</v>
      </c>
      <c r="H71" s="65">
        <f>1555694</f>
        <v>1555694</v>
      </c>
      <c r="I71" s="65">
        <f>529216</f>
        <v>529216</v>
      </c>
      <c r="J71" s="65">
        <f>106080</f>
        <v>106080</v>
      </c>
      <c r="K71" s="65">
        <f>0</f>
        <v>0</v>
      </c>
      <c r="L71" s="65">
        <f>0</f>
        <v>0</v>
      </c>
      <c r="M71" s="65">
        <f>0</f>
        <v>0</v>
      </c>
      <c r="N71" s="65">
        <f>0</f>
        <v>0</v>
      </c>
      <c r="O71" s="65">
        <f>0</f>
        <v>0</v>
      </c>
      <c r="P71" s="65">
        <f>0</f>
        <v>0</v>
      </c>
      <c r="Q71" s="65">
        <f>0</f>
        <v>0</v>
      </c>
      <c r="R71" s="65">
        <f>0</f>
        <v>0</v>
      </c>
      <c r="S71" s="65">
        <f>0</f>
        <v>0</v>
      </c>
    </row>
    <row r="72" spans="1:19" ht="49.5" customHeight="1">
      <c r="A72" s="59" t="s">
        <v>240</v>
      </c>
      <c r="B72" s="60" t="s">
        <v>241</v>
      </c>
      <c r="C72" s="61">
        <f>0</f>
        <v>0</v>
      </c>
      <c r="D72" s="62">
        <f>181441</f>
        <v>181441</v>
      </c>
      <c r="E72" s="62">
        <f>586345</f>
        <v>586345</v>
      </c>
      <c r="F72" s="63">
        <f>586344.48</f>
        <v>586344.48</v>
      </c>
      <c r="G72" s="64">
        <f>0</f>
        <v>0</v>
      </c>
      <c r="H72" s="65">
        <f>0</f>
        <v>0</v>
      </c>
      <c r="I72" s="65">
        <f>0</f>
        <v>0</v>
      </c>
      <c r="J72" s="65">
        <f>0</f>
        <v>0</v>
      </c>
      <c r="K72" s="65">
        <f>0</f>
        <v>0</v>
      </c>
      <c r="L72" s="65">
        <f>0</f>
        <v>0</v>
      </c>
      <c r="M72" s="65">
        <f>0</f>
        <v>0</v>
      </c>
      <c r="N72" s="65">
        <f>0</f>
        <v>0</v>
      </c>
      <c r="O72" s="65">
        <f>0</f>
        <v>0</v>
      </c>
      <c r="P72" s="65">
        <f>0</f>
        <v>0</v>
      </c>
      <c r="Q72" s="65">
        <f>0</f>
        <v>0</v>
      </c>
      <c r="R72" s="65">
        <f>0</f>
        <v>0</v>
      </c>
      <c r="S72" s="65">
        <f>0</f>
        <v>0</v>
      </c>
    </row>
    <row r="73" spans="1:19" ht="36" customHeight="1">
      <c r="A73" s="59" t="s">
        <v>242</v>
      </c>
      <c r="B73" s="83" t="s">
        <v>237</v>
      </c>
      <c r="C73" s="61">
        <f>0</f>
        <v>0</v>
      </c>
      <c r="D73" s="62">
        <f>1120</f>
        <v>1120</v>
      </c>
      <c r="E73" s="62">
        <f>586345</f>
        <v>586345</v>
      </c>
      <c r="F73" s="63">
        <f>586344.48</f>
        <v>586344.48</v>
      </c>
      <c r="G73" s="64">
        <f>0</f>
        <v>0</v>
      </c>
      <c r="H73" s="65">
        <f>0</f>
        <v>0</v>
      </c>
      <c r="I73" s="65">
        <f>0</f>
        <v>0</v>
      </c>
      <c r="J73" s="65">
        <f>0</f>
        <v>0</v>
      </c>
      <c r="K73" s="65">
        <f>0</f>
        <v>0</v>
      </c>
      <c r="L73" s="65">
        <f>0</f>
        <v>0</v>
      </c>
      <c r="M73" s="65">
        <f>0</f>
        <v>0</v>
      </c>
      <c r="N73" s="65">
        <f>0</f>
        <v>0</v>
      </c>
      <c r="O73" s="65">
        <f>0</f>
        <v>0</v>
      </c>
      <c r="P73" s="65">
        <f>0</f>
        <v>0</v>
      </c>
      <c r="Q73" s="65">
        <f>0</f>
        <v>0</v>
      </c>
      <c r="R73" s="65">
        <f>0</f>
        <v>0</v>
      </c>
      <c r="S73" s="65">
        <f>0</f>
        <v>0</v>
      </c>
    </row>
    <row r="74" spans="1:19" ht="57" customHeight="1">
      <c r="A74" s="59" t="s">
        <v>243</v>
      </c>
      <c r="B74" s="84" t="s">
        <v>244</v>
      </c>
      <c r="C74" s="61">
        <f>0</f>
        <v>0</v>
      </c>
      <c r="D74" s="62">
        <f>1120</f>
        <v>1120</v>
      </c>
      <c r="E74" s="62">
        <f>586345</f>
        <v>586345</v>
      </c>
      <c r="F74" s="63">
        <f>586344.48</f>
        <v>586344.48</v>
      </c>
      <c r="G74" s="64">
        <f>0</f>
        <v>0</v>
      </c>
      <c r="H74" s="65">
        <f>0</f>
        <v>0</v>
      </c>
      <c r="I74" s="65">
        <f>0</f>
        <v>0</v>
      </c>
      <c r="J74" s="65">
        <f>0</f>
        <v>0</v>
      </c>
      <c r="K74" s="65">
        <f>0</f>
        <v>0</v>
      </c>
      <c r="L74" s="65">
        <f>0</f>
        <v>0</v>
      </c>
      <c r="M74" s="65">
        <f>0</f>
        <v>0</v>
      </c>
      <c r="N74" s="65">
        <f>0</f>
        <v>0</v>
      </c>
      <c r="O74" s="65">
        <f>0</f>
        <v>0</v>
      </c>
      <c r="P74" s="65">
        <f>0</f>
        <v>0</v>
      </c>
      <c r="Q74" s="65">
        <f>0</f>
        <v>0</v>
      </c>
      <c r="R74" s="65">
        <f>0</f>
        <v>0</v>
      </c>
      <c r="S74" s="65">
        <f>0</f>
        <v>0</v>
      </c>
    </row>
    <row r="75" spans="1:19" ht="47.25" customHeight="1">
      <c r="A75" s="59" t="s">
        <v>245</v>
      </c>
      <c r="B75" s="60" t="s">
        <v>246</v>
      </c>
      <c r="C75" s="61">
        <f>860587.73</f>
        <v>860587.73</v>
      </c>
      <c r="D75" s="62">
        <f>1214289.48</f>
        <v>1214289.48</v>
      </c>
      <c r="E75" s="62">
        <f>2194649</f>
        <v>2194649</v>
      </c>
      <c r="F75" s="63">
        <f>1441015.01</f>
        <v>1441015.01</v>
      </c>
      <c r="G75" s="64">
        <f>3264599</f>
        <v>3264599</v>
      </c>
      <c r="H75" s="65">
        <f>2050684</f>
        <v>2050684</v>
      </c>
      <c r="I75" s="65">
        <f>1516963</f>
        <v>1516963</v>
      </c>
      <c r="J75" s="65">
        <f>1022437</f>
        <v>1022437</v>
      </c>
      <c r="K75" s="65">
        <f>903540</f>
        <v>903540</v>
      </c>
      <c r="L75" s="65">
        <f>0</f>
        <v>0</v>
      </c>
      <c r="M75" s="65">
        <f>0</f>
        <v>0</v>
      </c>
      <c r="N75" s="65">
        <f>0</f>
        <v>0</v>
      </c>
      <c r="O75" s="65">
        <f>0</f>
        <v>0</v>
      </c>
      <c r="P75" s="65">
        <f>0</f>
        <v>0</v>
      </c>
      <c r="Q75" s="65">
        <f>0</f>
        <v>0</v>
      </c>
      <c r="R75" s="65">
        <f>0</f>
        <v>0</v>
      </c>
      <c r="S75" s="65">
        <f>0</f>
        <v>0</v>
      </c>
    </row>
    <row r="76" spans="1:19" ht="39.75" customHeight="1">
      <c r="A76" s="59" t="s">
        <v>247</v>
      </c>
      <c r="B76" s="83" t="s">
        <v>248</v>
      </c>
      <c r="C76" s="61">
        <f>860587.73</f>
        <v>860587.73</v>
      </c>
      <c r="D76" s="62">
        <f>1117060.7</f>
        <v>1117060.7</v>
      </c>
      <c r="E76" s="62">
        <f>1976621</f>
        <v>1976621</v>
      </c>
      <c r="F76" s="63">
        <f>1322318.02</f>
        <v>1322318.02</v>
      </c>
      <c r="G76" s="64">
        <f>2929006</f>
        <v>2929006</v>
      </c>
      <c r="H76" s="65">
        <f>1687311</f>
        <v>1687311</v>
      </c>
      <c r="I76" s="65">
        <f>529216</f>
        <v>529216</v>
      </c>
      <c r="J76" s="65">
        <f>106080</f>
        <v>106080</v>
      </c>
      <c r="K76" s="65">
        <f>0</f>
        <v>0</v>
      </c>
      <c r="L76" s="65">
        <f>0</f>
        <v>0</v>
      </c>
      <c r="M76" s="65">
        <f>0</f>
        <v>0</v>
      </c>
      <c r="N76" s="65">
        <f>0</f>
        <v>0</v>
      </c>
      <c r="O76" s="65">
        <f>0</f>
        <v>0</v>
      </c>
      <c r="P76" s="65">
        <f>0</f>
        <v>0</v>
      </c>
      <c r="Q76" s="65">
        <f>0</f>
        <v>0</v>
      </c>
      <c r="R76" s="65">
        <f>0</f>
        <v>0</v>
      </c>
      <c r="S76" s="65">
        <f>0</f>
        <v>0</v>
      </c>
    </row>
    <row r="77" spans="1:19" ht="75" customHeight="1">
      <c r="A77" s="59" t="s">
        <v>249</v>
      </c>
      <c r="B77" s="66" t="s">
        <v>250</v>
      </c>
      <c r="C77" s="61">
        <f>860587.73</f>
        <v>860587.73</v>
      </c>
      <c r="D77" s="62">
        <f>1117060.7</f>
        <v>1117060.7</v>
      </c>
      <c r="E77" s="62">
        <f>1976621</f>
        <v>1976621</v>
      </c>
      <c r="F77" s="63">
        <f>1322318.02</f>
        <v>1322318.02</v>
      </c>
      <c r="G77" s="64">
        <f>2929006</f>
        <v>2929006</v>
      </c>
      <c r="H77" s="65">
        <f>1687311</f>
        <v>1687311</v>
      </c>
      <c r="I77" s="65">
        <f>529216</f>
        <v>529216</v>
      </c>
      <c r="J77" s="65">
        <f>106080</f>
        <v>106080</v>
      </c>
      <c r="K77" s="65">
        <f>0</f>
        <v>0</v>
      </c>
      <c r="L77" s="65">
        <f>0</f>
        <v>0</v>
      </c>
      <c r="M77" s="65">
        <f>0</f>
        <v>0</v>
      </c>
      <c r="N77" s="65">
        <f>0</f>
        <v>0</v>
      </c>
      <c r="O77" s="65">
        <f>0</f>
        <v>0</v>
      </c>
      <c r="P77" s="65">
        <f>0</f>
        <v>0</v>
      </c>
      <c r="Q77" s="65">
        <f>0</f>
        <v>0</v>
      </c>
      <c r="R77" s="65">
        <f>0</f>
        <v>0</v>
      </c>
      <c r="S77" s="65">
        <f>0</f>
        <v>0</v>
      </c>
    </row>
    <row r="78" spans="1:19" ht="47.25" customHeight="1">
      <c r="A78" s="59" t="s">
        <v>251</v>
      </c>
      <c r="B78" s="60" t="s">
        <v>252</v>
      </c>
      <c r="C78" s="61">
        <f>11600</f>
        <v>11600</v>
      </c>
      <c r="D78" s="62">
        <f>861627.63</f>
        <v>861627.63</v>
      </c>
      <c r="E78" s="62">
        <f>273680</f>
        <v>273680</v>
      </c>
      <c r="F78" s="63">
        <f>204170.41</f>
        <v>204170.41</v>
      </c>
      <c r="G78" s="64">
        <f>70572</f>
        <v>70572</v>
      </c>
      <c r="H78" s="65">
        <f>0</f>
        <v>0</v>
      </c>
      <c r="I78" s="65">
        <f>0</f>
        <v>0</v>
      </c>
      <c r="J78" s="65">
        <f>0</f>
        <v>0</v>
      </c>
      <c r="K78" s="65">
        <f>0</f>
        <v>0</v>
      </c>
      <c r="L78" s="65">
        <f>0</f>
        <v>0</v>
      </c>
      <c r="M78" s="65">
        <f>0</f>
        <v>0</v>
      </c>
      <c r="N78" s="65">
        <f>0</f>
        <v>0</v>
      </c>
      <c r="O78" s="65">
        <f>0</f>
        <v>0</v>
      </c>
      <c r="P78" s="65">
        <f>0</f>
        <v>0</v>
      </c>
      <c r="Q78" s="65">
        <f>0</f>
        <v>0</v>
      </c>
      <c r="R78" s="65">
        <f>0</f>
        <v>0</v>
      </c>
      <c r="S78" s="65">
        <f>0</f>
        <v>0</v>
      </c>
    </row>
    <row r="79" spans="1:19" ht="33" customHeight="1">
      <c r="A79" s="59" t="s">
        <v>253</v>
      </c>
      <c r="B79" s="83" t="s">
        <v>254</v>
      </c>
      <c r="C79" s="61">
        <f>1120</f>
        <v>1120</v>
      </c>
      <c r="D79" s="62">
        <f>586344.48</f>
        <v>586344.48</v>
      </c>
      <c r="E79" s="62">
        <f>0</f>
        <v>0</v>
      </c>
      <c r="F79" s="63">
        <f>0</f>
        <v>0</v>
      </c>
      <c r="G79" s="64">
        <f>0</f>
        <v>0</v>
      </c>
      <c r="H79" s="65">
        <f>0</f>
        <v>0</v>
      </c>
      <c r="I79" s="65">
        <f>0</f>
        <v>0</v>
      </c>
      <c r="J79" s="65">
        <f>0</f>
        <v>0</v>
      </c>
      <c r="K79" s="65">
        <f>0</f>
        <v>0</v>
      </c>
      <c r="L79" s="65">
        <f>0</f>
        <v>0</v>
      </c>
      <c r="M79" s="65">
        <f>0</f>
        <v>0</v>
      </c>
      <c r="N79" s="65">
        <f>0</f>
        <v>0</v>
      </c>
      <c r="O79" s="65">
        <f>0</f>
        <v>0</v>
      </c>
      <c r="P79" s="65">
        <f>0</f>
        <v>0</v>
      </c>
      <c r="Q79" s="65">
        <f>0</f>
        <v>0</v>
      </c>
      <c r="R79" s="65">
        <f>0</f>
        <v>0</v>
      </c>
      <c r="S79" s="65">
        <f>0</f>
        <v>0</v>
      </c>
    </row>
    <row r="80" spans="1:19" ht="72" customHeight="1">
      <c r="A80" s="59" t="s">
        <v>255</v>
      </c>
      <c r="B80" s="66" t="s">
        <v>256</v>
      </c>
      <c r="C80" s="61">
        <f>1120</f>
        <v>1120</v>
      </c>
      <c r="D80" s="62">
        <f>586344.48</f>
        <v>586344.48</v>
      </c>
      <c r="E80" s="62">
        <f>0</f>
        <v>0</v>
      </c>
      <c r="F80" s="63">
        <f>0</f>
        <v>0</v>
      </c>
      <c r="G80" s="64">
        <f>0</f>
        <v>0</v>
      </c>
      <c r="H80" s="65">
        <f>0</f>
        <v>0</v>
      </c>
      <c r="I80" s="65">
        <f>0</f>
        <v>0</v>
      </c>
      <c r="J80" s="65">
        <f>0</f>
        <v>0</v>
      </c>
      <c r="K80" s="65">
        <f>0</f>
        <v>0</v>
      </c>
      <c r="L80" s="65">
        <f>0</f>
        <v>0</v>
      </c>
      <c r="M80" s="65">
        <f>0</f>
        <v>0</v>
      </c>
      <c r="N80" s="65">
        <f>0</f>
        <v>0</v>
      </c>
      <c r="O80" s="65">
        <f>0</f>
        <v>0</v>
      </c>
      <c r="P80" s="65">
        <f>0</f>
        <v>0</v>
      </c>
      <c r="Q80" s="65">
        <f>0</f>
        <v>0</v>
      </c>
      <c r="R80" s="65">
        <f>0</f>
        <v>0</v>
      </c>
      <c r="S80" s="65">
        <f>0</f>
        <v>0</v>
      </c>
    </row>
    <row r="81" spans="1:19" ht="72.75" customHeight="1">
      <c r="A81" s="59" t="s">
        <v>257</v>
      </c>
      <c r="B81" s="60" t="s">
        <v>258</v>
      </c>
      <c r="C81" s="61">
        <f>10480</f>
        <v>10480</v>
      </c>
      <c r="D81" s="62">
        <f>372511.93</f>
        <v>372511.93</v>
      </c>
      <c r="E81" s="62">
        <f>491708</f>
        <v>491708</v>
      </c>
      <c r="F81" s="63">
        <f>322867.4</f>
        <v>322867.40000000002</v>
      </c>
      <c r="G81" s="64">
        <f>406165</f>
        <v>406165</v>
      </c>
      <c r="H81" s="65">
        <f>363373</f>
        <v>363373</v>
      </c>
      <c r="I81" s="65">
        <f>987747</f>
        <v>987747</v>
      </c>
      <c r="J81" s="65">
        <f>916357</f>
        <v>916357</v>
      </c>
      <c r="K81" s="65">
        <f>903540</f>
        <v>903540</v>
      </c>
      <c r="L81" s="65">
        <f>0</f>
        <v>0</v>
      </c>
      <c r="M81" s="65">
        <f>0</f>
        <v>0</v>
      </c>
      <c r="N81" s="65">
        <f>0</f>
        <v>0</v>
      </c>
      <c r="O81" s="65">
        <f>0</f>
        <v>0</v>
      </c>
      <c r="P81" s="65">
        <f>0</f>
        <v>0</v>
      </c>
      <c r="Q81" s="65">
        <f>0</f>
        <v>0</v>
      </c>
      <c r="R81" s="65">
        <f>0</f>
        <v>0</v>
      </c>
      <c r="S81" s="65">
        <f>0</f>
        <v>0</v>
      </c>
    </row>
    <row r="82" spans="1:19" ht="37.5" customHeight="1">
      <c r="A82" s="59" t="s">
        <v>259</v>
      </c>
      <c r="B82" s="66" t="s">
        <v>260</v>
      </c>
      <c r="C82" s="61">
        <f>10480</f>
        <v>10480</v>
      </c>
      <c r="D82" s="62">
        <f>372511.93</f>
        <v>372511.93</v>
      </c>
      <c r="E82" s="62">
        <f>491708</f>
        <v>491708</v>
      </c>
      <c r="F82" s="63">
        <f>322867.4</f>
        <v>322867.40000000002</v>
      </c>
      <c r="G82" s="64">
        <f>406165</f>
        <v>406165</v>
      </c>
      <c r="H82" s="65">
        <f>363373</f>
        <v>363373</v>
      </c>
      <c r="I82" s="65">
        <f>987747</f>
        <v>987747</v>
      </c>
      <c r="J82" s="65">
        <f>916357</f>
        <v>916357</v>
      </c>
      <c r="K82" s="65">
        <f>903540</f>
        <v>903540</v>
      </c>
      <c r="L82" s="65">
        <f>0</f>
        <v>0</v>
      </c>
      <c r="M82" s="65">
        <f>0</f>
        <v>0</v>
      </c>
      <c r="N82" s="65">
        <f>0</f>
        <v>0</v>
      </c>
      <c r="O82" s="65">
        <f>0</f>
        <v>0</v>
      </c>
      <c r="P82" s="65">
        <f>0</f>
        <v>0</v>
      </c>
      <c r="Q82" s="65">
        <f>0</f>
        <v>0</v>
      </c>
      <c r="R82" s="65">
        <f>0</f>
        <v>0</v>
      </c>
      <c r="S82" s="65">
        <f>0</f>
        <v>0</v>
      </c>
    </row>
    <row r="83" spans="1:19" ht="68.25" customHeight="1">
      <c r="A83" s="59" t="s">
        <v>261</v>
      </c>
      <c r="B83" s="60" t="s">
        <v>262</v>
      </c>
      <c r="C83" s="61">
        <f>10480</f>
        <v>10480</v>
      </c>
      <c r="D83" s="62">
        <f>372511.93</f>
        <v>372511.93</v>
      </c>
      <c r="E83" s="62">
        <f>491708</f>
        <v>491708</v>
      </c>
      <c r="F83" s="63">
        <f>322867.4</f>
        <v>322867.40000000002</v>
      </c>
      <c r="G83" s="64">
        <f>406165</f>
        <v>406165</v>
      </c>
      <c r="H83" s="65">
        <f>363373</f>
        <v>363373</v>
      </c>
      <c r="I83" s="65">
        <f>987747</f>
        <v>987747</v>
      </c>
      <c r="J83" s="65">
        <f>916357</f>
        <v>916357</v>
      </c>
      <c r="K83" s="65">
        <f>903540</f>
        <v>903540</v>
      </c>
      <c r="L83" s="65">
        <f>0</f>
        <v>0</v>
      </c>
      <c r="M83" s="65">
        <f>0</f>
        <v>0</v>
      </c>
      <c r="N83" s="65">
        <f>0</f>
        <v>0</v>
      </c>
      <c r="O83" s="65">
        <f>0</f>
        <v>0</v>
      </c>
      <c r="P83" s="65">
        <f>0</f>
        <v>0</v>
      </c>
      <c r="Q83" s="65">
        <f>0</f>
        <v>0</v>
      </c>
      <c r="R83" s="65">
        <f>0</f>
        <v>0</v>
      </c>
      <c r="S83" s="65">
        <f>0</f>
        <v>0</v>
      </c>
    </row>
    <row r="84" spans="1:19" ht="35.25" customHeight="1">
      <c r="A84" s="59" t="s">
        <v>263</v>
      </c>
      <c r="B84" s="66" t="s">
        <v>260</v>
      </c>
      <c r="C84" s="61">
        <f>10480</f>
        <v>10480</v>
      </c>
      <c r="D84" s="62">
        <f>372511.93</f>
        <v>372511.93</v>
      </c>
      <c r="E84" s="62">
        <f>491708</f>
        <v>491708</v>
      </c>
      <c r="F84" s="63">
        <f>322867.4</f>
        <v>322867.40000000002</v>
      </c>
      <c r="G84" s="64">
        <f>406165</f>
        <v>406165</v>
      </c>
      <c r="H84" s="65">
        <f>363373</f>
        <v>363373</v>
      </c>
      <c r="I84" s="65">
        <f>987747</f>
        <v>987747</v>
      </c>
      <c r="J84" s="65">
        <f>916357</f>
        <v>916357</v>
      </c>
      <c r="K84" s="65">
        <f>903540</f>
        <v>903540</v>
      </c>
      <c r="L84" s="65">
        <f>0</f>
        <v>0</v>
      </c>
      <c r="M84" s="65">
        <f>0</f>
        <v>0</v>
      </c>
      <c r="N84" s="65">
        <f>0</f>
        <v>0</v>
      </c>
      <c r="O84" s="65">
        <f>0</f>
        <v>0</v>
      </c>
      <c r="P84" s="65">
        <f>0</f>
        <v>0</v>
      </c>
      <c r="Q84" s="65">
        <f>0</f>
        <v>0</v>
      </c>
      <c r="R84" s="65">
        <f>0</f>
        <v>0</v>
      </c>
      <c r="S84" s="65">
        <f>0</f>
        <v>0</v>
      </c>
    </row>
    <row r="85" spans="1:19" ht="90" customHeight="1">
      <c r="A85" s="59" t="s">
        <v>264</v>
      </c>
      <c r="B85" s="60" t="s">
        <v>265</v>
      </c>
      <c r="C85" s="61">
        <f>0</f>
        <v>0</v>
      </c>
      <c r="D85" s="62">
        <f>0</f>
        <v>0</v>
      </c>
      <c r="E85" s="62">
        <f>0</f>
        <v>0</v>
      </c>
      <c r="F85" s="63">
        <f>0</f>
        <v>0</v>
      </c>
      <c r="G85" s="64">
        <f>0</f>
        <v>0</v>
      </c>
      <c r="H85" s="65">
        <f>0</f>
        <v>0</v>
      </c>
      <c r="I85" s="65">
        <f>0</f>
        <v>0</v>
      </c>
      <c r="J85" s="65">
        <f>0</f>
        <v>0</v>
      </c>
      <c r="K85" s="65">
        <f>0</f>
        <v>0</v>
      </c>
      <c r="L85" s="65">
        <f>0</f>
        <v>0</v>
      </c>
      <c r="M85" s="65">
        <f>0</f>
        <v>0</v>
      </c>
      <c r="N85" s="65">
        <f>0</f>
        <v>0</v>
      </c>
      <c r="O85" s="65">
        <f>0</f>
        <v>0</v>
      </c>
      <c r="P85" s="65">
        <f>0</f>
        <v>0</v>
      </c>
      <c r="Q85" s="65">
        <f>0</f>
        <v>0</v>
      </c>
      <c r="R85" s="65">
        <f>0</f>
        <v>0</v>
      </c>
      <c r="S85" s="65">
        <f>0</f>
        <v>0</v>
      </c>
    </row>
    <row r="86" spans="1:19" ht="39" customHeight="1">
      <c r="A86" s="59" t="s">
        <v>266</v>
      </c>
      <c r="B86" s="66" t="s">
        <v>260</v>
      </c>
      <c r="C86" s="61">
        <f>0</f>
        <v>0</v>
      </c>
      <c r="D86" s="62">
        <f>0</f>
        <v>0</v>
      </c>
      <c r="E86" s="62">
        <f>0</f>
        <v>0</v>
      </c>
      <c r="F86" s="63">
        <f>0</f>
        <v>0</v>
      </c>
      <c r="G86" s="64">
        <f>0</f>
        <v>0</v>
      </c>
      <c r="H86" s="65">
        <f>0</f>
        <v>0</v>
      </c>
      <c r="I86" s="65">
        <f>0</f>
        <v>0</v>
      </c>
      <c r="J86" s="65">
        <f>0</f>
        <v>0</v>
      </c>
      <c r="K86" s="65">
        <f>0</f>
        <v>0</v>
      </c>
      <c r="L86" s="65">
        <f>0</f>
        <v>0</v>
      </c>
      <c r="M86" s="65">
        <f>0</f>
        <v>0</v>
      </c>
      <c r="N86" s="65">
        <f>0</f>
        <v>0</v>
      </c>
      <c r="O86" s="65">
        <f>0</f>
        <v>0</v>
      </c>
      <c r="P86" s="65">
        <f>0</f>
        <v>0</v>
      </c>
      <c r="Q86" s="65">
        <f>0</f>
        <v>0</v>
      </c>
      <c r="R86" s="65">
        <f>0</f>
        <v>0</v>
      </c>
      <c r="S86" s="65">
        <f>0</f>
        <v>0</v>
      </c>
    </row>
    <row r="87" spans="1:19" ht="90.75" customHeight="1">
      <c r="A87" s="59" t="s">
        <v>267</v>
      </c>
      <c r="B87" s="60" t="s">
        <v>268</v>
      </c>
      <c r="C87" s="61">
        <f>0</f>
        <v>0</v>
      </c>
      <c r="D87" s="62">
        <f>0</f>
        <v>0</v>
      </c>
      <c r="E87" s="62">
        <f>0</f>
        <v>0</v>
      </c>
      <c r="F87" s="63">
        <f>0</f>
        <v>0</v>
      </c>
      <c r="G87" s="64">
        <f>0</f>
        <v>0</v>
      </c>
      <c r="H87" s="65">
        <f>0</f>
        <v>0</v>
      </c>
      <c r="I87" s="65">
        <f>0</f>
        <v>0</v>
      </c>
      <c r="J87" s="65">
        <f>0</f>
        <v>0</v>
      </c>
      <c r="K87" s="65">
        <f>0</f>
        <v>0</v>
      </c>
      <c r="L87" s="65">
        <f>0</f>
        <v>0</v>
      </c>
      <c r="M87" s="65">
        <f>0</f>
        <v>0</v>
      </c>
      <c r="N87" s="65">
        <f>0</f>
        <v>0</v>
      </c>
      <c r="O87" s="65">
        <f>0</f>
        <v>0</v>
      </c>
      <c r="P87" s="65">
        <f>0</f>
        <v>0</v>
      </c>
      <c r="Q87" s="65">
        <f>0</f>
        <v>0</v>
      </c>
      <c r="R87" s="65">
        <f>0</f>
        <v>0</v>
      </c>
      <c r="S87" s="65">
        <f>0</f>
        <v>0</v>
      </c>
    </row>
    <row r="88" spans="1:19" ht="33.75" customHeight="1">
      <c r="A88" s="59" t="s">
        <v>269</v>
      </c>
      <c r="B88" s="66" t="s">
        <v>260</v>
      </c>
      <c r="C88" s="61">
        <f>0</f>
        <v>0</v>
      </c>
      <c r="D88" s="62">
        <f>0</f>
        <v>0</v>
      </c>
      <c r="E88" s="62">
        <f>0</f>
        <v>0</v>
      </c>
      <c r="F88" s="63">
        <f>0</f>
        <v>0</v>
      </c>
      <c r="G88" s="64">
        <f>0</f>
        <v>0</v>
      </c>
      <c r="H88" s="65">
        <f>0</f>
        <v>0</v>
      </c>
      <c r="I88" s="65">
        <f>0</f>
        <v>0</v>
      </c>
      <c r="J88" s="65">
        <f>0</f>
        <v>0</v>
      </c>
      <c r="K88" s="65">
        <f>0</f>
        <v>0</v>
      </c>
      <c r="L88" s="65">
        <f>0</f>
        <v>0</v>
      </c>
      <c r="M88" s="65">
        <f>0</f>
        <v>0</v>
      </c>
      <c r="N88" s="65">
        <f>0</f>
        <v>0</v>
      </c>
      <c r="O88" s="65">
        <f>0</f>
        <v>0</v>
      </c>
      <c r="P88" s="65">
        <f>0</f>
        <v>0</v>
      </c>
      <c r="Q88" s="65">
        <f>0</f>
        <v>0</v>
      </c>
      <c r="R88" s="65">
        <f>0</f>
        <v>0</v>
      </c>
      <c r="S88" s="65">
        <f>0</f>
        <v>0</v>
      </c>
    </row>
    <row r="89" spans="1:19" ht="54" customHeight="1">
      <c r="A89" s="53">
        <v>13</v>
      </c>
      <c r="B89" s="85" t="s">
        <v>270</v>
      </c>
      <c r="C89" s="69" t="s">
        <v>189</v>
      </c>
      <c r="D89" s="70" t="s">
        <v>189</v>
      </c>
      <c r="E89" s="70" t="s">
        <v>189</v>
      </c>
      <c r="F89" s="71" t="s">
        <v>189</v>
      </c>
      <c r="G89" s="72" t="s">
        <v>189</v>
      </c>
      <c r="H89" s="73" t="s">
        <v>189</v>
      </c>
      <c r="I89" s="73" t="s">
        <v>189</v>
      </c>
      <c r="J89" s="73" t="s">
        <v>189</v>
      </c>
      <c r="K89" s="73" t="s">
        <v>189</v>
      </c>
      <c r="L89" s="73" t="s">
        <v>189</v>
      </c>
      <c r="M89" s="73" t="s">
        <v>189</v>
      </c>
      <c r="N89" s="73" t="s">
        <v>189</v>
      </c>
      <c r="O89" s="73" t="s">
        <v>189</v>
      </c>
      <c r="P89" s="73" t="s">
        <v>189</v>
      </c>
      <c r="Q89" s="73" t="s">
        <v>189</v>
      </c>
      <c r="R89" s="73" t="s">
        <v>189</v>
      </c>
      <c r="S89" s="73" t="s">
        <v>189</v>
      </c>
    </row>
    <row r="90" spans="1:19" ht="69.75" customHeight="1">
      <c r="A90" s="59" t="s">
        <v>271</v>
      </c>
      <c r="B90" s="60" t="s">
        <v>272</v>
      </c>
      <c r="C90" s="61">
        <f>3273809.57</f>
        <v>3273809.57</v>
      </c>
      <c r="D90" s="62">
        <f>2619047.69</f>
        <v>2619047.69</v>
      </c>
      <c r="E90" s="62">
        <f>1964286</f>
        <v>1964286</v>
      </c>
      <c r="F90" s="63">
        <f>1964285.81</f>
        <v>1964285.81</v>
      </c>
      <c r="G90" s="64">
        <f>1309524</f>
        <v>1309524</v>
      </c>
      <c r="H90" s="65">
        <f>654762</f>
        <v>654762</v>
      </c>
      <c r="I90" s="65">
        <f>0</f>
        <v>0</v>
      </c>
      <c r="J90" s="65">
        <f>0</f>
        <v>0</v>
      </c>
      <c r="K90" s="65">
        <f>0</f>
        <v>0</v>
      </c>
      <c r="L90" s="65">
        <f>0</f>
        <v>0</v>
      </c>
      <c r="M90" s="65">
        <f>0</f>
        <v>0</v>
      </c>
      <c r="N90" s="65">
        <f>0</f>
        <v>0</v>
      </c>
      <c r="O90" s="65">
        <f>0</f>
        <v>0</v>
      </c>
      <c r="P90" s="65">
        <f>0</f>
        <v>0</v>
      </c>
      <c r="Q90" s="65">
        <f>0</f>
        <v>0</v>
      </c>
      <c r="R90" s="65">
        <f>0</f>
        <v>0</v>
      </c>
      <c r="S90" s="65">
        <f>0</f>
        <v>0</v>
      </c>
    </row>
    <row r="91" spans="1:19" ht="69" customHeight="1">
      <c r="A91" s="59" t="s">
        <v>273</v>
      </c>
      <c r="B91" s="60" t="s">
        <v>274</v>
      </c>
      <c r="C91" s="61">
        <f>0</f>
        <v>0</v>
      </c>
      <c r="D91" s="62">
        <f>0</f>
        <v>0</v>
      </c>
      <c r="E91" s="62">
        <f>0</f>
        <v>0</v>
      </c>
      <c r="F91" s="63">
        <f>0</f>
        <v>0</v>
      </c>
      <c r="G91" s="64">
        <f>0</f>
        <v>0</v>
      </c>
      <c r="H91" s="65">
        <f>0</f>
        <v>0</v>
      </c>
      <c r="I91" s="65">
        <f>0</f>
        <v>0</v>
      </c>
      <c r="J91" s="65">
        <f>0</f>
        <v>0</v>
      </c>
      <c r="K91" s="65">
        <f>0</f>
        <v>0</v>
      </c>
      <c r="L91" s="65">
        <f>0</f>
        <v>0</v>
      </c>
      <c r="M91" s="65">
        <f>0</f>
        <v>0</v>
      </c>
      <c r="N91" s="65">
        <f>0</f>
        <v>0</v>
      </c>
      <c r="O91" s="65">
        <f>0</f>
        <v>0</v>
      </c>
      <c r="P91" s="65">
        <f>0</f>
        <v>0</v>
      </c>
      <c r="Q91" s="65">
        <f>0</f>
        <v>0</v>
      </c>
      <c r="R91" s="65">
        <f>0</f>
        <v>0</v>
      </c>
      <c r="S91" s="65">
        <f>0</f>
        <v>0</v>
      </c>
    </row>
    <row r="92" spans="1:19" ht="45.75" customHeight="1">
      <c r="A92" s="59" t="s">
        <v>275</v>
      </c>
      <c r="B92" s="60" t="s">
        <v>276</v>
      </c>
      <c r="C92" s="61">
        <f>0</f>
        <v>0</v>
      </c>
      <c r="D92" s="62">
        <f>0</f>
        <v>0</v>
      </c>
      <c r="E92" s="62">
        <f>0</f>
        <v>0</v>
      </c>
      <c r="F92" s="63">
        <f>0</f>
        <v>0</v>
      </c>
      <c r="G92" s="64">
        <f>0</f>
        <v>0</v>
      </c>
      <c r="H92" s="65">
        <f>0</f>
        <v>0</v>
      </c>
      <c r="I92" s="65">
        <f>0</f>
        <v>0</v>
      </c>
      <c r="J92" s="65">
        <f>0</f>
        <v>0</v>
      </c>
      <c r="K92" s="65">
        <f>0</f>
        <v>0</v>
      </c>
      <c r="L92" s="65">
        <f>0</f>
        <v>0</v>
      </c>
      <c r="M92" s="65">
        <f>0</f>
        <v>0</v>
      </c>
      <c r="N92" s="65">
        <f>0</f>
        <v>0</v>
      </c>
      <c r="O92" s="65">
        <f>0</f>
        <v>0</v>
      </c>
      <c r="P92" s="65">
        <f>0</f>
        <v>0</v>
      </c>
      <c r="Q92" s="65">
        <f>0</f>
        <v>0</v>
      </c>
      <c r="R92" s="65">
        <f>0</f>
        <v>0</v>
      </c>
      <c r="S92" s="65">
        <f>0</f>
        <v>0</v>
      </c>
    </row>
    <row r="93" spans="1:19" ht="69" customHeight="1">
      <c r="A93" s="59" t="s">
        <v>277</v>
      </c>
      <c r="B93" s="60" t="s">
        <v>278</v>
      </c>
      <c r="C93" s="61">
        <f>654761.88</f>
        <v>654761.88</v>
      </c>
      <c r="D93" s="62">
        <f>654761.88</f>
        <v>654761.88</v>
      </c>
      <c r="E93" s="62">
        <f>654762</f>
        <v>654762</v>
      </c>
      <c r="F93" s="63">
        <f>654761.88</f>
        <v>654761.88</v>
      </c>
      <c r="G93" s="64">
        <f>654762</f>
        <v>654762</v>
      </c>
      <c r="H93" s="65">
        <f>654762</f>
        <v>654762</v>
      </c>
      <c r="I93" s="65">
        <f>654762</f>
        <v>654762</v>
      </c>
      <c r="J93" s="65">
        <f>0</f>
        <v>0</v>
      </c>
      <c r="K93" s="65">
        <f>0</f>
        <v>0</v>
      </c>
      <c r="L93" s="65">
        <f>0</f>
        <v>0</v>
      </c>
      <c r="M93" s="65">
        <f>0</f>
        <v>0</v>
      </c>
      <c r="N93" s="65">
        <f>0</f>
        <v>0</v>
      </c>
      <c r="O93" s="65">
        <f>0</f>
        <v>0</v>
      </c>
      <c r="P93" s="65">
        <f>0</f>
        <v>0</v>
      </c>
      <c r="Q93" s="65">
        <f>0</f>
        <v>0</v>
      </c>
      <c r="R93" s="65">
        <f>0</f>
        <v>0</v>
      </c>
      <c r="S93" s="65">
        <f>0</f>
        <v>0</v>
      </c>
    </row>
    <row r="94" spans="1:19" ht="73.5" customHeight="1">
      <c r="A94" s="59" t="s">
        <v>279</v>
      </c>
      <c r="B94" s="60" t="s">
        <v>280</v>
      </c>
      <c r="C94" s="61">
        <f>0</f>
        <v>0</v>
      </c>
      <c r="D94" s="62">
        <f>0</f>
        <v>0</v>
      </c>
      <c r="E94" s="62">
        <f>0</f>
        <v>0</v>
      </c>
      <c r="F94" s="63">
        <f>0</f>
        <v>0</v>
      </c>
      <c r="G94" s="64">
        <f>0</f>
        <v>0</v>
      </c>
      <c r="H94" s="65">
        <f>0</f>
        <v>0</v>
      </c>
      <c r="I94" s="65">
        <f>0</f>
        <v>0</v>
      </c>
      <c r="J94" s="65">
        <f>0</f>
        <v>0</v>
      </c>
      <c r="K94" s="65">
        <f>0</f>
        <v>0</v>
      </c>
      <c r="L94" s="65">
        <f>0</f>
        <v>0</v>
      </c>
      <c r="M94" s="65">
        <f>0</f>
        <v>0</v>
      </c>
      <c r="N94" s="65">
        <f>0</f>
        <v>0</v>
      </c>
      <c r="O94" s="65">
        <f>0</f>
        <v>0</v>
      </c>
      <c r="P94" s="65">
        <f>0</f>
        <v>0</v>
      </c>
      <c r="Q94" s="65">
        <f>0</f>
        <v>0</v>
      </c>
      <c r="R94" s="65">
        <f>0</f>
        <v>0</v>
      </c>
      <c r="S94" s="65">
        <f>0</f>
        <v>0</v>
      </c>
    </row>
    <row r="95" spans="1:19" ht="61.5" customHeight="1">
      <c r="A95" s="59" t="s">
        <v>281</v>
      </c>
      <c r="B95" s="60" t="s">
        <v>282</v>
      </c>
      <c r="C95" s="61">
        <f>0</f>
        <v>0</v>
      </c>
      <c r="D95" s="62">
        <f>0</f>
        <v>0</v>
      </c>
      <c r="E95" s="62">
        <f>0</f>
        <v>0</v>
      </c>
      <c r="F95" s="63">
        <f>0</f>
        <v>0</v>
      </c>
      <c r="G95" s="64">
        <f>0</f>
        <v>0</v>
      </c>
      <c r="H95" s="65">
        <f>0</f>
        <v>0</v>
      </c>
      <c r="I95" s="65">
        <f>0</f>
        <v>0</v>
      </c>
      <c r="J95" s="65">
        <f>0</f>
        <v>0</v>
      </c>
      <c r="K95" s="65">
        <f>0</f>
        <v>0</v>
      </c>
      <c r="L95" s="65">
        <f>0</f>
        <v>0</v>
      </c>
      <c r="M95" s="65">
        <f>0</f>
        <v>0</v>
      </c>
      <c r="N95" s="65">
        <f>0</f>
        <v>0</v>
      </c>
      <c r="O95" s="65">
        <f>0</f>
        <v>0</v>
      </c>
      <c r="P95" s="65">
        <f>0</f>
        <v>0</v>
      </c>
      <c r="Q95" s="65">
        <f>0</f>
        <v>0</v>
      </c>
      <c r="R95" s="65">
        <f>0</f>
        <v>0</v>
      </c>
      <c r="S95" s="65">
        <f>0</f>
        <v>0</v>
      </c>
    </row>
    <row r="96" spans="1:19" ht="42.75" customHeight="1">
      <c r="A96" s="59" t="s">
        <v>283</v>
      </c>
      <c r="B96" s="60" t="s">
        <v>284</v>
      </c>
      <c r="C96" s="61">
        <f>0</f>
        <v>0</v>
      </c>
      <c r="D96" s="62">
        <f>0</f>
        <v>0</v>
      </c>
      <c r="E96" s="62">
        <f>0</f>
        <v>0</v>
      </c>
      <c r="F96" s="63">
        <f>0</f>
        <v>0</v>
      </c>
      <c r="G96" s="64">
        <f>0</f>
        <v>0</v>
      </c>
      <c r="H96" s="65">
        <f>0</f>
        <v>0</v>
      </c>
      <c r="I96" s="65">
        <f>0</f>
        <v>0</v>
      </c>
      <c r="J96" s="65">
        <f>0</f>
        <v>0</v>
      </c>
      <c r="K96" s="65">
        <f>0</f>
        <v>0</v>
      </c>
      <c r="L96" s="65">
        <f>0</f>
        <v>0</v>
      </c>
      <c r="M96" s="65">
        <f>0</f>
        <v>0</v>
      </c>
      <c r="N96" s="65">
        <f>0</f>
        <v>0</v>
      </c>
      <c r="O96" s="65">
        <f>0</f>
        <v>0</v>
      </c>
      <c r="P96" s="65">
        <f>0</f>
        <v>0</v>
      </c>
      <c r="Q96" s="65">
        <f>0</f>
        <v>0</v>
      </c>
      <c r="R96" s="65">
        <f>0</f>
        <v>0</v>
      </c>
      <c r="S96" s="65">
        <f>0</f>
        <v>0</v>
      </c>
    </row>
    <row r="97" spans="1:19" ht="19.5" customHeight="1">
      <c r="A97" s="53">
        <v>14</v>
      </c>
      <c r="B97" s="95" t="s">
        <v>285</v>
      </c>
      <c r="C97" s="69" t="s">
        <v>189</v>
      </c>
      <c r="D97" s="70" t="s">
        <v>189</v>
      </c>
      <c r="E97" s="70" t="s">
        <v>189</v>
      </c>
      <c r="F97" s="71" t="s">
        <v>189</v>
      </c>
      <c r="G97" s="72" t="s">
        <v>189</v>
      </c>
      <c r="H97" s="73" t="s">
        <v>189</v>
      </c>
      <c r="I97" s="73" t="s">
        <v>189</v>
      </c>
      <c r="J97" s="73" t="s">
        <v>189</v>
      </c>
      <c r="K97" s="73" t="s">
        <v>189</v>
      </c>
      <c r="L97" s="73" t="s">
        <v>189</v>
      </c>
      <c r="M97" s="73" t="s">
        <v>189</v>
      </c>
      <c r="N97" s="73" t="s">
        <v>189</v>
      </c>
      <c r="O97" s="73" t="s">
        <v>189</v>
      </c>
      <c r="P97" s="73" t="s">
        <v>189</v>
      </c>
      <c r="Q97" s="73" t="s">
        <v>189</v>
      </c>
      <c r="R97" s="73" t="s">
        <v>189</v>
      </c>
      <c r="S97" s="73" t="s">
        <v>189</v>
      </c>
    </row>
    <row r="98" spans="1:19" ht="58.5" customHeight="1">
      <c r="A98" s="59" t="s">
        <v>286</v>
      </c>
      <c r="B98" s="60" t="s">
        <v>287</v>
      </c>
      <c r="C98" s="61">
        <f>7229323</f>
        <v>7229323</v>
      </c>
      <c r="D98" s="62">
        <f>6677276</f>
        <v>6677276</v>
      </c>
      <c r="E98" s="62">
        <f>6560935</f>
        <v>6560935</v>
      </c>
      <c r="F98" s="63">
        <f>6560935</f>
        <v>6560935</v>
      </c>
      <c r="G98" s="64">
        <f>5788270</f>
        <v>5788270</v>
      </c>
      <c r="H98" s="65">
        <f>5164612</f>
        <v>5164612</v>
      </c>
      <c r="I98" s="65">
        <f>4342000</f>
        <v>4342000</v>
      </c>
      <c r="J98" s="65">
        <f>4442000</f>
        <v>4442000</v>
      </c>
      <c r="K98" s="65">
        <f>3742000</f>
        <v>3742000</v>
      </c>
      <c r="L98" s="65">
        <f>3892000</f>
        <v>3892000</v>
      </c>
      <c r="M98" s="65">
        <f>3992000</f>
        <v>3992000</v>
      </c>
      <c r="N98" s="65">
        <f>3700000</f>
        <v>3700000</v>
      </c>
      <c r="O98" s="65">
        <f>3700000</f>
        <v>3700000</v>
      </c>
      <c r="P98" s="65">
        <f>3700000</f>
        <v>3700000</v>
      </c>
      <c r="Q98" s="65">
        <f>2300000</f>
        <v>2300000</v>
      </c>
      <c r="R98" s="65">
        <f>1700000</f>
        <v>1700000</v>
      </c>
      <c r="S98" s="65">
        <f>1700000</f>
        <v>1700000</v>
      </c>
    </row>
    <row r="99" spans="1:19" ht="33" customHeight="1">
      <c r="A99" s="59" t="s">
        <v>288</v>
      </c>
      <c r="B99" s="60" t="s">
        <v>289</v>
      </c>
      <c r="C99" s="61">
        <f>3273809.57</f>
        <v>3273809.57</v>
      </c>
      <c r="D99" s="62">
        <f>2619047.69</f>
        <v>2619047.69</v>
      </c>
      <c r="E99" s="62">
        <f>1964286</f>
        <v>1964286</v>
      </c>
      <c r="F99" s="63">
        <f>1964285.81</f>
        <v>1964285.81</v>
      </c>
      <c r="G99" s="64">
        <f>1309524</f>
        <v>1309524</v>
      </c>
      <c r="H99" s="65">
        <f>654762</f>
        <v>654762</v>
      </c>
      <c r="I99" s="65">
        <f>0</f>
        <v>0</v>
      </c>
      <c r="J99" s="65">
        <f>0</f>
        <v>0</v>
      </c>
      <c r="K99" s="65">
        <f>0</f>
        <v>0</v>
      </c>
      <c r="L99" s="65">
        <f>0</f>
        <v>0</v>
      </c>
      <c r="M99" s="65">
        <f>0</f>
        <v>0</v>
      </c>
      <c r="N99" s="65">
        <f>0</f>
        <v>0</v>
      </c>
      <c r="O99" s="65">
        <f>0</f>
        <v>0</v>
      </c>
      <c r="P99" s="65">
        <f>0</f>
        <v>0</v>
      </c>
      <c r="Q99" s="65">
        <f>0</f>
        <v>0</v>
      </c>
      <c r="R99" s="65">
        <f>0</f>
        <v>0</v>
      </c>
      <c r="S99" s="65">
        <f>0</f>
        <v>0</v>
      </c>
    </row>
    <row r="100" spans="1:19" ht="22.5" customHeight="1">
      <c r="A100" s="59" t="s">
        <v>290</v>
      </c>
      <c r="B100" s="60" t="s">
        <v>291</v>
      </c>
      <c r="C100" s="61">
        <f>654761.88</f>
        <v>654761.88</v>
      </c>
      <c r="D100" s="62">
        <f>654761.88</f>
        <v>654761.88</v>
      </c>
      <c r="E100" s="62">
        <f>654762</f>
        <v>654762</v>
      </c>
      <c r="F100" s="63">
        <f>654761.88</f>
        <v>654761.88</v>
      </c>
      <c r="G100" s="64">
        <f>654762</f>
        <v>654762</v>
      </c>
      <c r="H100" s="65">
        <f>654762</f>
        <v>654762</v>
      </c>
      <c r="I100" s="65">
        <f>654762</f>
        <v>654762</v>
      </c>
      <c r="J100" s="65">
        <f>0</f>
        <v>0</v>
      </c>
      <c r="K100" s="65">
        <f>0</f>
        <v>0</v>
      </c>
      <c r="L100" s="65">
        <f>0</f>
        <v>0</v>
      </c>
      <c r="M100" s="65">
        <f>0</f>
        <v>0</v>
      </c>
      <c r="N100" s="65">
        <f>0</f>
        <v>0</v>
      </c>
      <c r="O100" s="65">
        <f>0</f>
        <v>0</v>
      </c>
      <c r="P100" s="65">
        <f>0</f>
        <v>0</v>
      </c>
      <c r="Q100" s="65">
        <f>0</f>
        <v>0</v>
      </c>
      <c r="R100" s="65">
        <f>0</f>
        <v>0</v>
      </c>
      <c r="S100" s="65">
        <f>0</f>
        <v>0</v>
      </c>
    </row>
    <row r="101" spans="1:19" ht="37.5" customHeight="1">
      <c r="A101" s="59" t="s">
        <v>292</v>
      </c>
      <c r="B101" s="66" t="s">
        <v>293</v>
      </c>
      <c r="C101" s="61">
        <f>0</f>
        <v>0</v>
      </c>
      <c r="D101" s="62">
        <f>0</f>
        <v>0</v>
      </c>
      <c r="E101" s="62">
        <f>0</f>
        <v>0</v>
      </c>
      <c r="F101" s="63">
        <f>0</f>
        <v>0</v>
      </c>
      <c r="G101" s="64">
        <f>0</f>
        <v>0</v>
      </c>
      <c r="H101" s="65">
        <f>0</f>
        <v>0</v>
      </c>
      <c r="I101" s="65">
        <f>0</f>
        <v>0</v>
      </c>
      <c r="J101" s="65">
        <f>0</f>
        <v>0</v>
      </c>
      <c r="K101" s="65">
        <f>0</f>
        <v>0</v>
      </c>
      <c r="L101" s="65">
        <f>0</f>
        <v>0</v>
      </c>
      <c r="M101" s="65">
        <f>0</f>
        <v>0</v>
      </c>
      <c r="N101" s="65">
        <f>0</f>
        <v>0</v>
      </c>
      <c r="O101" s="65">
        <f>0</f>
        <v>0</v>
      </c>
      <c r="P101" s="65">
        <f>0</f>
        <v>0</v>
      </c>
      <c r="Q101" s="65">
        <f>0</f>
        <v>0</v>
      </c>
      <c r="R101" s="65">
        <f>0</f>
        <v>0</v>
      </c>
      <c r="S101" s="65">
        <f>0</f>
        <v>0</v>
      </c>
    </row>
    <row r="102" spans="1:19" ht="48" customHeight="1">
      <c r="A102" s="59" t="s">
        <v>294</v>
      </c>
      <c r="B102" s="66" t="s">
        <v>295</v>
      </c>
      <c r="C102" s="61">
        <f>654761.88</f>
        <v>654761.88</v>
      </c>
      <c r="D102" s="62">
        <f>654761.88</f>
        <v>654761.88</v>
      </c>
      <c r="E102" s="62">
        <f>654762</f>
        <v>654762</v>
      </c>
      <c r="F102" s="63">
        <f>654761.88</f>
        <v>654761.88</v>
      </c>
      <c r="G102" s="64">
        <f>654762</f>
        <v>654762</v>
      </c>
      <c r="H102" s="65">
        <f>654762</f>
        <v>654762</v>
      </c>
      <c r="I102" s="65">
        <f>654762</f>
        <v>654762</v>
      </c>
      <c r="J102" s="65">
        <f>0</f>
        <v>0</v>
      </c>
      <c r="K102" s="65">
        <f>0</f>
        <v>0</v>
      </c>
      <c r="L102" s="65">
        <f>0</f>
        <v>0</v>
      </c>
      <c r="M102" s="65">
        <f>0</f>
        <v>0</v>
      </c>
      <c r="N102" s="65">
        <f>0</f>
        <v>0</v>
      </c>
      <c r="O102" s="65">
        <f>0</f>
        <v>0</v>
      </c>
      <c r="P102" s="65">
        <f>0</f>
        <v>0</v>
      </c>
      <c r="Q102" s="65">
        <f>0</f>
        <v>0</v>
      </c>
      <c r="R102" s="65">
        <f>0</f>
        <v>0</v>
      </c>
      <c r="S102" s="65">
        <f>0</f>
        <v>0</v>
      </c>
    </row>
    <row r="103" spans="1:19" ht="32.25" customHeight="1">
      <c r="A103" s="59" t="s">
        <v>296</v>
      </c>
      <c r="B103" s="66" t="s">
        <v>297</v>
      </c>
      <c r="C103" s="61">
        <f>0</f>
        <v>0</v>
      </c>
      <c r="D103" s="62">
        <f>0</f>
        <v>0</v>
      </c>
      <c r="E103" s="62">
        <f>0</f>
        <v>0</v>
      </c>
      <c r="F103" s="63">
        <f>0</f>
        <v>0</v>
      </c>
      <c r="G103" s="64">
        <f>0</f>
        <v>0</v>
      </c>
      <c r="H103" s="65">
        <f>0</f>
        <v>0</v>
      </c>
      <c r="I103" s="65">
        <f>0</f>
        <v>0</v>
      </c>
      <c r="J103" s="65">
        <f>0</f>
        <v>0</v>
      </c>
      <c r="K103" s="65">
        <f>0</f>
        <v>0</v>
      </c>
      <c r="L103" s="65">
        <f>0</f>
        <v>0</v>
      </c>
      <c r="M103" s="65">
        <f>0</f>
        <v>0</v>
      </c>
      <c r="N103" s="65">
        <f>0</f>
        <v>0</v>
      </c>
      <c r="O103" s="65">
        <f>0</f>
        <v>0</v>
      </c>
      <c r="P103" s="65">
        <f>0</f>
        <v>0</v>
      </c>
      <c r="Q103" s="65">
        <f>0</f>
        <v>0</v>
      </c>
      <c r="R103" s="65">
        <f>0</f>
        <v>0</v>
      </c>
      <c r="S103" s="65">
        <f>0</f>
        <v>0</v>
      </c>
    </row>
    <row r="104" spans="1:19" ht="39" customHeight="1">
      <c r="A104" s="86" t="s">
        <v>298</v>
      </c>
      <c r="B104" s="87" t="s">
        <v>299</v>
      </c>
      <c r="C104" s="88">
        <f>0</f>
        <v>0</v>
      </c>
      <c r="D104" s="89">
        <f>0</f>
        <v>0</v>
      </c>
      <c r="E104" s="89">
        <f>0</f>
        <v>0</v>
      </c>
      <c r="F104" s="90">
        <f>0</f>
        <v>0</v>
      </c>
      <c r="G104" s="91">
        <f>0</f>
        <v>0</v>
      </c>
      <c r="H104" s="92">
        <f>0</f>
        <v>0</v>
      </c>
      <c r="I104" s="92">
        <f>0</f>
        <v>0</v>
      </c>
      <c r="J104" s="92">
        <f>0</f>
        <v>0</v>
      </c>
      <c r="K104" s="92">
        <f>0</f>
        <v>0</v>
      </c>
      <c r="L104" s="92">
        <f>0</f>
        <v>0</v>
      </c>
      <c r="M104" s="92">
        <f>0</f>
        <v>0</v>
      </c>
      <c r="N104" s="92">
        <f>0</f>
        <v>0</v>
      </c>
      <c r="O104" s="92">
        <f>0</f>
        <v>0</v>
      </c>
      <c r="P104" s="92">
        <f>0</f>
        <v>0</v>
      </c>
      <c r="Q104" s="92">
        <f>0</f>
        <v>0</v>
      </c>
      <c r="R104" s="92">
        <f>0</f>
        <v>0</v>
      </c>
      <c r="S104" s="92">
        <f>0</f>
        <v>0</v>
      </c>
    </row>
  </sheetData>
  <sheetProtection algorithmName="SHA-512" hashValue="pMwQ1oTEplaidzdMapvLOctePckUPiA7TUl8oSgX6Rc27YoUfwRwFe6JwU5GZchWfXVGAvP7mTnNCH9yIrFnRw==" saltValue="Ro0bddh/BOdOrzv366A9Ww==" spinCount="100000" sheet="1" objects="1" scenarios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5748031496062992" right="0.15748031496062992" top="1.299212598425197" bottom="1.3385826771653544" header="0.74803149606299213" footer="0.43307086614173229"/>
  <pageSetup paperSize="9" scale="58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2" manualBreakCount="2">
    <brk id="46" max="19" man="1"/>
    <brk id="8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69"/>
  <sheetViews>
    <sheetView tabSelected="1" zoomScale="118" zoomScaleNormal="118" workbookViewId="0">
      <pane ySplit="4" topLeftCell="A68" activePane="bottomLeft" state="frozen"/>
      <selection pane="bottomLeft" activeCell="B94" sqref="B94"/>
    </sheetView>
  </sheetViews>
  <sheetFormatPr defaultRowHeight="12.75"/>
  <cols>
    <col min="1" max="1" width="7.85546875" style="2" customWidth="1"/>
    <col min="2" max="2" width="56.85546875" style="3" customWidth="1"/>
    <col min="3" max="3" width="19.42578125" style="2" customWidth="1"/>
    <col min="4" max="5" width="7.42578125" style="2" customWidth="1"/>
    <col min="6" max="6" width="13.7109375" style="3" customWidth="1"/>
    <col min="7" max="7" width="13.42578125" style="3" customWidth="1"/>
    <col min="8" max="8" width="13" style="3" customWidth="1"/>
    <col min="9" max="11" width="12.140625" style="3" customWidth="1"/>
    <col min="12" max="12" width="13" style="3" customWidth="1"/>
    <col min="13" max="241" width="9.140625" style="3"/>
    <col min="242" max="242" width="1" style="3" customWidth="1"/>
    <col min="243" max="243" width="39.140625" style="3" customWidth="1"/>
    <col min="244" max="244" width="21.42578125" style="3" customWidth="1"/>
    <col min="245" max="245" width="11.28515625" style="3" customWidth="1"/>
    <col min="246" max="246" width="9.5703125" style="3" customWidth="1"/>
    <col min="247" max="247" width="13.5703125" style="3" customWidth="1"/>
    <col min="248" max="257" width="12.140625" style="3" customWidth="1"/>
    <col min="258" max="267" width="0" style="3" hidden="1" customWidth="1"/>
    <col min="268" max="268" width="14.140625" style="3" customWidth="1"/>
    <col min="269" max="497" width="9.140625" style="3"/>
    <col min="498" max="498" width="1" style="3" customWidth="1"/>
    <col min="499" max="499" width="39.140625" style="3" customWidth="1"/>
    <col min="500" max="500" width="21.42578125" style="3" customWidth="1"/>
    <col min="501" max="501" width="11.28515625" style="3" customWidth="1"/>
    <col min="502" max="502" width="9.5703125" style="3" customWidth="1"/>
    <col min="503" max="503" width="13.5703125" style="3" customWidth="1"/>
    <col min="504" max="513" width="12.140625" style="3" customWidth="1"/>
    <col min="514" max="523" width="0" style="3" hidden="1" customWidth="1"/>
    <col min="524" max="524" width="14.140625" style="3" customWidth="1"/>
    <col min="525" max="753" width="9.140625" style="3"/>
    <col min="754" max="754" width="1" style="3" customWidth="1"/>
    <col min="755" max="755" width="39.140625" style="3" customWidth="1"/>
    <col min="756" max="756" width="21.42578125" style="3" customWidth="1"/>
    <col min="757" max="757" width="11.28515625" style="3" customWidth="1"/>
    <col min="758" max="758" width="9.5703125" style="3" customWidth="1"/>
    <col min="759" max="759" width="13.5703125" style="3" customWidth="1"/>
    <col min="760" max="769" width="12.140625" style="3" customWidth="1"/>
    <col min="770" max="779" width="0" style="3" hidden="1" customWidth="1"/>
    <col min="780" max="780" width="14.140625" style="3" customWidth="1"/>
    <col min="781" max="1009" width="9.140625" style="3"/>
    <col min="1010" max="1010" width="1" style="3" customWidth="1"/>
    <col min="1011" max="1011" width="39.140625" style="3" customWidth="1"/>
    <col min="1012" max="1012" width="21.42578125" style="3" customWidth="1"/>
    <col min="1013" max="1013" width="11.28515625" style="3" customWidth="1"/>
    <col min="1014" max="1014" width="9.5703125" style="3" customWidth="1"/>
    <col min="1015" max="1015" width="13.5703125" style="3" customWidth="1"/>
    <col min="1016" max="1025" width="12.140625" style="3" customWidth="1"/>
    <col min="1026" max="1035" width="0" style="3" hidden="1" customWidth="1"/>
    <col min="1036" max="1036" width="14.140625" style="3" customWidth="1"/>
    <col min="1037" max="1265" width="9.140625" style="3"/>
    <col min="1266" max="1266" width="1" style="3" customWidth="1"/>
    <col min="1267" max="1267" width="39.140625" style="3" customWidth="1"/>
    <col min="1268" max="1268" width="21.42578125" style="3" customWidth="1"/>
    <col min="1269" max="1269" width="11.28515625" style="3" customWidth="1"/>
    <col min="1270" max="1270" width="9.5703125" style="3" customWidth="1"/>
    <col min="1271" max="1271" width="13.5703125" style="3" customWidth="1"/>
    <col min="1272" max="1281" width="12.140625" style="3" customWidth="1"/>
    <col min="1282" max="1291" width="0" style="3" hidden="1" customWidth="1"/>
    <col min="1292" max="1292" width="14.140625" style="3" customWidth="1"/>
    <col min="1293" max="1521" width="9.140625" style="3"/>
    <col min="1522" max="1522" width="1" style="3" customWidth="1"/>
    <col min="1523" max="1523" width="39.140625" style="3" customWidth="1"/>
    <col min="1524" max="1524" width="21.42578125" style="3" customWidth="1"/>
    <col min="1525" max="1525" width="11.28515625" style="3" customWidth="1"/>
    <col min="1526" max="1526" width="9.5703125" style="3" customWidth="1"/>
    <col min="1527" max="1527" width="13.5703125" style="3" customWidth="1"/>
    <col min="1528" max="1537" width="12.140625" style="3" customWidth="1"/>
    <col min="1538" max="1547" width="0" style="3" hidden="1" customWidth="1"/>
    <col min="1548" max="1548" width="14.140625" style="3" customWidth="1"/>
    <col min="1549" max="1777" width="9.140625" style="3"/>
    <col min="1778" max="1778" width="1" style="3" customWidth="1"/>
    <col min="1779" max="1779" width="39.140625" style="3" customWidth="1"/>
    <col min="1780" max="1780" width="21.42578125" style="3" customWidth="1"/>
    <col min="1781" max="1781" width="11.28515625" style="3" customWidth="1"/>
    <col min="1782" max="1782" width="9.5703125" style="3" customWidth="1"/>
    <col min="1783" max="1783" width="13.5703125" style="3" customWidth="1"/>
    <col min="1784" max="1793" width="12.140625" style="3" customWidth="1"/>
    <col min="1794" max="1803" width="0" style="3" hidden="1" customWidth="1"/>
    <col min="1804" max="1804" width="14.140625" style="3" customWidth="1"/>
    <col min="1805" max="2033" width="9.140625" style="3"/>
    <col min="2034" max="2034" width="1" style="3" customWidth="1"/>
    <col min="2035" max="2035" width="39.140625" style="3" customWidth="1"/>
    <col min="2036" max="2036" width="21.42578125" style="3" customWidth="1"/>
    <col min="2037" max="2037" width="11.28515625" style="3" customWidth="1"/>
    <col min="2038" max="2038" width="9.5703125" style="3" customWidth="1"/>
    <col min="2039" max="2039" width="13.5703125" style="3" customWidth="1"/>
    <col min="2040" max="2049" width="12.140625" style="3" customWidth="1"/>
    <col min="2050" max="2059" width="0" style="3" hidden="1" customWidth="1"/>
    <col min="2060" max="2060" width="14.140625" style="3" customWidth="1"/>
    <col min="2061" max="2289" width="9.140625" style="3"/>
    <col min="2290" max="2290" width="1" style="3" customWidth="1"/>
    <col min="2291" max="2291" width="39.140625" style="3" customWidth="1"/>
    <col min="2292" max="2292" width="21.42578125" style="3" customWidth="1"/>
    <col min="2293" max="2293" width="11.28515625" style="3" customWidth="1"/>
    <col min="2294" max="2294" width="9.5703125" style="3" customWidth="1"/>
    <col min="2295" max="2295" width="13.5703125" style="3" customWidth="1"/>
    <col min="2296" max="2305" width="12.140625" style="3" customWidth="1"/>
    <col min="2306" max="2315" width="0" style="3" hidden="1" customWidth="1"/>
    <col min="2316" max="2316" width="14.140625" style="3" customWidth="1"/>
    <col min="2317" max="2545" width="9.140625" style="3"/>
    <col min="2546" max="2546" width="1" style="3" customWidth="1"/>
    <col min="2547" max="2547" width="39.140625" style="3" customWidth="1"/>
    <col min="2548" max="2548" width="21.42578125" style="3" customWidth="1"/>
    <col min="2549" max="2549" width="11.28515625" style="3" customWidth="1"/>
    <col min="2550" max="2550" width="9.5703125" style="3" customWidth="1"/>
    <col min="2551" max="2551" width="13.5703125" style="3" customWidth="1"/>
    <col min="2552" max="2561" width="12.140625" style="3" customWidth="1"/>
    <col min="2562" max="2571" width="0" style="3" hidden="1" customWidth="1"/>
    <col min="2572" max="2572" width="14.140625" style="3" customWidth="1"/>
    <col min="2573" max="2801" width="9.140625" style="3"/>
    <col min="2802" max="2802" width="1" style="3" customWidth="1"/>
    <col min="2803" max="2803" width="39.140625" style="3" customWidth="1"/>
    <col min="2804" max="2804" width="21.42578125" style="3" customWidth="1"/>
    <col min="2805" max="2805" width="11.28515625" style="3" customWidth="1"/>
    <col min="2806" max="2806" width="9.5703125" style="3" customWidth="1"/>
    <col min="2807" max="2807" width="13.5703125" style="3" customWidth="1"/>
    <col min="2808" max="2817" width="12.140625" style="3" customWidth="1"/>
    <col min="2818" max="2827" width="0" style="3" hidden="1" customWidth="1"/>
    <col min="2828" max="2828" width="14.140625" style="3" customWidth="1"/>
    <col min="2829" max="3057" width="9.140625" style="3"/>
    <col min="3058" max="3058" width="1" style="3" customWidth="1"/>
    <col min="3059" max="3059" width="39.140625" style="3" customWidth="1"/>
    <col min="3060" max="3060" width="21.42578125" style="3" customWidth="1"/>
    <col min="3061" max="3061" width="11.28515625" style="3" customWidth="1"/>
    <col min="3062" max="3062" width="9.5703125" style="3" customWidth="1"/>
    <col min="3063" max="3063" width="13.5703125" style="3" customWidth="1"/>
    <col min="3064" max="3073" width="12.140625" style="3" customWidth="1"/>
    <col min="3074" max="3083" width="0" style="3" hidden="1" customWidth="1"/>
    <col min="3084" max="3084" width="14.140625" style="3" customWidth="1"/>
    <col min="3085" max="3313" width="9.140625" style="3"/>
    <col min="3314" max="3314" width="1" style="3" customWidth="1"/>
    <col min="3315" max="3315" width="39.140625" style="3" customWidth="1"/>
    <col min="3316" max="3316" width="21.42578125" style="3" customWidth="1"/>
    <col min="3317" max="3317" width="11.28515625" style="3" customWidth="1"/>
    <col min="3318" max="3318" width="9.5703125" style="3" customWidth="1"/>
    <col min="3319" max="3319" width="13.5703125" style="3" customWidth="1"/>
    <col min="3320" max="3329" width="12.140625" style="3" customWidth="1"/>
    <col min="3330" max="3339" width="0" style="3" hidden="1" customWidth="1"/>
    <col min="3340" max="3340" width="14.140625" style="3" customWidth="1"/>
    <col min="3341" max="3569" width="9.140625" style="3"/>
    <col min="3570" max="3570" width="1" style="3" customWidth="1"/>
    <col min="3571" max="3571" width="39.140625" style="3" customWidth="1"/>
    <col min="3572" max="3572" width="21.42578125" style="3" customWidth="1"/>
    <col min="3573" max="3573" width="11.28515625" style="3" customWidth="1"/>
    <col min="3574" max="3574" width="9.5703125" style="3" customWidth="1"/>
    <col min="3575" max="3575" width="13.5703125" style="3" customWidth="1"/>
    <col min="3576" max="3585" width="12.140625" style="3" customWidth="1"/>
    <col min="3586" max="3595" width="0" style="3" hidden="1" customWidth="1"/>
    <col min="3596" max="3596" width="14.140625" style="3" customWidth="1"/>
    <col min="3597" max="3825" width="9.140625" style="3"/>
    <col min="3826" max="3826" width="1" style="3" customWidth="1"/>
    <col min="3827" max="3827" width="39.140625" style="3" customWidth="1"/>
    <col min="3828" max="3828" width="21.42578125" style="3" customWidth="1"/>
    <col min="3829" max="3829" width="11.28515625" style="3" customWidth="1"/>
    <col min="3830" max="3830" width="9.5703125" style="3" customWidth="1"/>
    <col min="3831" max="3831" width="13.5703125" style="3" customWidth="1"/>
    <col min="3832" max="3841" width="12.140625" style="3" customWidth="1"/>
    <col min="3842" max="3851" width="0" style="3" hidden="1" customWidth="1"/>
    <col min="3852" max="3852" width="14.140625" style="3" customWidth="1"/>
    <col min="3853" max="4081" width="9.140625" style="3"/>
    <col min="4082" max="4082" width="1" style="3" customWidth="1"/>
    <col min="4083" max="4083" width="39.140625" style="3" customWidth="1"/>
    <col min="4084" max="4084" width="21.42578125" style="3" customWidth="1"/>
    <col min="4085" max="4085" width="11.28515625" style="3" customWidth="1"/>
    <col min="4086" max="4086" width="9.5703125" style="3" customWidth="1"/>
    <col min="4087" max="4087" width="13.5703125" style="3" customWidth="1"/>
    <col min="4088" max="4097" width="12.140625" style="3" customWidth="1"/>
    <col min="4098" max="4107" width="0" style="3" hidden="1" customWidth="1"/>
    <col min="4108" max="4108" width="14.140625" style="3" customWidth="1"/>
    <col min="4109" max="4337" width="9.140625" style="3"/>
    <col min="4338" max="4338" width="1" style="3" customWidth="1"/>
    <col min="4339" max="4339" width="39.140625" style="3" customWidth="1"/>
    <col min="4340" max="4340" width="21.42578125" style="3" customWidth="1"/>
    <col min="4341" max="4341" width="11.28515625" style="3" customWidth="1"/>
    <col min="4342" max="4342" width="9.5703125" style="3" customWidth="1"/>
    <col min="4343" max="4343" width="13.5703125" style="3" customWidth="1"/>
    <col min="4344" max="4353" width="12.140625" style="3" customWidth="1"/>
    <col min="4354" max="4363" width="0" style="3" hidden="1" customWidth="1"/>
    <col min="4364" max="4364" width="14.140625" style="3" customWidth="1"/>
    <col min="4365" max="4593" width="9.140625" style="3"/>
    <col min="4594" max="4594" width="1" style="3" customWidth="1"/>
    <col min="4595" max="4595" width="39.140625" style="3" customWidth="1"/>
    <col min="4596" max="4596" width="21.42578125" style="3" customWidth="1"/>
    <col min="4597" max="4597" width="11.28515625" style="3" customWidth="1"/>
    <col min="4598" max="4598" width="9.5703125" style="3" customWidth="1"/>
    <col min="4599" max="4599" width="13.5703125" style="3" customWidth="1"/>
    <col min="4600" max="4609" width="12.140625" style="3" customWidth="1"/>
    <col min="4610" max="4619" width="0" style="3" hidden="1" customWidth="1"/>
    <col min="4620" max="4620" width="14.140625" style="3" customWidth="1"/>
    <col min="4621" max="4849" width="9.140625" style="3"/>
    <col min="4850" max="4850" width="1" style="3" customWidth="1"/>
    <col min="4851" max="4851" width="39.140625" style="3" customWidth="1"/>
    <col min="4852" max="4852" width="21.42578125" style="3" customWidth="1"/>
    <col min="4853" max="4853" width="11.28515625" style="3" customWidth="1"/>
    <col min="4854" max="4854" width="9.5703125" style="3" customWidth="1"/>
    <col min="4855" max="4855" width="13.5703125" style="3" customWidth="1"/>
    <col min="4856" max="4865" width="12.140625" style="3" customWidth="1"/>
    <col min="4866" max="4875" width="0" style="3" hidden="1" customWidth="1"/>
    <col min="4876" max="4876" width="14.140625" style="3" customWidth="1"/>
    <col min="4877" max="5105" width="9.140625" style="3"/>
    <col min="5106" max="5106" width="1" style="3" customWidth="1"/>
    <col min="5107" max="5107" width="39.140625" style="3" customWidth="1"/>
    <col min="5108" max="5108" width="21.42578125" style="3" customWidth="1"/>
    <col min="5109" max="5109" width="11.28515625" style="3" customWidth="1"/>
    <col min="5110" max="5110" width="9.5703125" style="3" customWidth="1"/>
    <col min="5111" max="5111" width="13.5703125" style="3" customWidth="1"/>
    <col min="5112" max="5121" width="12.140625" style="3" customWidth="1"/>
    <col min="5122" max="5131" width="0" style="3" hidden="1" customWidth="1"/>
    <col min="5132" max="5132" width="14.140625" style="3" customWidth="1"/>
    <col min="5133" max="5361" width="9.140625" style="3"/>
    <col min="5362" max="5362" width="1" style="3" customWidth="1"/>
    <col min="5363" max="5363" width="39.140625" style="3" customWidth="1"/>
    <col min="5364" max="5364" width="21.42578125" style="3" customWidth="1"/>
    <col min="5365" max="5365" width="11.28515625" style="3" customWidth="1"/>
    <col min="5366" max="5366" width="9.5703125" style="3" customWidth="1"/>
    <col min="5367" max="5367" width="13.5703125" style="3" customWidth="1"/>
    <col min="5368" max="5377" width="12.140625" style="3" customWidth="1"/>
    <col min="5378" max="5387" width="0" style="3" hidden="1" customWidth="1"/>
    <col min="5388" max="5388" width="14.140625" style="3" customWidth="1"/>
    <col min="5389" max="5617" width="9.140625" style="3"/>
    <col min="5618" max="5618" width="1" style="3" customWidth="1"/>
    <col min="5619" max="5619" width="39.140625" style="3" customWidth="1"/>
    <col min="5620" max="5620" width="21.42578125" style="3" customWidth="1"/>
    <col min="5621" max="5621" width="11.28515625" style="3" customWidth="1"/>
    <col min="5622" max="5622" width="9.5703125" style="3" customWidth="1"/>
    <col min="5623" max="5623" width="13.5703125" style="3" customWidth="1"/>
    <col min="5624" max="5633" width="12.140625" style="3" customWidth="1"/>
    <col min="5634" max="5643" width="0" style="3" hidden="1" customWidth="1"/>
    <col min="5644" max="5644" width="14.140625" style="3" customWidth="1"/>
    <col min="5645" max="5873" width="9.140625" style="3"/>
    <col min="5874" max="5874" width="1" style="3" customWidth="1"/>
    <col min="5875" max="5875" width="39.140625" style="3" customWidth="1"/>
    <col min="5876" max="5876" width="21.42578125" style="3" customWidth="1"/>
    <col min="5877" max="5877" width="11.28515625" style="3" customWidth="1"/>
    <col min="5878" max="5878" width="9.5703125" style="3" customWidth="1"/>
    <col min="5879" max="5879" width="13.5703125" style="3" customWidth="1"/>
    <col min="5880" max="5889" width="12.140625" style="3" customWidth="1"/>
    <col min="5890" max="5899" width="0" style="3" hidden="1" customWidth="1"/>
    <col min="5900" max="5900" width="14.140625" style="3" customWidth="1"/>
    <col min="5901" max="6129" width="9.140625" style="3"/>
    <col min="6130" max="6130" width="1" style="3" customWidth="1"/>
    <col min="6131" max="6131" width="39.140625" style="3" customWidth="1"/>
    <col min="6132" max="6132" width="21.42578125" style="3" customWidth="1"/>
    <col min="6133" max="6133" width="11.28515625" style="3" customWidth="1"/>
    <col min="6134" max="6134" width="9.5703125" style="3" customWidth="1"/>
    <col min="6135" max="6135" width="13.5703125" style="3" customWidth="1"/>
    <col min="6136" max="6145" width="12.140625" style="3" customWidth="1"/>
    <col min="6146" max="6155" width="0" style="3" hidden="1" customWidth="1"/>
    <col min="6156" max="6156" width="14.140625" style="3" customWidth="1"/>
    <col min="6157" max="6385" width="9.140625" style="3"/>
    <col min="6386" max="6386" width="1" style="3" customWidth="1"/>
    <col min="6387" max="6387" width="39.140625" style="3" customWidth="1"/>
    <col min="6388" max="6388" width="21.42578125" style="3" customWidth="1"/>
    <col min="6389" max="6389" width="11.28515625" style="3" customWidth="1"/>
    <col min="6390" max="6390" width="9.5703125" style="3" customWidth="1"/>
    <col min="6391" max="6391" width="13.5703125" style="3" customWidth="1"/>
    <col min="6392" max="6401" width="12.140625" style="3" customWidth="1"/>
    <col min="6402" max="6411" width="0" style="3" hidden="1" customWidth="1"/>
    <col min="6412" max="6412" width="14.140625" style="3" customWidth="1"/>
    <col min="6413" max="6641" width="9.140625" style="3"/>
    <col min="6642" max="6642" width="1" style="3" customWidth="1"/>
    <col min="6643" max="6643" width="39.140625" style="3" customWidth="1"/>
    <col min="6644" max="6644" width="21.42578125" style="3" customWidth="1"/>
    <col min="6645" max="6645" width="11.28515625" style="3" customWidth="1"/>
    <col min="6646" max="6646" width="9.5703125" style="3" customWidth="1"/>
    <col min="6647" max="6647" width="13.5703125" style="3" customWidth="1"/>
    <col min="6648" max="6657" width="12.140625" style="3" customWidth="1"/>
    <col min="6658" max="6667" width="0" style="3" hidden="1" customWidth="1"/>
    <col min="6668" max="6668" width="14.140625" style="3" customWidth="1"/>
    <col min="6669" max="6897" width="9.140625" style="3"/>
    <col min="6898" max="6898" width="1" style="3" customWidth="1"/>
    <col min="6899" max="6899" width="39.140625" style="3" customWidth="1"/>
    <col min="6900" max="6900" width="21.42578125" style="3" customWidth="1"/>
    <col min="6901" max="6901" width="11.28515625" style="3" customWidth="1"/>
    <col min="6902" max="6902" width="9.5703125" style="3" customWidth="1"/>
    <col min="6903" max="6903" width="13.5703125" style="3" customWidth="1"/>
    <col min="6904" max="6913" width="12.140625" style="3" customWidth="1"/>
    <col min="6914" max="6923" width="0" style="3" hidden="1" customWidth="1"/>
    <col min="6924" max="6924" width="14.140625" style="3" customWidth="1"/>
    <col min="6925" max="7153" width="9.140625" style="3"/>
    <col min="7154" max="7154" width="1" style="3" customWidth="1"/>
    <col min="7155" max="7155" width="39.140625" style="3" customWidth="1"/>
    <col min="7156" max="7156" width="21.42578125" style="3" customWidth="1"/>
    <col min="7157" max="7157" width="11.28515625" style="3" customWidth="1"/>
    <col min="7158" max="7158" width="9.5703125" style="3" customWidth="1"/>
    <col min="7159" max="7159" width="13.5703125" style="3" customWidth="1"/>
    <col min="7160" max="7169" width="12.140625" style="3" customWidth="1"/>
    <col min="7170" max="7179" width="0" style="3" hidden="1" customWidth="1"/>
    <col min="7180" max="7180" width="14.140625" style="3" customWidth="1"/>
    <col min="7181" max="7409" width="9.140625" style="3"/>
    <col min="7410" max="7410" width="1" style="3" customWidth="1"/>
    <col min="7411" max="7411" width="39.140625" style="3" customWidth="1"/>
    <col min="7412" max="7412" width="21.42578125" style="3" customWidth="1"/>
    <col min="7413" max="7413" width="11.28515625" style="3" customWidth="1"/>
    <col min="7414" max="7414" width="9.5703125" style="3" customWidth="1"/>
    <col min="7415" max="7415" width="13.5703125" style="3" customWidth="1"/>
    <col min="7416" max="7425" width="12.140625" style="3" customWidth="1"/>
    <col min="7426" max="7435" width="0" style="3" hidden="1" customWidth="1"/>
    <col min="7436" max="7436" width="14.140625" style="3" customWidth="1"/>
    <col min="7437" max="7665" width="9.140625" style="3"/>
    <col min="7666" max="7666" width="1" style="3" customWidth="1"/>
    <col min="7667" max="7667" width="39.140625" style="3" customWidth="1"/>
    <col min="7668" max="7668" width="21.42578125" style="3" customWidth="1"/>
    <col min="7669" max="7669" width="11.28515625" style="3" customWidth="1"/>
    <col min="7670" max="7670" width="9.5703125" style="3" customWidth="1"/>
    <col min="7671" max="7671" width="13.5703125" style="3" customWidth="1"/>
    <col min="7672" max="7681" width="12.140625" style="3" customWidth="1"/>
    <col min="7682" max="7691" width="0" style="3" hidden="1" customWidth="1"/>
    <col min="7692" max="7692" width="14.140625" style="3" customWidth="1"/>
    <col min="7693" max="7921" width="9.140625" style="3"/>
    <col min="7922" max="7922" width="1" style="3" customWidth="1"/>
    <col min="7923" max="7923" width="39.140625" style="3" customWidth="1"/>
    <col min="7924" max="7924" width="21.42578125" style="3" customWidth="1"/>
    <col min="7925" max="7925" width="11.28515625" style="3" customWidth="1"/>
    <col min="7926" max="7926" width="9.5703125" style="3" customWidth="1"/>
    <col min="7927" max="7927" width="13.5703125" style="3" customWidth="1"/>
    <col min="7928" max="7937" width="12.140625" style="3" customWidth="1"/>
    <col min="7938" max="7947" width="0" style="3" hidden="1" customWidth="1"/>
    <col min="7948" max="7948" width="14.140625" style="3" customWidth="1"/>
    <col min="7949" max="8177" width="9.140625" style="3"/>
    <col min="8178" max="8178" width="1" style="3" customWidth="1"/>
    <col min="8179" max="8179" width="39.140625" style="3" customWidth="1"/>
    <col min="8180" max="8180" width="21.42578125" style="3" customWidth="1"/>
    <col min="8181" max="8181" width="11.28515625" style="3" customWidth="1"/>
    <col min="8182" max="8182" width="9.5703125" style="3" customWidth="1"/>
    <col min="8183" max="8183" width="13.5703125" style="3" customWidth="1"/>
    <col min="8184" max="8193" width="12.140625" style="3" customWidth="1"/>
    <col min="8194" max="8203" width="0" style="3" hidden="1" customWidth="1"/>
    <col min="8204" max="8204" width="14.140625" style="3" customWidth="1"/>
    <col min="8205" max="8433" width="9.140625" style="3"/>
    <col min="8434" max="8434" width="1" style="3" customWidth="1"/>
    <col min="8435" max="8435" width="39.140625" style="3" customWidth="1"/>
    <col min="8436" max="8436" width="21.42578125" style="3" customWidth="1"/>
    <col min="8437" max="8437" width="11.28515625" style="3" customWidth="1"/>
    <col min="8438" max="8438" width="9.5703125" style="3" customWidth="1"/>
    <col min="8439" max="8439" width="13.5703125" style="3" customWidth="1"/>
    <col min="8440" max="8449" width="12.140625" style="3" customWidth="1"/>
    <col min="8450" max="8459" width="0" style="3" hidden="1" customWidth="1"/>
    <col min="8460" max="8460" width="14.140625" style="3" customWidth="1"/>
    <col min="8461" max="8689" width="9.140625" style="3"/>
    <col min="8690" max="8690" width="1" style="3" customWidth="1"/>
    <col min="8691" max="8691" width="39.140625" style="3" customWidth="1"/>
    <col min="8692" max="8692" width="21.42578125" style="3" customWidth="1"/>
    <col min="8693" max="8693" width="11.28515625" style="3" customWidth="1"/>
    <col min="8694" max="8694" width="9.5703125" style="3" customWidth="1"/>
    <col min="8695" max="8695" width="13.5703125" style="3" customWidth="1"/>
    <col min="8696" max="8705" width="12.140625" style="3" customWidth="1"/>
    <col min="8706" max="8715" width="0" style="3" hidden="1" customWidth="1"/>
    <col min="8716" max="8716" width="14.140625" style="3" customWidth="1"/>
    <col min="8717" max="8945" width="9.140625" style="3"/>
    <col min="8946" max="8946" width="1" style="3" customWidth="1"/>
    <col min="8947" max="8947" width="39.140625" style="3" customWidth="1"/>
    <col min="8948" max="8948" width="21.42578125" style="3" customWidth="1"/>
    <col min="8949" max="8949" width="11.28515625" style="3" customWidth="1"/>
    <col min="8950" max="8950" width="9.5703125" style="3" customWidth="1"/>
    <col min="8951" max="8951" width="13.5703125" style="3" customWidth="1"/>
    <col min="8952" max="8961" width="12.140625" style="3" customWidth="1"/>
    <col min="8962" max="8971" width="0" style="3" hidden="1" customWidth="1"/>
    <col min="8972" max="8972" width="14.140625" style="3" customWidth="1"/>
    <col min="8973" max="9201" width="9.140625" style="3"/>
    <col min="9202" max="9202" width="1" style="3" customWidth="1"/>
    <col min="9203" max="9203" width="39.140625" style="3" customWidth="1"/>
    <col min="9204" max="9204" width="21.42578125" style="3" customWidth="1"/>
    <col min="9205" max="9205" width="11.28515625" style="3" customWidth="1"/>
    <col min="9206" max="9206" width="9.5703125" style="3" customWidth="1"/>
    <col min="9207" max="9207" width="13.5703125" style="3" customWidth="1"/>
    <col min="9208" max="9217" width="12.140625" style="3" customWidth="1"/>
    <col min="9218" max="9227" width="0" style="3" hidden="1" customWidth="1"/>
    <col min="9228" max="9228" width="14.140625" style="3" customWidth="1"/>
    <col min="9229" max="9457" width="9.140625" style="3"/>
    <col min="9458" max="9458" width="1" style="3" customWidth="1"/>
    <col min="9459" max="9459" width="39.140625" style="3" customWidth="1"/>
    <col min="9460" max="9460" width="21.42578125" style="3" customWidth="1"/>
    <col min="9461" max="9461" width="11.28515625" style="3" customWidth="1"/>
    <col min="9462" max="9462" width="9.5703125" style="3" customWidth="1"/>
    <col min="9463" max="9463" width="13.5703125" style="3" customWidth="1"/>
    <col min="9464" max="9473" width="12.140625" style="3" customWidth="1"/>
    <col min="9474" max="9483" width="0" style="3" hidden="1" customWidth="1"/>
    <col min="9484" max="9484" width="14.140625" style="3" customWidth="1"/>
    <col min="9485" max="9713" width="9.140625" style="3"/>
    <col min="9714" max="9714" width="1" style="3" customWidth="1"/>
    <col min="9715" max="9715" width="39.140625" style="3" customWidth="1"/>
    <col min="9716" max="9716" width="21.42578125" style="3" customWidth="1"/>
    <col min="9717" max="9717" width="11.28515625" style="3" customWidth="1"/>
    <col min="9718" max="9718" width="9.5703125" style="3" customWidth="1"/>
    <col min="9719" max="9719" width="13.5703125" style="3" customWidth="1"/>
    <col min="9720" max="9729" width="12.140625" style="3" customWidth="1"/>
    <col min="9730" max="9739" width="0" style="3" hidden="1" customWidth="1"/>
    <col min="9740" max="9740" width="14.140625" style="3" customWidth="1"/>
    <col min="9741" max="9969" width="9.140625" style="3"/>
    <col min="9970" max="9970" width="1" style="3" customWidth="1"/>
    <col min="9971" max="9971" width="39.140625" style="3" customWidth="1"/>
    <col min="9972" max="9972" width="21.42578125" style="3" customWidth="1"/>
    <col min="9973" max="9973" width="11.28515625" style="3" customWidth="1"/>
    <col min="9974" max="9974" width="9.5703125" style="3" customWidth="1"/>
    <col min="9975" max="9975" width="13.5703125" style="3" customWidth="1"/>
    <col min="9976" max="9985" width="12.140625" style="3" customWidth="1"/>
    <col min="9986" max="9995" width="0" style="3" hidden="1" customWidth="1"/>
    <col min="9996" max="9996" width="14.140625" style="3" customWidth="1"/>
    <col min="9997" max="10225" width="9.140625" style="3"/>
    <col min="10226" max="10226" width="1" style="3" customWidth="1"/>
    <col min="10227" max="10227" width="39.140625" style="3" customWidth="1"/>
    <col min="10228" max="10228" width="21.42578125" style="3" customWidth="1"/>
    <col min="10229" max="10229" width="11.28515625" style="3" customWidth="1"/>
    <col min="10230" max="10230" width="9.5703125" style="3" customWidth="1"/>
    <col min="10231" max="10231" width="13.5703125" style="3" customWidth="1"/>
    <col min="10232" max="10241" width="12.140625" style="3" customWidth="1"/>
    <col min="10242" max="10251" width="0" style="3" hidden="1" customWidth="1"/>
    <col min="10252" max="10252" width="14.140625" style="3" customWidth="1"/>
    <col min="10253" max="10481" width="9.140625" style="3"/>
    <col min="10482" max="10482" width="1" style="3" customWidth="1"/>
    <col min="10483" max="10483" width="39.140625" style="3" customWidth="1"/>
    <col min="10484" max="10484" width="21.42578125" style="3" customWidth="1"/>
    <col min="10485" max="10485" width="11.28515625" style="3" customWidth="1"/>
    <col min="10486" max="10486" width="9.5703125" style="3" customWidth="1"/>
    <col min="10487" max="10487" width="13.5703125" style="3" customWidth="1"/>
    <col min="10488" max="10497" width="12.140625" style="3" customWidth="1"/>
    <col min="10498" max="10507" width="0" style="3" hidden="1" customWidth="1"/>
    <col min="10508" max="10508" width="14.140625" style="3" customWidth="1"/>
    <col min="10509" max="10737" width="9.140625" style="3"/>
    <col min="10738" max="10738" width="1" style="3" customWidth="1"/>
    <col min="10739" max="10739" width="39.140625" style="3" customWidth="1"/>
    <col min="10740" max="10740" width="21.42578125" style="3" customWidth="1"/>
    <col min="10741" max="10741" width="11.28515625" style="3" customWidth="1"/>
    <col min="10742" max="10742" width="9.5703125" style="3" customWidth="1"/>
    <col min="10743" max="10743" width="13.5703125" style="3" customWidth="1"/>
    <col min="10744" max="10753" width="12.140625" style="3" customWidth="1"/>
    <col min="10754" max="10763" width="0" style="3" hidden="1" customWidth="1"/>
    <col min="10764" max="10764" width="14.140625" style="3" customWidth="1"/>
    <col min="10765" max="10993" width="9.140625" style="3"/>
    <col min="10994" max="10994" width="1" style="3" customWidth="1"/>
    <col min="10995" max="10995" width="39.140625" style="3" customWidth="1"/>
    <col min="10996" max="10996" width="21.42578125" style="3" customWidth="1"/>
    <col min="10997" max="10997" width="11.28515625" style="3" customWidth="1"/>
    <col min="10998" max="10998" width="9.5703125" style="3" customWidth="1"/>
    <col min="10999" max="10999" width="13.5703125" style="3" customWidth="1"/>
    <col min="11000" max="11009" width="12.140625" style="3" customWidth="1"/>
    <col min="11010" max="11019" width="0" style="3" hidden="1" customWidth="1"/>
    <col min="11020" max="11020" width="14.140625" style="3" customWidth="1"/>
    <col min="11021" max="11249" width="9.140625" style="3"/>
    <col min="11250" max="11250" width="1" style="3" customWidth="1"/>
    <col min="11251" max="11251" width="39.140625" style="3" customWidth="1"/>
    <col min="11252" max="11252" width="21.42578125" style="3" customWidth="1"/>
    <col min="11253" max="11253" width="11.28515625" style="3" customWidth="1"/>
    <col min="11254" max="11254" width="9.5703125" style="3" customWidth="1"/>
    <col min="11255" max="11255" width="13.5703125" style="3" customWidth="1"/>
    <col min="11256" max="11265" width="12.140625" style="3" customWidth="1"/>
    <col min="11266" max="11275" width="0" style="3" hidden="1" customWidth="1"/>
    <col min="11276" max="11276" width="14.140625" style="3" customWidth="1"/>
    <col min="11277" max="11505" width="9.140625" style="3"/>
    <col min="11506" max="11506" width="1" style="3" customWidth="1"/>
    <col min="11507" max="11507" width="39.140625" style="3" customWidth="1"/>
    <col min="11508" max="11508" width="21.42578125" style="3" customWidth="1"/>
    <col min="11509" max="11509" width="11.28515625" style="3" customWidth="1"/>
    <col min="11510" max="11510" width="9.5703125" style="3" customWidth="1"/>
    <col min="11511" max="11511" width="13.5703125" style="3" customWidth="1"/>
    <col min="11512" max="11521" width="12.140625" style="3" customWidth="1"/>
    <col min="11522" max="11531" width="0" style="3" hidden="1" customWidth="1"/>
    <col min="11532" max="11532" width="14.140625" style="3" customWidth="1"/>
    <col min="11533" max="11761" width="9.140625" style="3"/>
    <col min="11762" max="11762" width="1" style="3" customWidth="1"/>
    <col min="11763" max="11763" width="39.140625" style="3" customWidth="1"/>
    <col min="11764" max="11764" width="21.42578125" style="3" customWidth="1"/>
    <col min="11765" max="11765" width="11.28515625" style="3" customWidth="1"/>
    <col min="11766" max="11766" width="9.5703125" style="3" customWidth="1"/>
    <col min="11767" max="11767" width="13.5703125" style="3" customWidth="1"/>
    <col min="11768" max="11777" width="12.140625" style="3" customWidth="1"/>
    <col min="11778" max="11787" width="0" style="3" hidden="1" customWidth="1"/>
    <col min="11788" max="11788" width="14.140625" style="3" customWidth="1"/>
    <col min="11789" max="12017" width="9.140625" style="3"/>
    <col min="12018" max="12018" width="1" style="3" customWidth="1"/>
    <col min="12019" max="12019" width="39.140625" style="3" customWidth="1"/>
    <col min="12020" max="12020" width="21.42578125" style="3" customWidth="1"/>
    <col min="12021" max="12021" width="11.28515625" style="3" customWidth="1"/>
    <col min="12022" max="12022" width="9.5703125" style="3" customWidth="1"/>
    <col min="12023" max="12023" width="13.5703125" style="3" customWidth="1"/>
    <col min="12024" max="12033" width="12.140625" style="3" customWidth="1"/>
    <col min="12034" max="12043" width="0" style="3" hidden="1" customWidth="1"/>
    <col min="12044" max="12044" width="14.140625" style="3" customWidth="1"/>
    <col min="12045" max="12273" width="9.140625" style="3"/>
    <col min="12274" max="12274" width="1" style="3" customWidth="1"/>
    <col min="12275" max="12275" width="39.140625" style="3" customWidth="1"/>
    <col min="12276" max="12276" width="21.42578125" style="3" customWidth="1"/>
    <col min="12277" max="12277" width="11.28515625" style="3" customWidth="1"/>
    <col min="12278" max="12278" width="9.5703125" style="3" customWidth="1"/>
    <col min="12279" max="12279" width="13.5703125" style="3" customWidth="1"/>
    <col min="12280" max="12289" width="12.140625" style="3" customWidth="1"/>
    <col min="12290" max="12299" width="0" style="3" hidden="1" customWidth="1"/>
    <col min="12300" max="12300" width="14.140625" style="3" customWidth="1"/>
    <col min="12301" max="12529" width="9.140625" style="3"/>
    <col min="12530" max="12530" width="1" style="3" customWidth="1"/>
    <col min="12531" max="12531" width="39.140625" style="3" customWidth="1"/>
    <col min="12532" max="12532" width="21.42578125" style="3" customWidth="1"/>
    <col min="12533" max="12533" width="11.28515625" style="3" customWidth="1"/>
    <col min="12534" max="12534" width="9.5703125" style="3" customWidth="1"/>
    <col min="12535" max="12535" width="13.5703125" style="3" customWidth="1"/>
    <col min="12536" max="12545" width="12.140625" style="3" customWidth="1"/>
    <col min="12546" max="12555" width="0" style="3" hidden="1" customWidth="1"/>
    <col min="12556" max="12556" width="14.140625" style="3" customWidth="1"/>
    <col min="12557" max="12785" width="9.140625" style="3"/>
    <col min="12786" max="12786" width="1" style="3" customWidth="1"/>
    <col min="12787" max="12787" width="39.140625" style="3" customWidth="1"/>
    <col min="12788" max="12788" width="21.42578125" style="3" customWidth="1"/>
    <col min="12789" max="12789" width="11.28515625" style="3" customWidth="1"/>
    <col min="12790" max="12790" width="9.5703125" style="3" customWidth="1"/>
    <col min="12791" max="12791" width="13.5703125" style="3" customWidth="1"/>
    <col min="12792" max="12801" width="12.140625" style="3" customWidth="1"/>
    <col min="12802" max="12811" width="0" style="3" hidden="1" customWidth="1"/>
    <col min="12812" max="12812" width="14.140625" style="3" customWidth="1"/>
    <col min="12813" max="13041" width="9.140625" style="3"/>
    <col min="13042" max="13042" width="1" style="3" customWidth="1"/>
    <col min="13043" max="13043" width="39.140625" style="3" customWidth="1"/>
    <col min="13044" max="13044" width="21.42578125" style="3" customWidth="1"/>
    <col min="13045" max="13045" width="11.28515625" style="3" customWidth="1"/>
    <col min="13046" max="13046" width="9.5703125" style="3" customWidth="1"/>
    <col min="13047" max="13047" width="13.5703125" style="3" customWidth="1"/>
    <col min="13048" max="13057" width="12.140625" style="3" customWidth="1"/>
    <col min="13058" max="13067" width="0" style="3" hidden="1" customWidth="1"/>
    <col min="13068" max="13068" width="14.140625" style="3" customWidth="1"/>
    <col min="13069" max="13297" width="9.140625" style="3"/>
    <col min="13298" max="13298" width="1" style="3" customWidth="1"/>
    <col min="13299" max="13299" width="39.140625" style="3" customWidth="1"/>
    <col min="13300" max="13300" width="21.42578125" style="3" customWidth="1"/>
    <col min="13301" max="13301" width="11.28515625" style="3" customWidth="1"/>
    <col min="13302" max="13302" width="9.5703125" style="3" customWidth="1"/>
    <col min="13303" max="13303" width="13.5703125" style="3" customWidth="1"/>
    <col min="13304" max="13313" width="12.140625" style="3" customWidth="1"/>
    <col min="13314" max="13323" width="0" style="3" hidden="1" customWidth="1"/>
    <col min="13324" max="13324" width="14.140625" style="3" customWidth="1"/>
    <col min="13325" max="13553" width="9.140625" style="3"/>
    <col min="13554" max="13554" width="1" style="3" customWidth="1"/>
    <col min="13555" max="13555" width="39.140625" style="3" customWidth="1"/>
    <col min="13556" max="13556" width="21.42578125" style="3" customWidth="1"/>
    <col min="13557" max="13557" width="11.28515625" style="3" customWidth="1"/>
    <col min="13558" max="13558" width="9.5703125" style="3" customWidth="1"/>
    <col min="13559" max="13559" width="13.5703125" style="3" customWidth="1"/>
    <col min="13560" max="13569" width="12.140625" style="3" customWidth="1"/>
    <col min="13570" max="13579" width="0" style="3" hidden="1" customWidth="1"/>
    <col min="13580" max="13580" width="14.140625" style="3" customWidth="1"/>
    <col min="13581" max="13809" width="9.140625" style="3"/>
    <col min="13810" max="13810" width="1" style="3" customWidth="1"/>
    <col min="13811" max="13811" width="39.140625" style="3" customWidth="1"/>
    <col min="13812" max="13812" width="21.42578125" style="3" customWidth="1"/>
    <col min="13813" max="13813" width="11.28515625" style="3" customWidth="1"/>
    <col min="13814" max="13814" width="9.5703125" style="3" customWidth="1"/>
    <col min="13815" max="13815" width="13.5703125" style="3" customWidth="1"/>
    <col min="13816" max="13825" width="12.140625" style="3" customWidth="1"/>
    <col min="13826" max="13835" width="0" style="3" hidden="1" customWidth="1"/>
    <col min="13836" max="13836" width="14.140625" style="3" customWidth="1"/>
    <col min="13837" max="14065" width="9.140625" style="3"/>
    <col min="14066" max="14066" width="1" style="3" customWidth="1"/>
    <col min="14067" max="14067" width="39.140625" style="3" customWidth="1"/>
    <col min="14068" max="14068" width="21.42578125" style="3" customWidth="1"/>
    <col min="14069" max="14069" width="11.28515625" style="3" customWidth="1"/>
    <col min="14070" max="14070" width="9.5703125" style="3" customWidth="1"/>
    <col min="14071" max="14071" width="13.5703125" style="3" customWidth="1"/>
    <col min="14072" max="14081" width="12.140625" style="3" customWidth="1"/>
    <col min="14082" max="14091" width="0" style="3" hidden="1" customWidth="1"/>
    <col min="14092" max="14092" width="14.140625" style="3" customWidth="1"/>
    <col min="14093" max="14321" width="9.140625" style="3"/>
    <col min="14322" max="14322" width="1" style="3" customWidth="1"/>
    <col min="14323" max="14323" width="39.140625" style="3" customWidth="1"/>
    <col min="14324" max="14324" width="21.42578125" style="3" customWidth="1"/>
    <col min="14325" max="14325" width="11.28515625" style="3" customWidth="1"/>
    <col min="14326" max="14326" width="9.5703125" style="3" customWidth="1"/>
    <col min="14327" max="14327" width="13.5703125" style="3" customWidth="1"/>
    <col min="14328" max="14337" width="12.140625" style="3" customWidth="1"/>
    <col min="14338" max="14347" width="0" style="3" hidden="1" customWidth="1"/>
    <col min="14348" max="14348" width="14.140625" style="3" customWidth="1"/>
    <col min="14349" max="14577" width="9.140625" style="3"/>
    <col min="14578" max="14578" width="1" style="3" customWidth="1"/>
    <col min="14579" max="14579" width="39.140625" style="3" customWidth="1"/>
    <col min="14580" max="14580" width="21.42578125" style="3" customWidth="1"/>
    <col min="14581" max="14581" width="11.28515625" style="3" customWidth="1"/>
    <col min="14582" max="14582" width="9.5703125" style="3" customWidth="1"/>
    <col min="14583" max="14583" width="13.5703125" style="3" customWidth="1"/>
    <col min="14584" max="14593" width="12.140625" style="3" customWidth="1"/>
    <col min="14594" max="14603" width="0" style="3" hidden="1" customWidth="1"/>
    <col min="14604" max="14604" width="14.140625" style="3" customWidth="1"/>
    <col min="14605" max="14833" width="9.140625" style="3"/>
    <col min="14834" max="14834" width="1" style="3" customWidth="1"/>
    <col min="14835" max="14835" width="39.140625" style="3" customWidth="1"/>
    <col min="14836" max="14836" width="21.42578125" style="3" customWidth="1"/>
    <col min="14837" max="14837" width="11.28515625" style="3" customWidth="1"/>
    <col min="14838" max="14838" width="9.5703125" style="3" customWidth="1"/>
    <col min="14839" max="14839" width="13.5703125" style="3" customWidth="1"/>
    <col min="14840" max="14849" width="12.140625" style="3" customWidth="1"/>
    <col min="14850" max="14859" width="0" style="3" hidden="1" customWidth="1"/>
    <col min="14860" max="14860" width="14.140625" style="3" customWidth="1"/>
    <col min="14861" max="15089" width="9.140625" style="3"/>
    <col min="15090" max="15090" width="1" style="3" customWidth="1"/>
    <col min="15091" max="15091" width="39.140625" style="3" customWidth="1"/>
    <col min="15092" max="15092" width="21.42578125" style="3" customWidth="1"/>
    <col min="15093" max="15093" width="11.28515625" style="3" customWidth="1"/>
    <col min="15094" max="15094" width="9.5703125" style="3" customWidth="1"/>
    <col min="15095" max="15095" width="13.5703125" style="3" customWidth="1"/>
    <col min="15096" max="15105" width="12.140625" style="3" customWidth="1"/>
    <col min="15106" max="15115" width="0" style="3" hidden="1" customWidth="1"/>
    <col min="15116" max="15116" width="14.140625" style="3" customWidth="1"/>
    <col min="15117" max="15345" width="9.140625" style="3"/>
    <col min="15346" max="15346" width="1" style="3" customWidth="1"/>
    <col min="15347" max="15347" width="39.140625" style="3" customWidth="1"/>
    <col min="15348" max="15348" width="21.42578125" style="3" customWidth="1"/>
    <col min="15349" max="15349" width="11.28515625" style="3" customWidth="1"/>
    <col min="15350" max="15350" width="9.5703125" style="3" customWidth="1"/>
    <col min="15351" max="15351" width="13.5703125" style="3" customWidth="1"/>
    <col min="15352" max="15361" width="12.140625" style="3" customWidth="1"/>
    <col min="15362" max="15371" width="0" style="3" hidden="1" customWidth="1"/>
    <col min="15372" max="15372" width="14.140625" style="3" customWidth="1"/>
    <col min="15373" max="15601" width="9.140625" style="3"/>
    <col min="15602" max="15602" width="1" style="3" customWidth="1"/>
    <col min="15603" max="15603" width="39.140625" style="3" customWidth="1"/>
    <col min="15604" max="15604" width="21.42578125" style="3" customWidth="1"/>
    <col min="15605" max="15605" width="11.28515625" style="3" customWidth="1"/>
    <col min="15606" max="15606" width="9.5703125" style="3" customWidth="1"/>
    <col min="15607" max="15607" width="13.5703125" style="3" customWidth="1"/>
    <col min="15608" max="15617" width="12.140625" style="3" customWidth="1"/>
    <col min="15618" max="15627" width="0" style="3" hidden="1" customWidth="1"/>
    <col min="15628" max="15628" width="14.140625" style="3" customWidth="1"/>
    <col min="15629" max="15857" width="9.140625" style="3"/>
    <col min="15858" max="15858" width="1" style="3" customWidth="1"/>
    <col min="15859" max="15859" width="39.140625" style="3" customWidth="1"/>
    <col min="15860" max="15860" width="21.42578125" style="3" customWidth="1"/>
    <col min="15861" max="15861" width="11.28515625" style="3" customWidth="1"/>
    <col min="15862" max="15862" width="9.5703125" style="3" customWidth="1"/>
    <col min="15863" max="15863" width="13.5703125" style="3" customWidth="1"/>
    <col min="15864" max="15873" width="12.140625" style="3" customWidth="1"/>
    <col min="15874" max="15883" width="0" style="3" hidden="1" customWidth="1"/>
    <col min="15884" max="15884" width="14.140625" style="3" customWidth="1"/>
    <col min="15885" max="16113" width="9.140625" style="3"/>
    <col min="16114" max="16114" width="1" style="3" customWidth="1"/>
    <col min="16115" max="16115" width="39.140625" style="3" customWidth="1"/>
    <col min="16116" max="16116" width="21.42578125" style="3" customWidth="1"/>
    <col min="16117" max="16117" width="11.28515625" style="3" customWidth="1"/>
    <col min="16118" max="16118" width="9.5703125" style="3" customWidth="1"/>
    <col min="16119" max="16119" width="13.5703125" style="3" customWidth="1"/>
    <col min="16120" max="16129" width="12.140625" style="3" customWidth="1"/>
    <col min="16130" max="16139" width="0" style="3" hidden="1" customWidth="1"/>
    <col min="16140" max="16140" width="14.140625" style="3" customWidth="1"/>
    <col min="16141" max="16384" width="9.140625" style="3"/>
  </cols>
  <sheetData>
    <row r="1" spans="1:12" s="1" customFormat="1" ht="22.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2.75" customHeight="1"/>
    <row r="3" spans="1:12" ht="31.5" customHeight="1">
      <c r="A3" s="146" t="s">
        <v>1</v>
      </c>
      <c r="B3" s="146" t="s">
        <v>2</v>
      </c>
      <c r="C3" s="146" t="s">
        <v>3</v>
      </c>
      <c r="D3" s="146" t="s">
        <v>4</v>
      </c>
      <c r="E3" s="146"/>
      <c r="F3" s="146" t="s">
        <v>5</v>
      </c>
      <c r="G3" s="147"/>
      <c r="H3" s="147"/>
      <c r="I3" s="105"/>
      <c r="J3" s="105"/>
      <c r="K3" s="105"/>
      <c r="L3" s="146" t="s">
        <v>6</v>
      </c>
    </row>
    <row r="4" spans="1:12" s="2" customFormat="1" ht="23.25" customHeight="1">
      <c r="A4" s="146"/>
      <c r="B4" s="146"/>
      <c r="C4" s="146"/>
      <c r="D4" s="104" t="s">
        <v>7</v>
      </c>
      <c r="E4" s="104" t="s">
        <v>8</v>
      </c>
      <c r="F4" s="146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146"/>
    </row>
    <row r="5" spans="1:12" s="40" customFormat="1" ht="15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8</v>
      </c>
      <c r="H5" s="39">
        <v>9</v>
      </c>
      <c r="I5" s="39">
        <v>10</v>
      </c>
      <c r="J5" s="39">
        <v>11</v>
      </c>
      <c r="K5" s="39">
        <v>12</v>
      </c>
      <c r="L5" s="39">
        <v>13</v>
      </c>
    </row>
    <row r="6" spans="1:12" s="7" customFormat="1" ht="18.75" customHeight="1">
      <c r="A6" s="5" t="s">
        <v>9</v>
      </c>
      <c r="B6" s="144" t="s">
        <v>10</v>
      </c>
      <c r="C6" s="144"/>
      <c r="D6" s="144"/>
      <c r="E6" s="144"/>
      <c r="F6" s="6">
        <f t="shared" ref="F6:L7" si="0">SUM(F9,F22,F25)</f>
        <v>58864936</v>
      </c>
      <c r="G6" s="6">
        <f t="shared" si="0"/>
        <v>13683837</v>
      </c>
      <c r="H6" s="6">
        <f t="shared" si="0"/>
        <v>15850084</v>
      </c>
      <c r="I6" s="6">
        <f t="shared" si="0"/>
        <v>9891363</v>
      </c>
      <c r="J6" s="6">
        <f t="shared" si="0"/>
        <v>7772437</v>
      </c>
      <c r="K6" s="6">
        <f t="shared" si="0"/>
        <v>903540</v>
      </c>
      <c r="L6" s="6">
        <f t="shared" si="0"/>
        <v>48101261</v>
      </c>
    </row>
    <row r="7" spans="1:12" s="7" customFormat="1" ht="18.75" customHeight="1">
      <c r="A7" s="5" t="s">
        <v>11</v>
      </c>
      <c r="B7" s="144" t="s">
        <v>12</v>
      </c>
      <c r="C7" s="144"/>
      <c r="D7" s="144"/>
      <c r="E7" s="144"/>
      <c r="F7" s="6">
        <f t="shared" si="0"/>
        <v>11430585</v>
      </c>
      <c r="G7" s="6">
        <f t="shared" si="0"/>
        <v>3640999</v>
      </c>
      <c r="H7" s="6">
        <f t="shared" si="0"/>
        <v>2425084</v>
      </c>
      <c r="I7" s="6">
        <f t="shared" si="0"/>
        <v>1891363</v>
      </c>
      <c r="J7" s="6">
        <f t="shared" si="0"/>
        <v>1022437</v>
      </c>
      <c r="K7" s="6">
        <f t="shared" si="0"/>
        <v>903540</v>
      </c>
      <c r="L7" s="6">
        <f t="shared" si="0"/>
        <v>9883423</v>
      </c>
    </row>
    <row r="8" spans="1:12" s="7" customFormat="1" ht="18.75" customHeight="1">
      <c r="A8" s="5" t="s">
        <v>13</v>
      </c>
      <c r="B8" s="144" t="s">
        <v>14</v>
      </c>
      <c r="C8" s="144"/>
      <c r="D8" s="144"/>
      <c r="E8" s="144"/>
      <c r="F8" s="6">
        <f t="shared" ref="F8:L8" si="1">SUM(F20,F24,F29)</f>
        <v>47434351</v>
      </c>
      <c r="G8" s="6">
        <f t="shared" si="1"/>
        <v>10042838</v>
      </c>
      <c r="H8" s="6">
        <f t="shared" si="1"/>
        <v>13425000</v>
      </c>
      <c r="I8" s="6">
        <f t="shared" si="1"/>
        <v>8000000</v>
      </c>
      <c r="J8" s="6">
        <f>SUM(J20,J24,J29)</f>
        <v>6750000</v>
      </c>
      <c r="K8" s="6">
        <f t="shared" si="1"/>
        <v>0</v>
      </c>
      <c r="L8" s="6">
        <f t="shared" si="1"/>
        <v>38217838</v>
      </c>
    </row>
    <row r="9" spans="1:12" s="9" customFormat="1" ht="48.75" customHeight="1">
      <c r="A9" s="5" t="s">
        <v>15</v>
      </c>
      <c r="B9" s="144" t="s">
        <v>16</v>
      </c>
      <c r="C9" s="144"/>
      <c r="D9" s="144"/>
      <c r="E9" s="144"/>
      <c r="F9" s="8">
        <f>SUM(F10,F20)</f>
        <v>10147742</v>
      </c>
      <c r="G9" s="8">
        <f>SUM(G10,G20)</f>
        <v>3335171</v>
      </c>
      <c r="H9" s="8">
        <f>SUM(H10,H20)</f>
        <v>2050684</v>
      </c>
      <c r="I9" s="8">
        <f t="shared" ref="I9:K9" si="2">SUM(I10,I20)</f>
        <v>1516963</v>
      </c>
      <c r="J9" s="8">
        <f t="shared" si="2"/>
        <v>1022437</v>
      </c>
      <c r="K9" s="8">
        <f t="shared" si="2"/>
        <v>903540</v>
      </c>
      <c r="L9" s="8">
        <f>SUM(L10,L20)</f>
        <v>8828795</v>
      </c>
    </row>
    <row r="10" spans="1:12" s="7" customFormat="1" ht="18.75" customHeight="1">
      <c r="A10" s="5" t="s">
        <v>17</v>
      </c>
      <c r="B10" s="144" t="s">
        <v>12</v>
      </c>
      <c r="C10" s="144"/>
      <c r="D10" s="144"/>
      <c r="E10" s="144"/>
      <c r="F10" s="6">
        <f>SUM(F11:F19)</f>
        <v>9825625</v>
      </c>
      <c r="G10" s="6">
        <f t="shared" ref="G10:L10" si="3">SUM(G11:G19)</f>
        <v>3264599</v>
      </c>
      <c r="H10" s="6">
        <f t="shared" si="3"/>
        <v>2050684</v>
      </c>
      <c r="I10" s="6">
        <f t="shared" si="3"/>
        <v>1516963</v>
      </c>
      <c r="J10" s="6">
        <f t="shared" si="3"/>
        <v>1022437</v>
      </c>
      <c r="K10" s="6">
        <f t="shared" si="3"/>
        <v>903540</v>
      </c>
      <c r="L10" s="6">
        <f t="shared" si="3"/>
        <v>8758223</v>
      </c>
    </row>
    <row r="11" spans="1:12" s="14" customFormat="1" ht="42" customHeight="1">
      <c r="A11" s="12" t="s">
        <v>111</v>
      </c>
      <c r="B11" s="10" t="s">
        <v>21</v>
      </c>
      <c r="C11" s="11" t="s">
        <v>18</v>
      </c>
      <c r="D11" s="12">
        <v>2017</v>
      </c>
      <c r="E11" s="12">
        <v>2019</v>
      </c>
      <c r="F11" s="13">
        <v>514780</v>
      </c>
      <c r="G11" s="13">
        <f>239726+23029</f>
        <v>262755</v>
      </c>
      <c r="H11" s="13"/>
      <c r="I11" s="13"/>
      <c r="J11" s="13"/>
      <c r="K11" s="13"/>
      <c r="L11" s="13">
        <f>SUM(G11:K11)</f>
        <v>262755</v>
      </c>
    </row>
    <row r="12" spans="1:12" s="14" customFormat="1" ht="42" customHeight="1">
      <c r="A12" s="12" t="s">
        <v>112</v>
      </c>
      <c r="B12" s="10" t="s">
        <v>23</v>
      </c>
      <c r="C12" s="11" t="s">
        <v>19</v>
      </c>
      <c r="D12" s="12">
        <v>2018</v>
      </c>
      <c r="E12" s="12">
        <v>2019</v>
      </c>
      <c r="F12" s="13">
        <v>645924</v>
      </c>
      <c r="G12" s="13">
        <f>129185+2</f>
        <v>129187</v>
      </c>
      <c r="H12" s="13"/>
      <c r="I12" s="13"/>
      <c r="J12" s="13"/>
      <c r="K12" s="13"/>
      <c r="L12" s="13">
        <f t="shared" ref="L12:L19" si="4">SUM(G12:K12)</f>
        <v>129187</v>
      </c>
    </row>
    <row r="13" spans="1:12" s="14" customFormat="1" ht="48" customHeight="1">
      <c r="A13" s="12" t="s">
        <v>113</v>
      </c>
      <c r="B13" s="10" t="s">
        <v>24</v>
      </c>
      <c r="C13" s="11" t="s">
        <v>18</v>
      </c>
      <c r="D13" s="12">
        <v>2018</v>
      </c>
      <c r="E13" s="12">
        <v>2020</v>
      </c>
      <c r="F13" s="13">
        <v>2794923</v>
      </c>
      <c r="G13" s="13">
        <f>1182832+98550+19512</f>
        <v>1300894</v>
      </c>
      <c r="H13" s="13">
        <f>1197543+17358-19512</f>
        <v>1195389</v>
      </c>
      <c r="I13" s="13"/>
      <c r="J13" s="13"/>
      <c r="K13" s="13"/>
      <c r="L13" s="13">
        <f t="shared" si="4"/>
        <v>2496283</v>
      </c>
    </row>
    <row r="14" spans="1:12" s="14" customFormat="1" ht="54" customHeight="1">
      <c r="A14" s="12" t="s">
        <v>20</v>
      </c>
      <c r="B14" s="10" t="s">
        <v>108</v>
      </c>
      <c r="C14" s="11" t="s">
        <v>18</v>
      </c>
      <c r="D14" s="12">
        <v>2021</v>
      </c>
      <c r="E14" s="12">
        <v>2023</v>
      </c>
      <c r="F14" s="13">
        <f>I14+J14+K14</f>
        <v>2710622</v>
      </c>
      <c r="G14" s="13"/>
      <c r="H14" s="13"/>
      <c r="I14" s="13">
        <v>903541</v>
      </c>
      <c r="J14" s="13">
        <v>903541</v>
      </c>
      <c r="K14" s="13">
        <v>903540</v>
      </c>
      <c r="L14" s="13">
        <f t="shared" si="4"/>
        <v>2710622</v>
      </c>
    </row>
    <row r="15" spans="1:12" s="17" customFormat="1" ht="40.5" customHeight="1">
      <c r="A15" s="12" t="s">
        <v>22</v>
      </c>
      <c r="B15" s="10" t="s">
        <v>25</v>
      </c>
      <c r="C15" s="11" t="s">
        <v>19</v>
      </c>
      <c r="D15" s="12">
        <v>2018</v>
      </c>
      <c r="E15" s="12">
        <v>2020</v>
      </c>
      <c r="F15" s="16">
        <v>643517</v>
      </c>
      <c r="G15" s="16">
        <v>508745</v>
      </c>
      <c r="H15" s="16">
        <v>134772</v>
      </c>
      <c r="I15" s="16"/>
      <c r="J15" s="16"/>
      <c r="K15" s="16"/>
      <c r="L15" s="13">
        <f t="shared" si="4"/>
        <v>643517</v>
      </c>
    </row>
    <row r="16" spans="1:12" s="17" customFormat="1" ht="40.5" customHeight="1">
      <c r="A16" s="12" t="s">
        <v>300</v>
      </c>
      <c r="B16" s="10" t="s">
        <v>301</v>
      </c>
      <c r="C16" s="11" t="s">
        <v>302</v>
      </c>
      <c r="D16" s="12">
        <v>2018</v>
      </c>
      <c r="E16" s="12">
        <v>2019</v>
      </c>
      <c r="F16" s="16">
        <v>96210</v>
      </c>
      <c r="G16" s="16">
        <f>76968+19242</f>
        <v>96210</v>
      </c>
      <c r="H16" s="16">
        <v>0</v>
      </c>
      <c r="I16" s="16"/>
      <c r="J16" s="16"/>
      <c r="K16" s="16"/>
      <c r="L16" s="13">
        <f t="shared" si="4"/>
        <v>96210</v>
      </c>
    </row>
    <row r="17" spans="1:14" s="17" customFormat="1" ht="40.5" customHeight="1">
      <c r="A17" s="12" t="s">
        <v>307</v>
      </c>
      <c r="B17" s="10" t="s">
        <v>309</v>
      </c>
      <c r="C17" s="11" t="s">
        <v>311</v>
      </c>
      <c r="D17" s="12">
        <v>2019</v>
      </c>
      <c r="E17" s="12">
        <v>2022</v>
      </c>
      <c r="F17" s="16">
        <v>805245</v>
      </c>
      <c r="G17" s="16">
        <v>526911</v>
      </c>
      <c r="H17" s="16">
        <v>109523</v>
      </c>
      <c r="I17" s="16">
        <v>109536</v>
      </c>
      <c r="J17" s="16">
        <v>59275</v>
      </c>
      <c r="K17" s="16"/>
      <c r="L17" s="13">
        <f t="shared" si="4"/>
        <v>805245</v>
      </c>
    </row>
    <row r="18" spans="1:14" s="17" customFormat="1" ht="42.75" customHeight="1">
      <c r="A18" s="12" t="s">
        <v>308</v>
      </c>
      <c r="B18" s="10" t="s">
        <v>310</v>
      </c>
      <c r="C18" s="11" t="s">
        <v>19</v>
      </c>
      <c r="D18" s="12">
        <v>2019</v>
      </c>
      <c r="E18" s="12">
        <v>2022</v>
      </c>
      <c r="F18" s="16">
        <v>830404</v>
      </c>
      <c r="G18" s="16">
        <v>402872</v>
      </c>
      <c r="H18" s="16">
        <v>186287</v>
      </c>
      <c r="I18" s="16">
        <v>181624</v>
      </c>
      <c r="J18" s="16">
        <v>59621</v>
      </c>
      <c r="K18" s="16"/>
      <c r="L18" s="13">
        <f t="shared" si="4"/>
        <v>830404</v>
      </c>
    </row>
    <row r="19" spans="1:14" s="139" customFormat="1" ht="42.75" customHeight="1">
      <c r="A19" s="102" t="s">
        <v>324</v>
      </c>
      <c r="B19" s="138" t="s">
        <v>325</v>
      </c>
      <c r="C19" s="103" t="s">
        <v>18</v>
      </c>
      <c r="D19" s="102">
        <v>2019</v>
      </c>
      <c r="E19" s="102">
        <v>2020</v>
      </c>
      <c r="F19" s="106">
        <v>784000</v>
      </c>
      <c r="G19" s="106">
        <v>37025</v>
      </c>
      <c r="H19" s="106">
        <v>424713</v>
      </c>
      <c r="I19" s="106">
        <v>322262</v>
      </c>
      <c r="J19" s="106"/>
      <c r="K19" s="106"/>
      <c r="L19" s="126">
        <f t="shared" si="4"/>
        <v>784000</v>
      </c>
    </row>
    <row r="20" spans="1:14" s="7" customFormat="1" ht="18.75" customHeight="1">
      <c r="A20" s="5" t="s">
        <v>26</v>
      </c>
      <c r="B20" s="144" t="s">
        <v>14</v>
      </c>
      <c r="C20" s="144"/>
      <c r="D20" s="144"/>
      <c r="E20" s="144"/>
      <c r="F20" s="6">
        <f>SUM(F21:F21)</f>
        <v>322117</v>
      </c>
      <c r="G20" s="6">
        <f t="shared" ref="G20:L20" si="5">SUM(G21:G21)</f>
        <v>70572</v>
      </c>
      <c r="H20" s="6">
        <f>SUM(H21:H21)</f>
        <v>0</v>
      </c>
      <c r="I20" s="6">
        <f t="shared" si="5"/>
        <v>0</v>
      </c>
      <c r="J20" s="6"/>
      <c r="K20" s="6"/>
      <c r="L20" s="6">
        <f t="shared" si="5"/>
        <v>70572</v>
      </c>
      <c r="M20" s="15"/>
      <c r="N20" s="15"/>
    </row>
    <row r="21" spans="1:14" s="14" customFormat="1" ht="44.25" customHeight="1">
      <c r="A21" s="33" t="s">
        <v>27</v>
      </c>
      <c r="B21" s="10" t="s">
        <v>28</v>
      </c>
      <c r="C21" s="11" t="s">
        <v>29</v>
      </c>
      <c r="D21" s="12">
        <v>2016</v>
      </c>
      <c r="E21" s="12">
        <v>2019</v>
      </c>
      <c r="F21" s="13">
        <f>322117</f>
        <v>322117</v>
      </c>
      <c r="G21" s="13">
        <v>70572</v>
      </c>
      <c r="H21" s="13"/>
      <c r="I21" s="13"/>
      <c r="J21" s="13"/>
      <c r="K21" s="13"/>
      <c r="L21" s="13">
        <f>SUM(G21:K21)</f>
        <v>70572</v>
      </c>
    </row>
    <row r="22" spans="1:14" s="9" customFormat="1" ht="18.75" customHeight="1">
      <c r="A22" s="5" t="s">
        <v>30</v>
      </c>
      <c r="B22" s="144" t="s">
        <v>31</v>
      </c>
      <c r="C22" s="144"/>
      <c r="D22" s="144"/>
      <c r="E22" s="144"/>
      <c r="F22" s="8">
        <f t="shared" ref="F22:K22" si="6">SUM(F23:F24)</f>
        <v>0</v>
      </c>
      <c r="G22" s="8">
        <f t="shared" si="6"/>
        <v>0</v>
      </c>
      <c r="H22" s="8">
        <f>SUM(H23:H24)</f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>SUM(G22:H22)</f>
        <v>0</v>
      </c>
    </row>
    <row r="23" spans="1:14" s="9" customFormat="1" ht="18.75" customHeight="1">
      <c r="A23" s="5" t="s">
        <v>32</v>
      </c>
      <c r="B23" s="144" t="s">
        <v>12</v>
      </c>
      <c r="C23" s="144"/>
      <c r="D23" s="144"/>
      <c r="E23" s="144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f>SUM(G23:H23)</f>
        <v>0</v>
      </c>
    </row>
    <row r="24" spans="1:14" s="9" customFormat="1" ht="18.75" customHeight="1">
      <c r="A24" s="5" t="s">
        <v>33</v>
      </c>
      <c r="B24" s="144" t="s">
        <v>14</v>
      </c>
      <c r="C24" s="144"/>
      <c r="D24" s="144"/>
      <c r="E24" s="144"/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>SUM(G24:H24)</f>
        <v>0</v>
      </c>
    </row>
    <row r="25" spans="1:14" s="9" customFormat="1" ht="18.75" customHeight="1">
      <c r="A25" s="5" t="s">
        <v>34</v>
      </c>
      <c r="B25" s="144" t="s">
        <v>35</v>
      </c>
      <c r="C25" s="144"/>
      <c r="D25" s="144"/>
      <c r="E25" s="144"/>
      <c r="F25" s="8">
        <f>SUM(F26,F29)</f>
        <v>48717194</v>
      </c>
      <c r="G25" s="8">
        <f>SUM(G26,G29)</f>
        <v>10348666</v>
      </c>
      <c r="H25" s="8">
        <f>SUM(H26,H29)</f>
        <v>13799400</v>
      </c>
      <c r="I25" s="8">
        <f>SUM(I26,I29)</f>
        <v>8374400</v>
      </c>
      <c r="J25" s="8">
        <f t="shared" ref="J25:K25" si="7">SUM(J26,J29)</f>
        <v>6750000</v>
      </c>
      <c r="K25" s="8">
        <f t="shared" si="7"/>
        <v>0</v>
      </c>
      <c r="L25" s="8">
        <f>SUM(L26,L29)</f>
        <v>39272466</v>
      </c>
    </row>
    <row r="26" spans="1:14" s="9" customFormat="1" ht="18.75" customHeight="1">
      <c r="A26" s="5" t="s">
        <v>36</v>
      </c>
      <c r="B26" s="144" t="s">
        <v>12</v>
      </c>
      <c r="C26" s="144"/>
      <c r="D26" s="144"/>
      <c r="E26" s="144"/>
      <c r="F26" s="8">
        <f>SUM(F27:F28)</f>
        <v>1604960</v>
      </c>
      <c r="G26" s="8">
        <f t="shared" ref="G26:H26" si="8">SUM(G27:G28)</f>
        <v>376400</v>
      </c>
      <c r="H26" s="8">
        <f t="shared" si="8"/>
        <v>374400</v>
      </c>
      <c r="I26" s="8">
        <f>SUM(I27:I28)</f>
        <v>374400</v>
      </c>
      <c r="J26" s="8"/>
      <c r="K26" s="8"/>
      <c r="L26" s="8">
        <f>SUM(L27:L28)</f>
        <v>1125200</v>
      </c>
    </row>
    <row r="27" spans="1:14" s="17" customFormat="1" ht="36" customHeight="1">
      <c r="A27" s="12" t="s">
        <v>37</v>
      </c>
      <c r="B27" s="10" t="s">
        <v>38</v>
      </c>
      <c r="C27" s="11" t="s">
        <v>29</v>
      </c>
      <c r="D27" s="12">
        <v>2017</v>
      </c>
      <c r="E27" s="12">
        <v>2019</v>
      </c>
      <c r="F27" s="16">
        <f>240000+5000</f>
        <v>245000</v>
      </c>
      <c r="G27" s="16">
        <v>80000</v>
      </c>
      <c r="H27" s="16"/>
      <c r="I27" s="16"/>
      <c r="J27" s="16"/>
      <c r="K27" s="16"/>
      <c r="L27" s="16">
        <f>SUM(G27:K27)</f>
        <v>80000</v>
      </c>
    </row>
    <row r="28" spans="1:14" s="14" customFormat="1" ht="52.5" customHeight="1">
      <c r="A28" s="12" t="s">
        <v>39</v>
      </c>
      <c r="B28" s="10" t="s">
        <v>40</v>
      </c>
      <c r="C28" s="11" t="s">
        <v>41</v>
      </c>
      <c r="D28" s="12">
        <v>2017</v>
      </c>
      <c r="E28" s="12">
        <v>2021</v>
      </c>
      <c r="F28" s="13">
        <v>1359960</v>
      </c>
      <c r="G28" s="13">
        <v>296400</v>
      </c>
      <c r="H28" s="13">
        <v>374400</v>
      </c>
      <c r="I28" s="13">
        <v>374400</v>
      </c>
      <c r="J28" s="13"/>
      <c r="K28" s="13"/>
      <c r="L28" s="13">
        <f>SUM(G28:K28)</f>
        <v>1045200</v>
      </c>
    </row>
    <row r="29" spans="1:14" s="9" customFormat="1" ht="18.75" customHeight="1">
      <c r="A29" s="5" t="s">
        <v>42</v>
      </c>
      <c r="B29" s="144" t="s">
        <v>14</v>
      </c>
      <c r="C29" s="144"/>
      <c r="D29" s="144"/>
      <c r="E29" s="144"/>
      <c r="F29" s="8">
        <f>SUM(F30:F69)</f>
        <v>47112234</v>
      </c>
      <c r="G29" s="8">
        <f t="shared" ref="G29:L29" si="9">SUM(G30:G69)</f>
        <v>9972266</v>
      </c>
      <c r="H29" s="8">
        <f t="shared" si="9"/>
        <v>13425000</v>
      </c>
      <c r="I29" s="8">
        <f t="shared" si="9"/>
        <v>8000000</v>
      </c>
      <c r="J29" s="8">
        <f t="shared" si="9"/>
        <v>6750000</v>
      </c>
      <c r="K29" s="8">
        <f t="shared" si="9"/>
        <v>0</v>
      </c>
      <c r="L29" s="8">
        <f t="shared" si="9"/>
        <v>38147266</v>
      </c>
    </row>
    <row r="30" spans="1:14" s="14" customFormat="1" ht="35.25" customHeight="1">
      <c r="A30" s="12" t="s">
        <v>43</v>
      </c>
      <c r="B30" s="10" t="s">
        <v>44</v>
      </c>
      <c r="C30" s="11" t="s">
        <v>45</v>
      </c>
      <c r="D30" s="12">
        <v>2014</v>
      </c>
      <c r="E30" s="12">
        <v>2020</v>
      </c>
      <c r="F30" s="13">
        <v>744637</v>
      </c>
      <c r="G30" s="13">
        <v>0</v>
      </c>
      <c r="H30" s="13">
        <v>150000</v>
      </c>
      <c r="I30" s="13"/>
      <c r="J30" s="13"/>
      <c r="K30" s="13"/>
      <c r="L30" s="13">
        <f>SUM(G30:K30)</f>
        <v>150000</v>
      </c>
    </row>
    <row r="31" spans="1:14" s="14" customFormat="1" ht="35.25" customHeight="1">
      <c r="A31" s="12" t="s">
        <v>46</v>
      </c>
      <c r="B31" s="10" t="s">
        <v>110</v>
      </c>
      <c r="C31" s="11" t="s">
        <v>45</v>
      </c>
      <c r="D31" s="12">
        <v>2015</v>
      </c>
      <c r="E31" s="12">
        <v>2019</v>
      </c>
      <c r="F31" s="13">
        <f>750000+200000</f>
        <v>950000</v>
      </c>
      <c r="G31" s="13">
        <v>200000</v>
      </c>
      <c r="H31" s="13"/>
      <c r="I31" s="13"/>
      <c r="J31" s="13"/>
      <c r="K31" s="13"/>
      <c r="L31" s="13">
        <f t="shared" ref="L31:L69" si="10">SUM(G31:K31)</f>
        <v>200000</v>
      </c>
    </row>
    <row r="32" spans="1:14" s="14" customFormat="1" ht="51" customHeight="1">
      <c r="A32" s="12" t="s">
        <v>47</v>
      </c>
      <c r="B32" s="10" t="s">
        <v>49</v>
      </c>
      <c r="C32" s="11" t="s">
        <v>29</v>
      </c>
      <c r="D32" s="12">
        <v>2011</v>
      </c>
      <c r="E32" s="12">
        <v>2021</v>
      </c>
      <c r="F32" s="16">
        <f>1342416-61350+200000</f>
        <v>1481066</v>
      </c>
      <c r="G32" s="16">
        <v>200000</v>
      </c>
      <c r="H32" s="16">
        <v>500000</v>
      </c>
      <c r="I32" s="16">
        <v>500000</v>
      </c>
      <c r="J32" s="13"/>
      <c r="K32" s="13"/>
      <c r="L32" s="13">
        <f t="shared" si="10"/>
        <v>1200000</v>
      </c>
    </row>
    <row r="33" spans="1:12" s="14" customFormat="1" ht="34.5" customHeight="1">
      <c r="A33" s="12" t="s">
        <v>48</v>
      </c>
      <c r="B33" s="10" t="s">
        <v>303</v>
      </c>
      <c r="C33" s="11" t="s">
        <v>45</v>
      </c>
      <c r="D33" s="12">
        <v>2016</v>
      </c>
      <c r="E33" s="12">
        <v>2019</v>
      </c>
      <c r="F33" s="16">
        <f>549815-310000-190000+1600000-1600000+200000</f>
        <v>249815</v>
      </c>
      <c r="G33" s="16">
        <v>200000</v>
      </c>
      <c r="H33" s="16"/>
      <c r="I33" s="16"/>
      <c r="J33" s="16"/>
      <c r="K33" s="16"/>
      <c r="L33" s="13">
        <f t="shared" si="10"/>
        <v>200000</v>
      </c>
    </row>
    <row r="34" spans="1:12" ht="46.5" customHeight="1">
      <c r="A34" s="12" t="s">
        <v>50</v>
      </c>
      <c r="B34" s="10" t="s">
        <v>54</v>
      </c>
      <c r="C34" s="11" t="s">
        <v>45</v>
      </c>
      <c r="D34" s="12">
        <v>2017</v>
      </c>
      <c r="E34" s="12">
        <v>2020</v>
      </c>
      <c r="F34" s="16">
        <f>200000+280000</f>
        <v>480000</v>
      </c>
      <c r="G34" s="16">
        <v>0</v>
      </c>
      <c r="H34" s="16">
        <v>440000</v>
      </c>
      <c r="I34" s="16"/>
      <c r="J34" s="13"/>
      <c r="K34" s="13"/>
      <c r="L34" s="13">
        <f t="shared" si="10"/>
        <v>440000</v>
      </c>
    </row>
    <row r="35" spans="1:12" ht="33.75" customHeight="1">
      <c r="A35" s="12" t="s">
        <v>51</v>
      </c>
      <c r="B35" s="10" t="s">
        <v>57</v>
      </c>
      <c r="C35" s="11" t="s">
        <v>45</v>
      </c>
      <c r="D35" s="12">
        <v>2017</v>
      </c>
      <c r="E35" s="12">
        <v>2020</v>
      </c>
      <c r="F35" s="16">
        <f>300000+200000-80000-50000</f>
        <v>370000</v>
      </c>
      <c r="G35" s="16">
        <f>70000-50000</f>
        <v>20000</v>
      </c>
      <c r="H35" s="16">
        <v>250000</v>
      </c>
      <c r="I35" s="16"/>
      <c r="J35" s="13"/>
      <c r="K35" s="13"/>
      <c r="L35" s="13">
        <f t="shared" si="10"/>
        <v>270000</v>
      </c>
    </row>
    <row r="36" spans="1:12" ht="36.75" customHeight="1">
      <c r="A36" s="12" t="s">
        <v>52</v>
      </c>
      <c r="B36" s="10" t="s">
        <v>60</v>
      </c>
      <c r="C36" s="11" t="s">
        <v>45</v>
      </c>
      <c r="D36" s="12">
        <v>2017</v>
      </c>
      <c r="E36" s="12">
        <v>2020</v>
      </c>
      <c r="F36" s="16">
        <f>500000+50000+200000-100000</f>
        <v>650000</v>
      </c>
      <c r="G36" s="16">
        <v>150000</v>
      </c>
      <c r="H36" s="16">
        <v>150000</v>
      </c>
      <c r="I36" s="16"/>
      <c r="J36" s="13"/>
      <c r="K36" s="13"/>
      <c r="L36" s="13">
        <f t="shared" si="10"/>
        <v>300000</v>
      </c>
    </row>
    <row r="37" spans="1:12" ht="39.75" customHeight="1">
      <c r="A37" s="12" t="s">
        <v>53</v>
      </c>
      <c r="B37" s="10" t="s">
        <v>64</v>
      </c>
      <c r="C37" s="11" t="s">
        <v>45</v>
      </c>
      <c r="D37" s="12">
        <v>2017</v>
      </c>
      <c r="E37" s="12">
        <v>2020</v>
      </c>
      <c r="F37" s="16">
        <f>250000+100000</f>
        <v>350000</v>
      </c>
      <c r="G37" s="16">
        <v>0</v>
      </c>
      <c r="H37" s="16">
        <v>100000</v>
      </c>
      <c r="I37" s="16"/>
      <c r="J37" s="13"/>
      <c r="K37" s="13"/>
      <c r="L37" s="13">
        <f t="shared" si="10"/>
        <v>100000</v>
      </c>
    </row>
    <row r="38" spans="1:12" ht="48" customHeight="1">
      <c r="A38" s="12" t="s">
        <v>55</v>
      </c>
      <c r="B38" s="10" t="s">
        <v>66</v>
      </c>
      <c r="C38" s="11" t="s">
        <v>45</v>
      </c>
      <c r="D38" s="12">
        <v>2017</v>
      </c>
      <c r="E38" s="12">
        <v>2020</v>
      </c>
      <c r="F38" s="16">
        <f>250000+200000</f>
        <v>450000</v>
      </c>
      <c r="G38" s="16">
        <v>90000</v>
      </c>
      <c r="H38" s="16">
        <v>110000</v>
      </c>
      <c r="I38" s="16"/>
      <c r="J38" s="13"/>
      <c r="K38" s="13"/>
      <c r="L38" s="13">
        <f t="shared" si="10"/>
        <v>200000</v>
      </c>
    </row>
    <row r="39" spans="1:12" ht="37.5" customHeight="1">
      <c r="A39" s="12" t="s">
        <v>56</v>
      </c>
      <c r="B39" s="10" t="s">
        <v>69</v>
      </c>
      <c r="C39" s="11" t="s">
        <v>45</v>
      </c>
      <c r="D39" s="12">
        <v>2017</v>
      </c>
      <c r="E39" s="12">
        <v>2020</v>
      </c>
      <c r="F39" s="16">
        <f>200000+300000</f>
        <v>500000</v>
      </c>
      <c r="G39" s="16">
        <v>0</v>
      </c>
      <c r="H39" s="16">
        <v>300000</v>
      </c>
      <c r="I39" s="16"/>
      <c r="J39" s="13"/>
      <c r="K39" s="13"/>
      <c r="L39" s="13">
        <f t="shared" si="10"/>
        <v>300000</v>
      </c>
    </row>
    <row r="40" spans="1:12" ht="33" customHeight="1">
      <c r="A40" s="12" t="s">
        <v>58</v>
      </c>
      <c r="B40" s="28" t="s">
        <v>73</v>
      </c>
      <c r="C40" s="11" t="s">
        <v>45</v>
      </c>
      <c r="D40" s="12">
        <v>2017</v>
      </c>
      <c r="E40" s="12">
        <v>2020</v>
      </c>
      <c r="F40" s="16">
        <f>675000+100000+100000</f>
        <v>875000</v>
      </c>
      <c r="G40" s="16">
        <v>100000</v>
      </c>
      <c r="H40" s="16">
        <v>100000</v>
      </c>
      <c r="I40" s="16"/>
      <c r="J40" s="13"/>
      <c r="K40" s="13"/>
      <c r="L40" s="13">
        <f t="shared" si="10"/>
        <v>200000</v>
      </c>
    </row>
    <row r="41" spans="1:12" ht="35.25" customHeight="1">
      <c r="A41" s="110" t="s">
        <v>59</v>
      </c>
      <c r="B41" s="111" t="s">
        <v>312</v>
      </c>
      <c r="C41" s="18" t="s">
        <v>45</v>
      </c>
      <c r="D41" s="12">
        <v>2017</v>
      </c>
      <c r="E41" s="12">
        <v>2020</v>
      </c>
      <c r="F41" s="16">
        <v>545000</v>
      </c>
      <c r="G41" s="16">
        <v>250000</v>
      </c>
      <c r="H41" s="16">
        <v>100000</v>
      </c>
      <c r="I41" s="16"/>
      <c r="J41" s="13"/>
      <c r="K41" s="13"/>
      <c r="L41" s="13">
        <f t="shared" si="10"/>
        <v>350000</v>
      </c>
    </row>
    <row r="42" spans="1:12" ht="32.25" customHeight="1">
      <c r="A42" s="12" t="s">
        <v>61</v>
      </c>
      <c r="B42" s="109" t="s">
        <v>78</v>
      </c>
      <c r="C42" s="29" t="s">
        <v>45</v>
      </c>
      <c r="D42" s="27">
        <v>2017</v>
      </c>
      <c r="E42" s="12">
        <v>2020</v>
      </c>
      <c r="F42" s="96">
        <f>295000+100000</f>
        <v>395000</v>
      </c>
      <c r="G42" s="96">
        <v>0</v>
      </c>
      <c r="H42" s="96">
        <v>100000</v>
      </c>
      <c r="I42" s="96"/>
      <c r="J42" s="30"/>
      <c r="K42" s="30"/>
      <c r="L42" s="13">
        <f t="shared" si="10"/>
        <v>100000</v>
      </c>
    </row>
    <row r="43" spans="1:12" s="31" customFormat="1" ht="33" customHeight="1">
      <c r="A43" s="12" t="s">
        <v>62</v>
      </c>
      <c r="B43" s="10" t="s">
        <v>80</v>
      </c>
      <c r="C43" s="11" t="s">
        <v>81</v>
      </c>
      <c r="D43" s="12">
        <v>2018</v>
      </c>
      <c r="E43" s="12">
        <v>2022</v>
      </c>
      <c r="F43" s="16">
        <v>13238450</v>
      </c>
      <c r="G43" s="16">
        <v>50000</v>
      </c>
      <c r="H43" s="16">
        <f>4000000-500000</f>
        <v>3500000</v>
      </c>
      <c r="I43" s="16">
        <f>5000000-1000000</f>
        <v>4000000</v>
      </c>
      <c r="J43" s="16">
        <f>4100000+1500000</f>
        <v>5600000</v>
      </c>
      <c r="K43" s="16"/>
      <c r="L43" s="13">
        <f t="shared" si="10"/>
        <v>13150000</v>
      </c>
    </row>
    <row r="44" spans="1:12" s="31" customFormat="1" ht="42.75" customHeight="1">
      <c r="A44" s="12" t="s">
        <v>63</v>
      </c>
      <c r="B44" s="10" t="s">
        <v>83</v>
      </c>
      <c r="C44" s="11" t="s">
        <v>84</v>
      </c>
      <c r="D44" s="12">
        <v>2018</v>
      </c>
      <c r="E44" s="12">
        <v>2021</v>
      </c>
      <c r="F44" s="16">
        <f>2030000-700000</f>
        <v>1330000</v>
      </c>
      <c r="G44" s="16">
        <v>0</v>
      </c>
      <c r="H44" s="16">
        <f>1000000-700000</f>
        <v>300000</v>
      </c>
      <c r="I44" s="16">
        <v>1000000</v>
      </c>
      <c r="J44" s="16"/>
      <c r="K44" s="16"/>
      <c r="L44" s="16">
        <f t="shared" si="10"/>
        <v>1300000</v>
      </c>
    </row>
    <row r="45" spans="1:12" s="31" customFormat="1" ht="36.75" customHeight="1">
      <c r="A45" s="12" t="s">
        <v>65</v>
      </c>
      <c r="B45" s="36" t="s">
        <v>91</v>
      </c>
      <c r="C45" s="11" t="s">
        <v>107</v>
      </c>
      <c r="D45" s="12">
        <v>2018</v>
      </c>
      <c r="E45" s="12">
        <v>2020</v>
      </c>
      <c r="F45" s="16">
        <f>3150000-200000+700000+34000</f>
        <v>3684000</v>
      </c>
      <c r="G45" s="16">
        <f>2800000-910000</f>
        <v>1890000</v>
      </c>
      <c r="H45" s="16">
        <f>700000+910000+34000</f>
        <v>1644000</v>
      </c>
      <c r="I45" s="16"/>
      <c r="J45" s="16"/>
      <c r="K45" s="16"/>
      <c r="L45" s="16">
        <f t="shared" si="10"/>
        <v>3534000</v>
      </c>
    </row>
    <row r="46" spans="1:12" ht="36.75" customHeight="1">
      <c r="A46" s="12" t="s">
        <v>67</v>
      </c>
      <c r="B46" s="112" t="s">
        <v>87</v>
      </c>
      <c r="C46" s="113" t="s">
        <v>45</v>
      </c>
      <c r="D46" s="114">
        <v>2017</v>
      </c>
      <c r="E46" s="114">
        <v>2022</v>
      </c>
      <c r="F46" s="115">
        <v>850000</v>
      </c>
      <c r="G46" s="115">
        <v>0</v>
      </c>
      <c r="H46" s="115">
        <v>100000</v>
      </c>
      <c r="I46" s="115">
        <v>300000</v>
      </c>
      <c r="J46" s="115">
        <v>150000</v>
      </c>
      <c r="K46" s="116"/>
      <c r="L46" s="13">
        <f t="shared" si="10"/>
        <v>550000</v>
      </c>
    </row>
    <row r="47" spans="1:12" ht="37.9" customHeight="1">
      <c r="A47" s="12" t="s">
        <v>68</v>
      </c>
      <c r="B47" s="134" t="s">
        <v>89</v>
      </c>
      <c r="C47" s="18" t="s">
        <v>45</v>
      </c>
      <c r="D47" s="12">
        <v>2017</v>
      </c>
      <c r="E47" s="12">
        <v>2019</v>
      </c>
      <c r="F47" s="135">
        <f>241000+100000+16266</f>
        <v>357266</v>
      </c>
      <c r="G47" s="136">
        <f>100000+16266</f>
        <v>116266</v>
      </c>
      <c r="H47" s="136"/>
      <c r="I47" s="136"/>
      <c r="J47" s="137"/>
      <c r="K47" s="137"/>
      <c r="L47" s="13">
        <f t="shared" si="10"/>
        <v>116266</v>
      </c>
    </row>
    <row r="48" spans="1:12" ht="37.9" customHeight="1">
      <c r="A48" s="12" t="s">
        <v>70</v>
      </c>
      <c r="B48" s="19" t="s">
        <v>90</v>
      </c>
      <c r="C48" s="20" t="s">
        <v>45</v>
      </c>
      <c r="D48" s="27">
        <v>2017</v>
      </c>
      <c r="E48" s="27">
        <v>2020</v>
      </c>
      <c r="F48" s="97">
        <f>180000+150000</f>
        <v>330000</v>
      </c>
      <c r="G48" s="97">
        <v>0</v>
      </c>
      <c r="H48" s="97">
        <v>150000</v>
      </c>
      <c r="I48" s="97"/>
      <c r="J48" s="21"/>
      <c r="K48" s="21"/>
      <c r="L48" s="13">
        <f t="shared" si="10"/>
        <v>150000</v>
      </c>
    </row>
    <row r="49" spans="1:13" ht="34.15" customHeight="1">
      <c r="A49" s="12" t="s">
        <v>71</v>
      </c>
      <c r="B49" s="36" t="s">
        <v>92</v>
      </c>
      <c r="C49" s="11" t="s">
        <v>45</v>
      </c>
      <c r="D49" s="12">
        <v>2018</v>
      </c>
      <c r="E49" s="27">
        <v>2020</v>
      </c>
      <c r="F49" s="98">
        <f>300000+100000</f>
        <v>400000</v>
      </c>
      <c r="G49" s="98">
        <v>0</v>
      </c>
      <c r="H49" s="98">
        <v>100000</v>
      </c>
      <c r="I49" s="98"/>
      <c r="J49" s="22"/>
      <c r="K49" s="22"/>
      <c r="L49" s="13">
        <f t="shared" si="10"/>
        <v>100000</v>
      </c>
    </row>
    <row r="50" spans="1:13" ht="32.450000000000003" customHeight="1">
      <c r="A50" s="12" t="s">
        <v>72</v>
      </c>
      <c r="B50" s="36" t="s">
        <v>93</v>
      </c>
      <c r="C50" s="11" t="s">
        <v>45</v>
      </c>
      <c r="D50" s="12">
        <v>2018</v>
      </c>
      <c r="E50" s="27">
        <v>2020</v>
      </c>
      <c r="F50" s="98">
        <f>20000+100000</f>
        <v>120000</v>
      </c>
      <c r="G50" s="98">
        <v>50000</v>
      </c>
      <c r="H50" s="98">
        <v>50000</v>
      </c>
      <c r="I50" s="98"/>
      <c r="J50" s="22"/>
      <c r="K50" s="22"/>
      <c r="L50" s="13">
        <f t="shared" si="10"/>
        <v>100000</v>
      </c>
    </row>
    <row r="51" spans="1:13" ht="45" customHeight="1">
      <c r="A51" s="12" t="s">
        <v>74</v>
      </c>
      <c r="B51" s="38" t="s">
        <v>94</v>
      </c>
      <c r="C51" s="11" t="s">
        <v>45</v>
      </c>
      <c r="D51" s="12">
        <v>2018</v>
      </c>
      <c r="E51" s="12">
        <v>2019</v>
      </c>
      <c r="F51" s="98">
        <f>120000+200000-50000</f>
        <v>270000</v>
      </c>
      <c r="G51" s="98">
        <v>150000</v>
      </c>
      <c r="H51" s="98"/>
      <c r="I51" s="98"/>
      <c r="J51" s="22"/>
      <c r="K51" s="22"/>
      <c r="L51" s="13">
        <f t="shared" si="10"/>
        <v>150000</v>
      </c>
    </row>
    <row r="52" spans="1:13" ht="30.6" customHeight="1">
      <c r="A52" s="110" t="s">
        <v>75</v>
      </c>
      <c r="B52" s="117" t="s">
        <v>314</v>
      </c>
      <c r="C52" s="18" t="s">
        <v>45</v>
      </c>
      <c r="D52" s="12">
        <v>2018</v>
      </c>
      <c r="E52" s="12">
        <v>2020</v>
      </c>
      <c r="F52" s="98">
        <f>100000+300000</f>
        <v>400000</v>
      </c>
      <c r="G52" s="98">
        <v>150000</v>
      </c>
      <c r="H52" s="98">
        <v>150000</v>
      </c>
      <c r="I52" s="98"/>
      <c r="J52" s="22"/>
      <c r="K52" s="22"/>
      <c r="L52" s="13">
        <f t="shared" si="10"/>
        <v>300000</v>
      </c>
    </row>
    <row r="53" spans="1:13" ht="31.9" customHeight="1">
      <c r="A53" s="12" t="s">
        <v>76</v>
      </c>
      <c r="B53" s="99" t="s">
        <v>95</v>
      </c>
      <c r="C53" s="11" t="s">
        <v>45</v>
      </c>
      <c r="D53" s="12">
        <v>2018</v>
      </c>
      <c r="E53" s="12">
        <v>2019</v>
      </c>
      <c r="F53" s="98">
        <f>340000+200000+100000+50000</f>
        <v>690000</v>
      </c>
      <c r="G53" s="98">
        <f>300000+50000</f>
        <v>350000</v>
      </c>
      <c r="H53" s="98"/>
      <c r="I53" s="98"/>
      <c r="J53" s="22"/>
      <c r="K53" s="22"/>
      <c r="L53" s="13">
        <f t="shared" si="10"/>
        <v>350000</v>
      </c>
    </row>
    <row r="54" spans="1:13" ht="32.450000000000003" customHeight="1">
      <c r="A54" s="12" t="s">
        <v>77</v>
      </c>
      <c r="B54" s="36" t="s">
        <v>96</v>
      </c>
      <c r="C54" s="11" t="s">
        <v>45</v>
      </c>
      <c r="D54" s="12">
        <v>2018</v>
      </c>
      <c r="E54" s="12">
        <v>2019</v>
      </c>
      <c r="F54" s="98">
        <f>290000+300000+50000</f>
        <v>640000</v>
      </c>
      <c r="G54" s="98">
        <f>300000+50000</f>
        <v>350000</v>
      </c>
      <c r="H54" s="98"/>
      <c r="I54" s="98"/>
      <c r="J54" s="22"/>
      <c r="K54" s="22"/>
      <c r="L54" s="13">
        <f t="shared" si="10"/>
        <v>350000</v>
      </c>
    </row>
    <row r="55" spans="1:13" ht="35.450000000000003" customHeight="1">
      <c r="A55" s="12" t="s">
        <v>79</v>
      </c>
      <c r="B55" s="38" t="s">
        <v>97</v>
      </c>
      <c r="C55" s="23" t="s">
        <v>45</v>
      </c>
      <c r="D55" s="34">
        <v>2018</v>
      </c>
      <c r="E55" s="34">
        <v>2019</v>
      </c>
      <c r="F55" s="24">
        <v>1110000</v>
      </c>
      <c r="G55" s="24">
        <v>400000</v>
      </c>
      <c r="H55" s="24">
        <v>0</v>
      </c>
      <c r="I55" s="24"/>
      <c r="J55" s="24"/>
      <c r="K55" s="24"/>
      <c r="L55" s="13">
        <f t="shared" si="10"/>
        <v>400000</v>
      </c>
    </row>
    <row r="56" spans="1:13" ht="37.9" customHeight="1">
      <c r="A56" s="12" t="s">
        <v>82</v>
      </c>
      <c r="B56" s="37" t="s">
        <v>98</v>
      </c>
      <c r="C56" s="25" t="s">
        <v>45</v>
      </c>
      <c r="D56" s="35">
        <v>2018</v>
      </c>
      <c r="E56" s="35">
        <v>2020</v>
      </c>
      <c r="F56" s="26">
        <v>150000</v>
      </c>
      <c r="G56" s="26">
        <v>0</v>
      </c>
      <c r="H56" s="26">
        <v>50000</v>
      </c>
      <c r="I56" s="26"/>
      <c r="J56" s="26"/>
      <c r="K56" s="26"/>
      <c r="L56" s="13">
        <f t="shared" si="10"/>
        <v>50000</v>
      </c>
    </row>
    <row r="57" spans="1:13" ht="33.6" customHeight="1">
      <c r="A57" s="12" t="s">
        <v>85</v>
      </c>
      <c r="B57" s="36" t="s">
        <v>99</v>
      </c>
      <c r="C57" s="25" t="s">
        <v>45</v>
      </c>
      <c r="D57" s="35">
        <v>2018</v>
      </c>
      <c r="E57" s="35">
        <v>2019</v>
      </c>
      <c r="F57" s="26">
        <f>340000+50000</f>
        <v>390000</v>
      </c>
      <c r="G57" s="26">
        <f>200000+50000</f>
        <v>250000</v>
      </c>
      <c r="H57" s="26"/>
      <c r="I57" s="26"/>
      <c r="J57" s="26"/>
      <c r="K57" s="26"/>
      <c r="L57" s="13">
        <f t="shared" si="10"/>
        <v>250000</v>
      </c>
    </row>
    <row r="58" spans="1:13" ht="33.6" customHeight="1">
      <c r="A58" s="12" t="s">
        <v>86</v>
      </c>
      <c r="B58" s="36" t="s">
        <v>100</v>
      </c>
      <c r="C58" s="25" t="s">
        <v>45</v>
      </c>
      <c r="D58" s="35">
        <v>2018</v>
      </c>
      <c r="E58" s="35">
        <v>2020</v>
      </c>
      <c r="F58" s="26">
        <v>350000</v>
      </c>
      <c r="G58" s="26">
        <v>0</v>
      </c>
      <c r="H58" s="26">
        <v>100000</v>
      </c>
      <c r="I58" s="26"/>
      <c r="J58" s="26"/>
      <c r="K58" s="26"/>
      <c r="L58" s="13">
        <f t="shared" si="10"/>
        <v>100000</v>
      </c>
    </row>
    <row r="59" spans="1:13" ht="31.15" customHeight="1">
      <c r="A59" s="12" t="s">
        <v>88</v>
      </c>
      <c r="B59" s="38" t="s">
        <v>101</v>
      </c>
      <c r="C59" s="25" t="s">
        <v>45</v>
      </c>
      <c r="D59" s="35">
        <v>2018</v>
      </c>
      <c r="E59" s="35">
        <v>2019</v>
      </c>
      <c r="F59" s="26">
        <v>496000</v>
      </c>
      <c r="G59" s="26">
        <v>146000</v>
      </c>
      <c r="H59" s="26"/>
      <c r="I59" s="26"/>
      <c r="J59" s="26"/>
      <c r="K59" s="26"/>
      <c r="L59" s="13">
        <f t="shared" si="10"/>
        <v>146000</v>
      </c>
    </row>
    <row r="60" spans="1:13" ht="32.450000000000003" customHeight="1">
      <c r="A60" s="12" t="s">
        <v>103</v>
      </c>
      <c r="B60" s="118" t="s">
        <v>109</v>
      </c>
      <c r="C60" s="119" t="s">
        <v>45</v>
      </c>
      <c r="D60" s="35">
        <v>2018</v>
      </c>
      <c r="E60" s="35">
        <v>2020</v>
      </c>
      <c r="F60" s="26">
        <v>450000</v>
      </c>
      <c r="G60" s="26">
        <v>90000</v>
      </c>
      <c r="H60" s="26">
        <v>160000</v>
      </c>
      <c r="I60" s="26"/>
      <c r="J60" s="26"/>
      <c r="K60" s="26"/>
      <c r="L60" s="13">
        <f t="shared" si="10"/>
        <v>250000</v>
      </c>
    </row>
    <row r="61" spans="1:13" ht="36" customHeight="1">
      <c r="A61" s="12" t="s">
        <v>104</v>
      </c>
      <c r="B61" s="99" t="s">
        <v>102</v>
      </c>
      <c r="C61" s="25" t="s">
        <v>45</v>
      </c>
      <c r="D61" s="35">
        <v>2018</v>
      </c>
      <c r="E61" s="35">
        <v>2020</v>
      </c>
      <c r="F61" s="26">
        <v>225000</v>
      </c>
      <c r="G61" s="26">
        <v>50000</v>
      </c>
      <c r="H61" s="26">
        <v>50000</v>
      </c>
      <c r="I61" s="26"/>
      <c r="J61" s="26"/>
      <c r="K61" s="26"/>
      <c r="L61" s="13">
        <f t="shared" si="10"/>
        <v>100000</v>
      </c>
      <c r="M61" s="42"/>
    </row>
    <row r="62" spans="1:13" ht="37.5" customHeight="1">
      <c r="A62" s="12" t="s">
        <v>105</v>
      </c>
      <c r="B62" s="100" t="s">
        <v>114</v>
      </c>
      <c r="C62" s="25" t="s">
        <v>45</v>
      </c>
      <c r="D62" s="12">
        <v>2018</v>
      </c>
      <c r="E62" s="12">
        <v>2021</v>
      </c>
      <c r="F62" s="101">
        <v>1550000</v>
      </c>
      <c r="G62" s="101">
        <v>0</v>
      </c>
      <c r="H62" s="101">
        <v>300000</v>
      </c>
      <c r="I62" s="41">
        <v>1200000</v>
      </c>
      <c r="J62" s="41"/>
      <c r="K62" s="41"/>
      <c r="L62" s="13">
        <f t="shared" si="10"/>
        <v>1500000</v>
      </c>
      <c r="M62" s="32"/>
    </row>
    <row r="63" spans="1:13" ht="34.5" customHeight="1">
      <c r="A63" s="12" t="s">
        <v>106</v>
      </c>
      <c r="B63" s="100" t="s">
        <v>304</v>
      </c>
      <c r="C63" s="25" t="s">
        <v>45</v>
      </c>
      <c r="D63" s="12">
        <v>2017</v>
      </c>
      <c r="E63" s="12">
        <v>2019</v>
      </c>
      <c r="F63" s="101">
        <v>0</v>
      </c>
      <c r="G63" s="101">
        <f>100000-100000</f>
        <v>0</v>
      </c>
      <c r="H63" s="101"/>
      <c r="I63" s="41"/>
      <c r="J63" s="41"/>
      <c r="K63" s="41"/>
      <c r="L63" s="13">
        <f t="shared" si="10"/>
        <v>0</v>
      </c>
      <c r="M63" s="32"/>
    </row>
    <row r="64" spans="1:13" ht="99" customHeight="1">
      <c r="A64" s="12" t="s">
        <v>305</v>
      </c>
      <c r="B64" s="125" t="s">
        <v>306</v>
      </c>
      <c r="C64" s="33" t="s">
        <v>29</v>
      </c>
      <c r="D64" s="33">
        <v>2020</v>
      </c>
      <c r="E64" s="33">
        <v>2022</v>
      </c>
      <c r="F64" s="107">
        <v>2500000</v>
      </c>
      <c r="G64" s="108">
        <v>0</v>
      </c>
      <c r="H64" s="107">
        <v>500000</v>
      </c>
      <c r="I64" s="107">
        <v>1000000</v>
      </c>
      <c r="J64" s="107">
        <v>1000000</v>
      </c>
      <c r="K64" s="107"/>
      <c r="L64" s="107">
        <f t="shared" si="10"/>
        <v>2500000</v>
      </c>
      <c r="M64" s="32"/>
    </row>
    <row r="65" spans="1:12" ht="30.75" customHeight="1">
      <c r="A65" s="12" t="s">
        <v>316</v>
      </c>
      <c r="B65" s="120" t="s">
        <v>313</v>
      </c>
      <c r="C65" s="25" t="s">
        <v>45</v>
      </c>
      <c r="D65" s="33">
        <v>2018</v>
      </c>
      <c r="E65" s="33">
        <v>2019</v>
      </c>
      <c r="F65" s="41">
        <v>700000</v>
      </c>
      <c r="G65" s="41">
        <v>100000</v>
      </c>
      <c r="H65" s="41"/>
      <c r="I65" s="41"/>
      <c r="J65" s="41"/>
      <c r="K65" s="41"/>
      <c r="L65" s="22">
        <f t="shared" si="10"/>
        <v>100000</v>
      </c>
    </row>
    <row r="66" spans="1:12" ht="38.25">
      <c r="A66" s="12" t="s">
        <v>317</v>
      </c>
      <c r="B66" s="121" t="s">
        <v>315</v>
      </c>
      <c r="C66" s="23" t="s">
        <v>45</v>
      </c>
      <c r="D66" s="123">
        <v>2017</v>
      </c>
      <c r="E66" s="123">
        <v>2019</v>
      </c>
      <c r="F66" s="129">
        <v>350000</v>
      </c>
      <c r="G66" s="129">
        <v>100000</v>
      </c>
      <c r="H66" s="129"/>
      <c r="I66" s="129"/>
      <c r="J66" s="129"/>
      <c r="K66" s="129"/>
      <c r="L66" s="122">
        <f t="shared" si="10"/>
        <v>100000</v>
      </c>
    </row>
    <row r="67" spans="1:12" ht="50.25" customHeight="1">
      <c r="A67" s="12" t="s">
        <v>318</v>
      </c>
      <c r="B67" s="124" t="s">
        <v>320</v>
      </c>
      <c r="C67" s="23" t="s">
        <v>45</v>
      </c>
      <c r="D67" s="33">
        <v>2019</v>
      </c>
      <c r="E67" s="33">
        <v>2020</v>
      </c>
      <c r="F67" s="41">
        <v>90000</v>
      </c>
      <c r="G67" s="41">
        <v>20000</v>
      </c>
      <c r="H67" s="41">
        <v>70000</v>
      </c>
      <c r="I67" s="41"/>
      <c r="J67" s="41"/>
      <c r="K67" s="41"/>
      <c r="L67" s="122">
        <f t="shared" si="10"/>
        <v>90000</v>
      </c>
    </row>
    <row r="68" spans="1:12" ht="41.25" customHeight="1">
      <c r="A68" s="27" t="s">
        <v>319</v>
      </c>
      <c r="B68" s="128" t="s">
        <v>321</v>
      </c>
      <c r="C68" s="123" t="s">
        <v>311</v>
      </c>
      <c r="D68" s="123">
        <v>2019</v>
      </c>
      <c r="E68" s="123">
        <v>2020</v>
      </c>
      <c r="F68" s="129">
        <v>6500000</v>
      </c>
      <c r="G68" s="129">
        <v>4000000</v>
      </c>
      <c r="H68" s="129">
        <v>2500000</v>
      </c>
      <c r="I68" s="129"/>
      <c r="J68" s="129"/>
      <c r="K68" s="129"/>
      <c r="L68" s="122">
        <f t="shared" si="10"/>
        <v>6500000</v>
      </c>
    </row>
    <row r="69" spans="1:12" s="127" customFormat="1" ht="38.25">
      <c r="A69" s="102" t="s">
        <v>323</v>
      </c>
      <c r="B69" s="130" t="s">
        <v>326</v>
      </c>
      <c r="C69" s="131" t="s">
        <v>45</v>
      </c>
      <c r="D69" s="132">
        <v>2019</v>
      </c>
      <c r="E69" s="132">
        <v>2020</v>
      </c>
      <c r="F69" s="133">
        <v>1901000</v>
      </c>
      <c r="G69" s="133">
        <v>500000</v>
      </c>
      <c r="H69" s="133">
        <v>1401000</v>
      </c>
      <c r="I69" s="133"/>
      <c r="J69" s="133"/>
      <c r="K69" s="133"/>
      <c r="L69" s="133">
        <f t="shared" si="10"/>
        <v>1901000</v>
      </c>
    </row>
  </sheetData>
  <sheetProtection algorithmName="SHA-512" hashValue="SSy7WvUt1K1URH488EK2sgcwyT179hWHF2AbzMQzp/gpbMwgWgJHZXfChjC2zbPJwSSvIAoORlXRiZUZMDb6Xg==" saltValue="4QmhUzoFiRAbHixzF8sT1Q==" spinCount="100000" sheet="1" objects="1" scenarios="1" formatColumns="0" formatRows="0"/>
  <mergeCells count="20">
    <mergeCell ref="A1:L1"/>
    <mergeCell ref="A3:A4"/>
    <mergeCell ref="B3:B4"/>
    <mergeCell ref="C3:C4"/>
    <mergeCell ref="D3:E3"/>
    <mergeCell ref="F3:F4"/>
    <mergeCell ref="G3:H3"/>
    <mergeCell ref="L3:L4"/>
    <mergeCell ref="B29:E29"/>
    <mergeCell ref="B6:E6"/>
    <mergeCell ref="B7:E7"/>
    <mergeCell ref="B8:E8"/>
    <mergeCell ref="B9:E9"/>
    <mergeCell ref="B10:E10"/>
    <mergeCell ref="B20:E20"/>
    <mergeCell ref="B22:E22"/>
    <mergeCell ref="B23:E23"/>
    <mergeCell ref="B24:E24"/>
    <mergeCell ref="B25:E25"/>
    <mergeCell ref="B26:E26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2019-08-23T07:19:24Z</dcterms:modified>
</cp:coreProperties>
</file>