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Uchwała Rady 24 czerwca 2019\"/>
    </mc:Choice>
  </mc:AlternateContent>
  <bookViews>
    <workbookView xWindow="0" yWindow="60" windowWidth="19440" windowHeight="12375" tabRatio="821" activeTab="5"/>
  </bookViews>
  <sheets>
    <sheet name="Tab.2a" sheetId="38" r:id="rId1"/>
    <sheet name="Tab.3" sheetId="21" r:id="rId2"/>
    <sheet name="Tab.4 " sheetId="34" r:id="rId3"/>
    <sheet name="Tab.5" sheetId="6" r:id="rId4"/>
    <sheet name="Tab.7" sheetId="17" r:id="rId5"/>
    <sheet name="Zał.1" sheetId="36" r:id="rId6"/>
  </sheets>
  <definedNames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3" hidden="1">Tab.5!$C$1:$C$196</definedName>
    <definedName name="_xlnm._FilterDatabase" localSheetId="4" hidden="1">Tab.7!$D$2:$D$41</definedName>
    <definedName name="Inwestycje" localSheetId="5">#REF!</definedName>
    <definedName name="Inwestycje">#REF!</definedName>
    <definedName name="_xlnm.Print_Area" localSheetId="1">Tab.3!$A$2:$D$22</definedName>
    <definedName name="_xlnm.Print_Area" localSheetId="2">'Tab.4 '!$A$2:$I$42</definedName>
    <definedName name="_xlnm.Print_Area" localSheetId="3">Tab.5!$A$2:$F$186</definedName>
    <definedName name="_xlnm.Print_Area" localSheetId="5">Zał.1!$A$1:$G$43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7" l="1"/>
  <c r="F121" i="6"/>
  <c r="F120" i="6" s="1"/>
  <c r="E121" i="6"/>
  <c r="E120" i="6" s="1"/>
  <c r="F184" i="6" l="1"/>
  <c r="F183" i="6"/>
  <c r="F182" i="6"/>
  <c r="F181" i="6"/>
  <c r="F162" i="6"/>
  <c r="F159" i="6"/>
  <c r="F156" i="6"/>
  <c r="F155" i="6"/>
  <c r="F88" i="6"/>
  <c r="F87" i="6"/>
  <c r="F84" i="6"/>
  <c r="F83" i="6"/>
  <c r="F81" i="6"/>
  <c r="F80" i="6"/>
  <c r="E179" i="6"/>
  <c r="E153" i="6"/>
  <c r="E77" i="6"/>
  <c r="G43" i="36" l="1"/>
  <c r="H23" i="34" l="1"/>
  <c r="I23" i="34"/>
  <c r="F56" i="38"/>
  <c r="F67" i="38"/>
  <c r="J56" i="38"/>
  <c r="G88" i="38"/>
  <c r="F88" i="38" l="1"/>
  <c r="H88" i="38" l="1"/>
  <c r="G36" i="17" l="1"/>
  <c r="G40" i="36" l="1"/>
  <c r="G18" i="36"/>
  <c r="G38" i="17" l="1"/>
  <c r="F11" i="17"/>
  <c r="F76" i="6"/>
  <c r="F107" i="6"/>
  <c r="E107" i="6"/>
  <c r="F69" i="6"/>
  <c r="F70" i="6"/>
  <c r="E70" i="6"/>
  <c r="E69" i="6" s="1"/>
  <c r="I100" i="38" l="1"/>
  <c r="G98" i="38"/>
  <c r="F98" i="38" s="1"/>
  <c r="F99" i="38" s="1"/>
  <c r="G97" i="38"/>
  <c r="F96" i="38"/>
  <c r="F97" i="38" s="1"/>
  <c r="F94" i="38"/>
  <c r="G93" i="38"/>
  <c r="G95" i="38" s="1"/>
  <c r="H92" i="38"/>
  <c r="F91" i="38"/>
  <c r="G90" i="38"/>
  <c r="F90" i="38" s="1"/>
  <c r="F92" i="38" s="1"/>
  <c r="G89" i="38"/>
  <c r="H89" i="38"/>
  <c r="G87" i="38"/>
  <c r="H86" i="38"/>
  <c r="H87" i="38" s="1"/>
  <c r="G84" i="38"/>
  <c r="F84" i="38" s="1"/>
  <c r="F85" i="38" s="1"/>
  <c r="G83" i="38"/>
  <c r="F82" i="38"/>
  <c r="F83" i="38" s="1"/>
  <c r="G81" i="38"/>
  <c r="F80" i="38"/>
  <c r="F81" i="38" s="1"/>
  <c r="G79" i="38"/>
  <c r="F79" i="38"/>
  <c r="G77" i="38"/>
  <c r="F76" i="38"/>
  <c r="F75" i="38"/>
  <c r="F77" i="38" s="1"/>
  <c r="G73" i="38"/>
  <c r="F73" i="38" s="1"/>
  <c r="F74" i="38" s="1"/>
  <c r="H72" i="38"/>
  <c r="G71" i="38"/>
  <c r="G72" i="38" s="1"/>
  <c r="F71" i="38"/>
  <c r="F72" i="38" s="1"/>
  <c r="H70" i="38"/>
  <c r="G70" i="38"/>
  <c r="F68" i="38"/>
  <c r="F70" i="38" s="1"/>
  <c r="F66" i="38"/>
  <c r="G65" i="38"/>
  <c r="F65" i="38"/>
  <c r="F64" i="38"/>
  <c r="G63" i="38"/>
  <c r="G56" i="38" s="1"/>
  <c r="F61" i="38"/>
  <c r="F60" i="38"/>
  <c r="F59" i="38"/>
  <c r="F58" i="38"/>
  <c r="F57" i="38"/>
  <c r="F55" i="38"/>
  <c r="G54" i="38"/>
  <c r="G52" i="38" s="1"/>
  <c r="F52" i="38" s="1"/>
  <c r="F54" i="38"/>
  <c r="G53" i="38"/>
  <c r="F53" i="38"/>
  <c r="F51" i="38"/>
  <c r="F49" i="38"/>
  <c r="J48" i="38"/>
  <c r="G48" i="38"/>
  <c r="F47" i="38"/>
  <c r="F46" i="38"/>
  <c r="F45" i="38"/>
  <c r="F44" i="38"/>
  <c r="G41" i="38"/>
  <c r="F41" i="38" s="1"/>
  <c r="F40" i="38"/>
  <c r="F36" i="38"/>
  <c r="F33" i="38"/>
  <c r="F32" i="38"/>
  <c r="F31" i="38"/>
  <c r="J30" i="38"/>
  <c r="J67" i="38" s="1"/>
  <c r="J100" i="38" s="1"/>
  <c r="G30" i="38"/>
  <c r="F30" i="38" s="1"/>
  <c r="F28" i="38"/>
  <c r="F27" i="38"/>
  <c r="F26" i="38"/>
  <c r="F25" i="38"/>
  <c r="F24" i="38"/>
  <c r="F23" i="38"/>
  <c r="G22" i="38"/>
  <c r="G21" i="38" s="1"/>
  <c r="F21" i="38" s="1"/>
  <c r="J21" i="38"/>
  <c r="G20" i="38"/>
  <c r="F20" i="38"/>
  <c r="F19" i="38"/>
  <c r="F18" i="38"/>
  <c r="F16" i="38"/>
  <c r="F15" i="38"/>
  <c r="F14" i="38"/>
  <c r="F13" i="38"/>
  <c r="G12" i="38"/>
  <c r="F12" i="38" s="1"/>
  <c r="F11" i="38"/>
  <c r="F10" i="38"/>
  <c r="F9" i="38"/>
  <c r="I7" i="38"/>
  <c r="H7" i="38"/>
  <c r="H67" i="38" s="1"/>
  <c r="G7" i="38"/>
  <c r="F48" i="38" l="1"/>
  <c r="G67" i="38"/>
  <c r="G74" i="38"/>
  <c r="G85" i="38"/>
  <c r="G92" i="38"/>
  <c r="G99" i="38"/>
  <c r="H100" i="38"/>
  <c r="F7" i="38"/>
  <c r="F89" i="38"/>
  <c r="F86" i="38"/>
  <c r="F87" i="38" s="1"/>
  <c r="F93" i="38"/>
  <c r="F95" i="38" s="1"/>
  <c r="G100" i="38" l="1"/>
  <c r="F100" i="38"/>
  <c r="F164" i="6" l="1"/>
  <c r="E164" i="6"/>
  <c r="F149" i="6"/>
  <c r="F141" i="6"/>
  <c r="F137" i="6"/>
  <c r="F134" i="6"/>
  <c r="F67" i="6"/>
  <c r="F66" i="6"/>
  <c r="E63" i="6"/>
  <c r="D18" i="34" l="1"/>
  <c r="D14" i="34"/>
  <c r="I18" i="34"/>
  <c r="H18" i="34"/>
  <c r="I42" i="34" l="1"/>
  <c r="H42" i="34"/>
  <c r="E42" i="34"/>
  <c r="F42" i="34"/>
  <c r="G42" i="34"/>
  <c r="D41" i="34"/>
  <c r="D37" i="34"/>
  <c r="D28" i="34"/>
  <c r="G42" i="36" l="1"/>
  <c r="F42" i="36"/>
  <c r="E42" i="36"/>
  <c r="G21" i="36"/>
  <c r="F21" i="36"/>
  <c r="E21" i="36"/>
  <c r="F90" i="6" l="1"/>
  <c r="F17" i="17" l="1"/>
  <c r="D15" i="21" l="1"/>
  <c r="E23" i="34" l="1"/>
  <c r="I28" i="34"/>
  <c r="F16" i="17" l="1"/>
  <c r="F15" i="17" s="1"/>
  <c r="G12" i="17"/>
  <c r="D27" i="34" l="1"/>
  <c r="D33" i="34" l="1"/>
  <c r="D23" i="34"/>
  <c r="D42" i="34" s="1"/>
  <c r="I33" i="34"/>
  <c r="D22" i="34" l="1"/>
  <c r="D10" i="34"/>
  <c r="E10" i="34"/>
  <c r="D9" i="34"/>
  <c r="G5" i="17" l="1"/>
  <c r="F8" i="17" l="1"/>
  <c r="G37" i="17"/>
  <c r="F178" i="6"/>
  <c r="F111" i="6"/>
  <c r="F126" i="6" l="1"/>
  <c r="F125" i="6" s="1"/>
  <c r="E126" i="6"/>
  <c r="F168" i="6"/>
  <c r="E168" i="6"/>
  <c r="E178" i="6"/>
  <c r="F39" i="17" l="1"/>
  <c r="F34" i="17" s="1"/>
  <c r="G26" i="17" l="1"/>
  <c r="F130" i="6" l="1"/>
  <c r="F129" i="6" s="1"/>
  <c r="E76" i="6" l="1"/>
  <c r="E75" i="6" s="1"/>
  <c r="E130" i="6" l="1"/>
  <c r="E129" i="6" s="1"/>
  <c r="D19" i="21" l="1"/>
  <c r="D14" i="21"/>
  <c r="D10" i="21"/>
  <c r="D7" i="21"/>
  <c r="D13" i="21" l="1"/>
  <c r="F174" i="6" l="1"/>
  <c r="F167" i="6" s="1"/>
  <c r="E174" i="6"/>
  <c r="E167" i="6" s="1"/>
  <c r="G28" i="17" l="1"/>
  <c r="F28" i="17" l="1"/>
  <c r="G23" i="17"/>
  <c r="G22" i="17" s="1"/>
  <c r="F23" i="17"/>
  <c r="F22" i="17" l="1"/>
  <c r="G35" i="17"/>
  <c r="G34" i="17" s="1"/>
  <c r="G32" i="17"/>
  <c r="G31" i="17" s="1"/>
  <c r="G19" i="17"/>
  <c r="G18" i="17" s="1"/>
  <c r="F19" i="17"/>
  <c r="F18" i="17" s="1"/>
  <c r="G13" i="17"/>
  <c r="F5" i="17"/>
  <c r="F41" i="17" s="1"/>
  <c r="G6" i="17"/>
  <c r="G41" i="17" s="1"/>
  <c r="F110" i="6" l="1"/>
  <c r="E111" i="6"/>
  <c r="E110" i="6" s="1"/>
  <c r="F28" i="6" l="1"/>
  <c r="F152" i="6" l="1"/>
  <c r="F151" i="6" s="1"/>
  <c r="E152" i="6"/>
  <c r="E151" i="6" s="1"/>
  <c r="E125" i="6"/>
  <c r="F75" i="6"/>
  <c r="F62" i="6"/>
  <c r="E62" i="6"/>
  <c r="F57" i="6"/>
  <c r="E57" i="6"/>
  <c r="F34" i="6"/>
  <c r="E34" i="6"/>
  <c r="E28" i="6"/>
  <c r="F10" i="6"/>
  <c r="F9" i="6" s="1"/>
  <c r="E10" i="6"/>
  <c r="E9" i="6" s="1"/>
  <c r="F6" i="6"/>
  <c r="F5" i="6" s="1"/>
  <c r="E6" i="6"/>
  <c r="E5" i="6" s="1"/>
  <c r="E56" i="6" l="1"/>
  <c r="F56" i="6"/>
  <c r="F27" i="6"/>
  <c r="E27" i="6"/>
  <c r="E185" i="6" l="1"/>
  <c r="F185" i="6"/>
</calcChain>
</file>

<file path=xl/sharedStrings.xml><?xml version="1.0" encoding="utf-8"?>
<sst xmlns="http://schemas.openxmlformats.org/spreadsheetml/2006/main" count="648" uniqueCount="388">
  <si>
    <t>Dział</t>
  </si>
  <si>
    <t>Rozdział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</si>
  <si>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</si>
  <si>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</si>
  <si>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</si>
  <si>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</si>
  <si>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</si>
  <si>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</si>
  <si>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</si>
  <si>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</si>
  <si>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</si>
  <si>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</si>
  <si>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</si>
  <si>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Ochrona zdrowia</t>
  </si>
  <si>
    <t>Składki na ubezpieczenie zdrowotne oraz świadczenia dla osób nieobjętych obowiązkiem ubezpieczenia zdrowotnego</t>
  </si>
  <si>
    <t>Dotacje celowe otrzymane z powiatu na zadania bieżące realizowane na podstawie porozumień (umów) między jednostkami samorządu terytorialnego</t>
  </si>
  <si>
    <t>Ośrodki wsparcia</t>
  </si>
  <si>
    <t>Rodziny zastępcze</t>
  </si>
  <si>
    <t>Pozostałe zadania w zakresie polityki społecznej</t>
  </si>
  <si>
    <t>Rehabilitacja zawodowa i społeczna osób niepełnosprawnych</t>
  </si>
  <si>
    <t>Zespoły do spraw orzekania o niepełnosprawności</t>
  </si>
  <si>
    <t>Gospodarka komunalna i ochrona środowiska</t>
  </si>
  <si>
    <t>Kultura i ochrona dziedzictwa narodowego</t>
  </si>
  <si>
    <t>Biblioteki</t>
  </si>
  <si>
    <t>Rolnictwo i łowiectwo</t>
  </si>
  <si>
    <t>Zakup usług pozostałych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</si>
  <si>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</si>
  <si>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</si>
  <si>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</si>
  <si>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</si>
  <si>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</si>
  <si>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</si>
  <si>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</si>
  <si>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</si>
  <si>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</si>
  <si>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</si>
  <si>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</si>
  <si>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</si>
  <si>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</si>
  <si>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</si>
  <si>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</si>
  <si>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</si>
  <si>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</si>
  <si>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</si>
  <si>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</si>
  <si>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</si>
  <si>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</si>
  <si>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</si>
  <si>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</si>
  <si>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</si>
  <si>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</si>
  <si>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</si>
  <si>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</si>
  <si>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</si>
  <si>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</si>
  <si>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</si>
  <si>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</si>
  <si>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</si>
  <si>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</si>
  <si>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</si>
  <si>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</si>
  <si>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</si>
  <si>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</si>
  <si>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</si>
  <si>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</si>
  <si>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</si>
  <si>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</si>
  <si>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Dotacja celowa na pomoc finansową udzielaną między jednostkami samorządu terytorialnego na dofinansowanie własnych zadań bieżących</t>
  </si>
  <si>
    <t>Pozostałe zadania w zakresie kultury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</si>
  <si>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</si>
  <si>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</si>
  <si>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</si>
  <si>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</si>
  <si>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</si>
  <si>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</si>
  <si>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</si>
  <si>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</si>
  <si>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</si>
  <si>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</si>
  <si>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</si>
  <si>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</si>
  <si>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</si>
  <si>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</si>
  <si>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</si>
  <si>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</si>
  <si>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</si>
  <si>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</si>
  <si>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</si>
  <si>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</si>
  <si>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</si>
  <si>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</si>
  <si>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</si>
  <si>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</si>
  <si>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</si>
  <si>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</si>
  <si>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</si>
  <si>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Dotacje celowe otrzymane z samorządu województwa na inwestycje i zakupy inwestycyjne realizowane na podstawie porozumień (umów) między jednostkami samorządu terytorialnego</t>
  </si>
  <si>
    <t>852</t>
  </si>
  <si>
    <t>Zadania z zakresu geodezji i kartografii</t>
  </si>
  <si>
    <t>Regionalne partnerstwo samorządów Mazowsza dla aktywizacji społeczeństwa informacyjnego w zakresie e-administracji i geoinformacji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</si>
  <si>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</si>
  <si>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</si>
  <si>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</si>
  <si>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</si>
  <si>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</si>
  <si>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</si>
  <si>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</si>
  <si>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Inne należności żołnierzy zawodowych oraz funkcjonariuszy zaliczane do wynagrodzeń</t>
  </si>
  <si>
    <t>Równoważniki pieniężne i ekwiwalenty dla żołnierzy i funkcjonariuszy oraz pozostałe należności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</si>
  <si>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</si>
  <si>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</si>
  <si>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</si>
  <si>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</si>
  <si>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</si>
  <si>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</si>
  <si>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</si>
  <si>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855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</si>
  <si>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</si>
  <si>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</si>
  <si>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85510</t>
  </si>
  <si>
    <t>Przychody ze spłat pożyczek i kredytów udzielonych ze środków publicznych</t>
  </si>
  <si>
    <t>§ 951</t>
  </si>
  <si>
    <t>§ 991</t>
  </si>
  <si>
    <t>Udzielone pożyczki i kredyty</t>
  </si>
  <si>
    <t>Uposażenia i świadczenia pieniężne wypłacane przez okres roku żołnierzom i funkcjonariuszom zwolnionym ze służby</t>
  </si>
  <si>
    <t>Ogółem</t>
  </si>
  <si>
    <t>Wspieranie rodziny</t>
  </si>
  <si>
    <t>Zadania w zakresie kultury fizycznej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</si>
  <si>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</si>
  <si>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</si>
  <si>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</si>
  <si>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</si>
  <si>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</si>
  <si>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</si>
  <si>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</si>
  <si>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</si>
  <si>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Program: Regionalny Program Operacyjny Województwa Mazowieckiego</t>
  </si>
  <si>
    <t>Jednostka realizująca - Starostwo Powiatowe</t>
  </si>
  <si>
    <t>Europejski Fundusz Społeczny</t>
  </si>
  <si>
    <t>Jednostka realizująca - Zespół Szkół Ekonomiczno-Gastronomicznych</t>
  </si>
  <si>
    <t>Program Operacyjny Wiedza Edukacja Rozwój</t>
  </si>
  <si>
    <t>Regionalny Program Operacyjny Województwa Mazowieckiego na lata 2014-2020</t>
  </si>
  <si>
    <t>Jednostka realizująca - Powiatowe Centrum Pomocy Rodzinie</t>
  </si>
  <si>
    <t>Nazwa: Akademia Rodzin w Powiecie Otwockim</t>
  </si>
  <si>
    <t>Nazwa: Doświadczenie zawodowe kluczem do sukcesu</t>
  </si>
  <si>
    <t>Działalność ośrodków adopcyjnych</t>
  </si>
  <si>
    <t>85504</t>
  </si>
  <si>
    <t>plan 2019</t>
  </si>
  <si>
    <t>Program ERASMUS+</t>
  </si>
  <si>
    <t xml:space="preserve">Nazwa: Poznawanie europejskiego rynku pracy </t>
  </si>
  <si>
    <t>Nazwa: Poprawa funkcjonowania osób niesamodzielnych z terenu powiatu otwockiego poprzez uruchomienie usług socjalnych świadczonych w formie wsparcia dziennego</t>
  </si>
  <si>
    <t>Ogółem plan 2019</t>
  </si>
  <si>
    <t xml:space="preserve">Nazwa: Rozwijamy skrzydła </t>
  </si>
  <si>
    <t>Program Operacyjny Wiedza Edukacja Rozwój 2014-2020</t>
  </si>
  <si>
    <t xml:space="preserve">Jednostka realizująca -  Liceum Ogólnokształcące Nr I im. K.I. Gałczyńskiego </t>
  </si>
  <si>
    <t>Przychody i rozchody budżetu w 2019 roku - po zmianach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</si>
  <si>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2019 rok - po zmianach</t>
  </si>
  <si>
    <t>wykonanie 2018</t>
  </si>
  <si>
    <t>Starostwa powiatowe</t>
  </si>
  <si>
    <t>Dochody i wydatki związane z realizacją zadań z zakresu administracji rządowej i innych zadań zleconych                                                                jednostce samorządu terytorialnego odrębnymi ustawami na 2019 rok - po zmianach</t>
  </si>
  <si>
    <t>Dochody i wydatki związane z realizacją zadań realizowanych w drodze umów lub porozumień między                                              jednostkami samorządu terytorialnego na 2019 rok - po zmianach</t>
  </si>
  <si>
    <t>Rozdz.</t>
  </si>
  <si>
    <t>§</t>
  </si>
  <si>
    <t>Nazwa zadania</t>
  </si>
  <si>
    <t>Plan</t>
  </si>
  <si>
    <t>z tego:</t>
  </si>
  <si>
    <t>Uwagi</t>
  </si>
  <si>
    <t>środki własne</t>
  </si>
  <si>
    <t xml:space="preserve">kredyty, pożyczki, </t>
  </si>
  <si>
    <t>środki o których mowa w art. 5 ust. 1 pkt 2 i 3 uofp</t>
  </si>
  <si>
    <t>środki pochodzące                  z innych źródeł                     (w tym dotacje)</t>
  </si>
  <si>
    <t>6.</t>
  </si>
  <si>
    <t>7.</t>
  </si>
  <si>
    <t>8.</t>
  </si>
  <si>
    <t>9.</t>
  </si>
  <si>
    <t>10.</t>
  </si>
  <si>
    <t>11.</t>
  </si>
  <si>
    <t>Gmina Celestynów</t>
  </si>
  <si>
    <t>B. 50 000</t>
  </si>
  <si>
    <t xml:space="preserve">realizacja do skrzyżowania z                 ul. Radzyńską </t>
  </si>
  <si>
    <t>WPF</t>
  </si>
  <si>
    <t>Modernizacja drogi powiatowej Nr 2744W w Ponurzycy</t>
  </si>
  <si>
    <t>wyrównanie i doziarnienie drogi</t>
  </si>
  <si>
    <t>Gmina Józefów</t>
  </si>
  <si>
    <t>Przebudowa drogi powiatowej Nr 2769W ul. Sikorskiego i Nr 2765W ul. Piłsudskiego w Józefowie</t>
  </si>
  <si>
    <t>Modernizacja drogi powiatowej Nr 2768W - ul. Granicznej w Józefowie</t>
  </si>
  <si>
    <t>Modernizacja chodnika w ul. Piłsudskiego na odcinku od ul. Wąskiej do granicy z Warszawą (ok. 150 metrów) w Józefowie</t>
  </si>
  <si>
    <t>Modernizacja chodnika w ul. 3 Maja na odcinku od ul. Wąskiej do ul. Werbeny w Józefowie</t>
  </si>
  <si>
    <t>Projekt i budowa chodnika w ul. 3 Maja na odcinku od ul. Zaułek do ul. Granicznej (po stronie zachodniej) w Józefowie</t>
  </si>
  <si>
    <t>Gmina Otwock</t>
  </si>
  <si>
    <t>Rozbudowa skrzyżowania dróg powiatowych Nr 2754W – ul. Reymonta i Nr 2758W – ul. Samorządowej w Otwocku na skrzyżowanie typu rondo</t>
  </si>
  <si>
    <t>A. 898 000            B. 451 000</t>
  </si>
  <si>
    <t>Modernizacja drogi powiatowej Nr 2763W - ul. Majowej w Otwocku</t>
  </si>
  <si>
    <t>12.</t>
  </si>
  <si>
    <t>Wykonanie projektu odwodnienia drogi powiatowej Nr 2765W - ul. Kołłątaja w Otwocku przy skrzyżowaniu z ul. Majową i ul. Rzemieślniczą</t>
  </si>
  <si>
    <t>13.</t>
  </si>
  <si>
    <t>Modernizacja drogi powiatowej Nr 2756W - ul. Świderskiej w Otwocku</t>
  </si>
  <si>
    <t>14.</t>
  </si>
  <si>
    <t>Modernizacja w ul. Kraszewskiego/ul. Majowej w Otwocku na odcinku od ronda Żołnierzy AK IV Rejonu Otwock - Fromczyn do ul. Wierzbowej</t>
  </si>
  <si>
    <t>15.</t>
  </si>
  <si>
    <t>Budowa doświetlenia przejścia dla pieszych w Otwocku w ul. Jana Pawła II na wysokości ul. Kukułczej</t>
  </si>
  <si>
    <t>16.</t>
  </si>
  <si>
    <t>Wykonanie projektu oraz budowy odwodnienia drogi powiatowej ul. Matejki w Otwocku</t>
  </si>
  <si>
    <t>Gmina Karczew</t>
  </si>
  <si>
    <t>17.</t>
  </si>
  <si>
    <t>Modernizacja drogi powiatowej nr 2729W Kępa Gliniecka - Otwock Wielki - Otwock Mały - Karczew w miejscowości Otwock Wielki</t>
  </si>
  <si>
    <t>18.</t>
  </si>
  <si>
    <t>19.</t>
  </si>
  <si>
    <t>Modernizacja dróg powiatowych Nr 2772W - ul. Wyszyńskiego w Karczewie i Nr 2762W ul. Kraszewskiego w Otwocku na odcinku od ul. Boh. Westerplatte w Karczewie do ul. Batorego w Otwocku</t>
  </si>
  <si>
    <t>20.</t>
  </si>
  <si>
    <t>Budowa chodnika w drodze powiatowej Nr 2729W - ul. Częstochowskiej w Karczewie</t>
  </si>
  <si>
    <t>21.</t>
  </si>
  <si>
    <t>Projekt i budowa sygnalizacji świetlnej w skrzyżowaniu dróg powiatowych Nr 2775W - ul. Stare Miasto i Nr 2724W - ul. Żaboklickiego z drogą gminną ul. Bielińskiego w Karczewie</t>
  </si>
  <si>
    <t>22.</t>
  </si>
  <si>
    <t>Doświetlenie przejść dla pieszych w ul. Świderskiej, na łuku ul. Piłsudskiego-Mickiewicza, ul. Żaboklickiego w Karczewie</t>
  </si>
  <si>
    <t>23.</t>
  </si>
  <si>
    <t>Modernizacja dróg powiatowych w miejscowościach Glinki oraz Sobiekursk</t>
  </si>
  <si>
    <t>Gmina Kołbiel</t>
  </si>
  <si>
    <t>24.</t>
  </si>
  <si>
    <t>Modernizacja drogi powiatowej Nr 2737W Anielinek-Sępochów-Rudno</t>
  </si>
  <si>
    <t>25.</t>
  </si>
  <si>
    <t>Przebudowa drogi powiatowej Nr 2245W w m. Dobrzyniec, gmina Kołbiel</t>
  </si>
  <si>
    <t>26.</t>
  </si>
  <si>
    <t>Modernizacja drogi powiatowej Nr 2736W w miejsc. Teresin</t>
  </si>
  <si>
    <t>27.</t>
  </si>
  <si>
    <t>Wykonanie nakładki asfaltobetonowej na drodze powiatowej Nr 2741W Kołbiel - Wola Sufczyńska</t>
  </si>
  <si>
    <t>Gmina Osieck</t>
  </si>
  <si>
    <t>28.</t>
  </si>
  <si>
    <t xml:space="preserve">Modernizacja drogi powiatowej Nr 1315W w miejsc. Augustówka
</t>
  </si>
  <si>
    <t>29.</t>
  </si>
  <si>
    <t xml:space="preserve">Budowa drogi powiatowej Nr 1311W w Natolinie </t>
  </si>
  <si>
    <t>30.</t>
  </si>
  <si>
    <t>Modernizacja drogi powiatowej Nr 2746W Grabianka - Górki -Osieck</t>
  </si>
  <si>
    <t>Gmina Sobienie Jeziory</t>
  </si>
  <si>
    <t>31.</t>
  </si>
  <si>
    <t>Modernizacja drogi powiatowej Nr 2751W Sobienie Kiełczewskie-Zuzanów-Czarnowiec</t>
  </si>
  <si>
    <t>B. 200 000</t>
  </si>
  <si>
    <t>32.</t>
  </si>
  <si>
    <t>Modernizacja drogi powiatowej Nr 2752W Władysławów-Zambrzyków Stary-Sobienie Kiełczewskie</t>
  </si>
  <si>
    <t>33.</t>
  </si>
  <si>
    <t>Modernizacja  mostu w ciągu drogi powiatowej Nr 2735W Warszówka-Warszawice w Warszawicach</t>
  </si>
  <si>
    <t>Gmina Wiązowna</t>
  </si>
  <si>
    <t>34.</t>
  </si>
  <si>
    <t>Modernizacja drogi powiatowej Nr 2708W Dziechciniec-Pęclin-Kąck</t>
  </si>
  <si>
    <t>35.</t>
  </si>
  <si>
    <t>Przebudowa przepustu w ciągu drogi powiatowej Nr 2709W w Bolesławowie</t>
  </si>
  <si>
    <t>36.</t>
  </si>
  <si>
    <t>Modernizacja drogi powiatowej Nr 2712W w miejsc. Wola Karczewska</t>
  </si>
  <si>
    <t>37.</t>
  </si>
  <si>
    <t>Modernizacja drogi powiatowej nr 2712W w miejscowości Kruszówiec</t>
  </si>
  <si>
    <t>38.</t>
  </si>
  <si>
    <t xml:space="preserve">Modernizacja drogi powiatowej Nr 2701 W Majdan, Izabela, Michałówek, Duchnów </t>
  </si>
  <si>
    <t>39.</t>
  </si>
  <si>
    <t>Wykonanie ZRIDu ciągu pieszo-rowerowego między Izabelą a Zakrętem w ramach poprawy bezpieczeństwa na drodze powiatowej nr 2702W</t>
  </si>
  <si>
    <t>B. 40 000</t>
  </si>
  <si>
    <t>40.</t>
  </si>
  <si>
    <t>Budowa chodnika na drodze powiatowej Nr 2703W w miejscowości Boryszew i Góraszka</t>
  </si>
  <si>
    <t>41.</t>
  </si>
  <si>
    <t>Przebudowa drogi powiatowej Nr 2705W - ul.  Kąckiej w Wiązownie</t>
  </si>
  <si>
    <t>Zarząd Dróg Powiatowych</t>
  </si>
  <si>
    <t>42.</t>
  </si>
  <si>
    <t>Zakupy inwestycyjne w Zarządzie Dróg Powiatowych</t>
  </si>
  <si>
    <t>Razem Rozdział 60014</t>
  </si>
  <si>
    <t>43.</t>
  </si>
  <si>
    <t>Wymiana okien w budynku mieszkalnym stanowiącym własność Powiatu Otwockiego w Otwocku przy ul. Komunardów 10</t>
  </si>
  <si>
    <t>Razem rozdział 70005</t>
  </si>
  <si>
    <t>44.</t>
  </si>
  <si>
    <t>Razem Rozdział 71095</t>
  </si>
  <si>
    <t>45.</t>
  </si>
  <si>
    <t>Sprzęt nagłaśniający do obsługi Sesji Rady Powiatu</t>
  </si>
  <si>
    <t>Razem Rozdział 75019</t>
  </si>
  <si>
    <t>46.</t>
  </si>
  <si>
    <t>Przebudowa i rozbudowa budynku w Otwocku przy ul. Komunardów wraz z towarzyszącą infrastrukturą na potrzeby siedziby Starostwa i jednostek organizacyjnych powiatu</t>
  </si>
  <si>
    <t>47.</t>
  </si>
  <si>
    <t>Serwer główny dla Starostwa, serwer plików</t>
  </si>
  <si>
    <t xml:space="preserve">  Razem Rozdział 75020</t>
  </si>
  <si>
    <t>48.</t>
  </si>
  <si>
    <t>Dotacja  na dofinansowanie zakupu furgonu patrolowego w wersji oznakowanej dla Komendy Powiatowej Policji w Otwocku</t>
  </si>
  <si>
    <t>Razem Rozdział 75404</t>
  </si>
  <si>
    <t>49.</t>
  </si>
  <si>
    <t>Dotacja na zakup samochodu ratowniczo-gaśniczego z wyposażeniem na  potrzeby  Komendy Powiatowej Państwowej Straży Pożarnej w Otwocku</t>
  </si>
  <si>
    <t>Razem Rozdział 75410</t>
  </si>
  <si>
    <t>50.</t>
  </si>
  <si>
    <t>Rezerwa inwestycyjna</t>
  </si>
  <si>
    <t>Razem rozdział 75818</t>
  </si>
  <si>
    <t>51.</t>
  </si>
  <si>
    <t>Budowa hali sportowej przy Zespole Szkół Nr 2 im. Marii Skłodowskiej-Curie w Otwocku</t>
  </si>
  <si>
    <t>Razem Rozdział 80115</t>
  </si>
  <si>
    <t>52.</t>
  </si>
  <si>
    <t xml:space="preserve">Rozbudowa szatni w Zespole Szkół Nr 1 w Otwocku wraz z przebudową części istniejącej </t>
  </si>
  <si>
    <t>Razem Rozdział 80120</t>
  </si>
  <si>
    <t>53.</t>
  </si>
  <si>
    <t>Wniesienie wkładu pieniężnego - zwiększenie udziału w Powiatowym Centrum Zdrowia Sp. z o.o.</t>
  </si>
  <si>
    <t>54.</t>
  </si>
  <si>
    <t>Razem Rozdział 85111</t>
  </si>
  <si>
    <t>55.</t>
  </si>
  <si>
    <t>Modernizacja  centralnego ogrzewania w budynku Domu Pomocy Społecznej w Otwocku</t>
  </si>
  <si>
    <t>56.</t>
  </si>
  <si>
    <t>Modernizacja Domu Pomocy Społecznej "Wrzos"</t>
  </si>
  <si>
    <t>budowa przyłącza wodno-kanalizacyjnego w DPS "Wrzos"</t>
  </si>
  <si>
    <t>Razem Rozdział 85202</t>
  </si>
  <si>
    <t>57.</t>
  </si>
  <si>
    <t>Zakup kotła CO - Specjalny Osrodek Szkolno Wychowawczy Nr 1 im. Marii Konopnickiej</t>
  </si>
  <si>
    <t>Razem rozdział 85403</t>
  </si>
  <si>
    <t xml:space="preserve"> 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</si>
  <si>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</si>
  <si>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</si>
  <si>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</si>
  <si>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Zakup samochodu na potrzeby Młodzieżowego Ośrodka Socjoterapii "Jędruś" w Józefowie</t>
  </si>
  <si>
    <t>Razem rozdział 85421</t>
  </si>
  <si>
    <t>58.</t>
  </si>
  <si>
    <t>Plan wydatków majątkowych na 2019 rok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</si>
  <si>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</si>
  <si>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</si>
  <si>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</si>
  <si>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</si>
  <si>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</si>
  <si>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</si>
  <si>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Wpłaty jednostek na państwowy fundusz celowy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</si>
  <si>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</si>
  <si>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</si>
  <si>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</si>
  <si>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</si>
  <si>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</si>
  <si>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</si>
  <si>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</si>
  <si>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</si>
  <si>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</si>
  <si>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</si>
  <si>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</si>
  <si>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</si>
  <si>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2019 rok</t>
  </si>
  <si>
    <t>Dotacje udzielone w 2019 roku z budżetu podmiotom należącym                                                                                               i nienależącym do sektora finansów publicznych - po zmianach</t>
  </si>
  <si>
    <t>Jednostka realizująca - Zespół Szkół Nr 2 im. Marii Skłodowskiej-Curie w Otwocku</t>
  </si>
  <si>
    <t>Nazwa: Podniesienie jakości kształcenia zawodowego w Zespole Szkół Ekonomiczno-Gastronomicznych w Otwocku</t>
  </si>
  <si>
    <t>Nazwa: Podniesienie jakości kształcenia zawodowego w Zespole Szkół nr 2 w Otwocku</t>
  </si>
  <si>
    <t>85395</t>
  </si>
  <si>
    <t>Przebudowa drogi powiatowej Nr 2714W w Celestynowie</t>
  </si>
  <si>
    <t>Budowa chodnika przy drodze  powiatowej Nr 2719W - ul. Laskowskiej w Celestynowie</t>
  </si>
  <si>
    <t>Przebudowa drogi powiatowej Nr 2769W  - ul. Sikorskiego w Józefowie</t>
  </si>
  <si>
    <t>Przebudowa drogi powiatowej Nr 2765W - ul. Piłsudskiego w Józefowie</t>
  </si>
  <si>
    <t>B. 0</t>
  </si>
  <si>
    <t>B. 175 000</t>
  </si>
  <si>
    <t>Budowa miejsc parkingowych wraz z chodnikiem w pasie drogowym ul. 3 Maja na odcinku od ul. Szerokiej do numeru 82 oraz wykonanie przejścia dla pieszych na wysokości ul. Rozkosznej w Józefowie</t>
  </si>
  <si>
    <t>B.  0</t>
  </si>
  <si>
    <t>B. 7 500</t>
  </si>
  <si>
    <t>Przebudowa  drogi powiatowej Nr 2724W w Całowaniu</t>
  </si>
  <si>
    <t>Budowa chodnika w ul. Świderskiej w Karczewie od ul. Ordona</t>
  </si>
  <si>
    <t>Wykonanie nakładki asfaltobetonowej na drodze powiatowej Nr 2726W przez Sobiekursk</t>
  </si>
  <si>
    <t>Modernizacja drogi powiatowej Nr 2729W Kępa Gliniecka - Otwock Wielki - Otwock Mały - Karczew od drogi krajowej Nr 50 w kierunku wsi Glinki</t>
  </si>
  <si>
    <t>B.0</t>
  </si>
  <si>
    <t>Odwodnienie drogi powiatowej Nr 2741W - plac na ul. Rynek w Kołbieli</t>
  </si>
  <si>
    <t>Wykonanie nakładki asfaltobetonowej na drodze powiatowej Nr 2739W w Gadce na odcinku od drogi krajowej  Nr 17 do miejscowości Gadka</t>
  </si>
  <si>
    <t>Opracowanie koncepcji przedłużenia ul. Narutowicza w Otwocku na odcinku od ul. Andriollego w Otwocku do ul. Ciepłowniczej w Karczewie - I etap</t>
  </si>
  <si>
    <t>C. 60 000</t>
  </si>
  <si>
    <t>Zakupy inwestycyjne sprzętu informatyki i łaczności w Komendzie Powiatowej Państwowej Straży Pożarnej</t>
  </si>
  <si>
    <t>A. 17 685</t>
  </si>
  <si>
    <t xml:space="preserve">  Razem Rozdział 75295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</si>
  <si>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</si>
  <si>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</si>
  <si>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</si>
  <si>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</si>
  <si>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</si>
  <si>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</si>
  <si>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</si>
  <si>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</si>
  <si>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</si>
  <si>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</si>
  <si>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</si>
  <si>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752</t>
  </si>
  <si>
    <t xml:space="preserve">Obrona narodowa </t>
  </si>
  <si>
    <t>Dotacje celowe otrzymane z budżetu państwa na inwestycje i zakupy inwestycyjne z zakresu administracji rządowej oraz inne zadania zlecone ustawami realizowane przez powiat</t>
  </si>
  <si>
    <t>Wydatki na zakupy inwestycyjne jednostek budżetowych</t>
  </si>
  <si>
    <t>75295</t>
  </si>
  <si>
    <t>75414</t>
  </si>
  <si>
    <t>Obrona cywilna</t>
  </si>
  <si>
    <t>Różne wydatki na rzecz osób fizycznych</t>
  </si>
  <si>
    <t>Przebudowa podjazdu do Interwencyjnego Ośrodka Preadopcyjnego i uszczelnienie tarasu IOP (nad apteką szpitalną) w budynku PCZ Sp. z o.o.</t>
  </si>
  <si>
    <t>Dotacja dla  Powiatowego Centrum Zdrowia Sp. z o.o. na modernizację kuchni i przyziemia w budynku  szpitala</t>
  </si>
  <si>
    <t>B.20 000</t>
  </si>
  <si>
    <t>801</t>
  </si>
  <si>
    <t>Oświata i wychowanie</t>
  </si>
  <si>
    <t>80153</t>
  </si>
  <si>
    <t>Zapewnienie uczniom prawa do bezpłatnego dostępu do podręczników, materiałów edukacyjnych lub materiałów ćwiczeniowych</t>
  </si>
  <si>
    <t>Dotacja celowa z budżetu na finansowanie lub dofinansowanie zadań zleconych do realizacji pozostałym jednostkom nie zaliczanym do sektora finansów publicznych</t>
  </si>
  <si>
    <t>Zakup środków dydaktycznych i książek</t>
  </si>
  <si>
    <t>Składki na Fundusz Pracy oraz Solidarnościowy Fundusz Wsparcia Osób Niepełnosprawnych</t>
  </si>
  <si>
    <t xml:space="preserve">Opracowanie dokumentacji projektowej na budowę chodnika wraz z miejscami postojowymi przy drodze powiatowej Nr 2713W w Celestynowie na odcinku od działki 129/12 w obr. 1 do ronda w Dąbrówce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</si>
</sst>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_ ;\-#,##0\ "/>
    <numFmt numFmtId="165" formatCode="_-* #,##0.000\ _z_ł_-;\-* #,##0.000\ _z_ł_-;_-* &quot;-&quot;??\ _z_ł_-;_-@_-"/>
    <numFmt numFmtId="166" formatCode="\ #,##0.00&quot; zł &quot;;\-#,##0.00&quot; zł &quot;;&quot; -&quot;#&quot; zł &quot;;@\ "/>
  </numFmts>
  <fonts count="44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Czcionka tekstu podstawowego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22">
    <xf numFmtId="0" fontId="0" fillId="0" borderId="0" applyNumberFormat="0" applyFill="0" applyBorder="0" applyAlignment="0" applyProtection="0">
      <alignment vertical="top"/>
    </xf>
    <xf numFmtId="0" fontId="5" fillId="0" borderId="0"/>
    <xf numFmtId="0" fontId="8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1" fillId="0" borderId="0"/>
    <xf numFmtId="164" fontId="14" fillId="0" borderId="0"/>
    <xf numFmtId="0" fontId="5" fillId="0" borderId="0"/>
    <xf numFmtId="0" fontId="8" fillId="0" borderId="0"/>
    <xf numFmtId="0" fontId="8" fillId="0" borderId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/>
    <xf numFmtId="0" fontId="2" fillId="0" borderId="0"/>
    <xf numFmtId="0" fontId="24" fillId="0" borderId="0"/>
    <xf numFmtId="0" fontId="1" fillId="0" borderId="0"/>
    <xf numFmtId="43" fontId="4" fillId="0" borderId="0" applyFont="0" applyFill="0" applyBorder="0" applyAlignment="0" applyProtection="0"/>
  </cellStyleXfs>
  <cellXfs count="447">
    <xf numFmtId="0" fontId="0" fillId="0" borderId="0" xfId="0" applyAlignment="1"/>
    <xf numFmtId="0" fontId="7" fillId="3" borderId="6" xfId="1" applyFont="1" applyFill="1" applyBorder="1" applyAlignment="1">
      <alignment vertical="center" wrapText="1"/>
    </xf>
    <xf numFmtId="0" fontId="15" fillId="0" borderId="0" xfId="9" applyFont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9" applyFont="1" applyAlignment="1">
      <alignment horizontal="right" vertical="top"/>
    </xf>
    <xf numFmtId="0" fontId="13" fillId="4" borderId="6" xfId="9" applyFont="1" applyFill="1" applyBorder="1" applyAlignment="1">
      <alignment horizontal="center" vertical="center"/>
    </xf>
    <xf numFmtId="0" fontId="13" fillId="4" borderId="1" xfId="9" applyFont="1" applyFill="1" applyBorder="1" applyAlignment="1">
      <alignment horizontal="center" vertical="center" wrapText="1"/>
    </xf>
    <xf numFmtId="0" fontId="13" fillId="0" borderId="6" xfId="9" applyFont="1" applyBorder="1" applyAlignment="1">
      <alignment horizontal="center" vertical="center"/>
    </xf>
    <xf numFmtId="0" fontId="13" fillId="0" borderId="6" xfId="9" applyFont="1" applyBorder="1" applyAlignment="1">
      <alignment horizontal="left" vertical="center"/>
    </xf>
    <xf numFmtId="3" fontId="13" fillId="0" borderId="6" xfId="9" applyNumberFormat="1" applyFont="1" applyBorder="1" applyAlignment="1">
      <alignment horizontal="right"/>
    </xf>
    <xf numFmtId="0" fontId="13" fillId="0" borderId="0" xfId="9" applyFont="1" applyAlignment="1">
      <alignment vertical="center"/>
    </xf>
    <xf numFmtId="0" fontId="16" fillId="0" borderId="6" xfId="9" applyFont="1" applyBorder="1" applyAlignment="1">
      <alignment horizontal="center" vertical="center"/>
    </xf>
    <xf numFmtId="0" fontId="16" fillId="0" borderId="6" xfId="9" applyFont="1" applyBorder="1" applyAlignment="1">
      <alignment horizontal="left" vertical="center"/>
    </xf>
    <xf numFmtId="3" fontId="16" fillId="0" borderId="6" xfId="9" applyNumberFormat="1" applyFont="1" applyFill="1" applyBorder="1" applyAlignment="1">
      <alignment horizontal="right"/>
    </xf>
    <xf numFmtId="0" fontId="16" fillId="0" borderId="0" xfId="9" applyFont="1" applyAlignment="1">
      <alignment vertical="center"/>
    </xf>
    <xf numFmtId="3" fontId="16" fillId="0" borderId="6" xfId="9" applyNumberFormat="1" applyFont="1" applyBorder="1" applyAlignment="1">
      <alignment horizontal="right"/>
    </xf>
    <xf numFmtId="3" fontId="13" fillId="0" borderId="6" xfId="9" applyNumberFormat="1" applyFont="1" applyBorder="1" applyAlignment="1"/>
    <xf numFmtId="3" fontId="16" fillId="0" borderId="6" xfId="9" applyNumberFormat="1" applyFont="1" applyFill="1" applyBorder="1" applyAlignment="1"/>
    <xf numFmtId="3" fontId="16" fillId="0" borderId="6" xfId="9" applyNumberFormat="1" applyFont="1" applyBorder="1" applyAlignment="1"/>
    <xf numFmtId="0" fontId="13" fillId="0" borderId="6" xfId="9" applyFont="1" applyBorder="1" applyAlignment="1">
      <alignment vertical="center"/>
    </xf>
    <xf numFmtId="0" fontId="11" fillId="4" borderId="6" xfId="9" applyFont="1" applyFill="1" applyBorder="1" applyAlignment="1">
      <alignment vertical="center"/>
    </xf>
    <xf numFmtId="3" fontId="13" fillId="4" borderId="6" xfId="9" applyNumberFormat="1" applyFont="1" applyFill="1" applyBorder="1" applyAlignment="1"/>
    <xf numFmtId="0" fontId="11" fillId="0" borderId="6" xfId="9" applyFont="1" applyBorder="1" applyAlignment="1">
      <alignment horizontal="center" vertical="center"/>
    </xf>
    <xf numFmtId="0" fontId="11" fillId="0" borderId="1" xfId="9" applyFont="1" applyBorder="1" applyAlignment="1">
      <alignment vertical="center"/>
    </xf>
    <xf numFmtId="3" fontId="11" fillId="0" borderId="6" xfId="9" applyNumberFormat="1" applyFont="1" applyBorder="1" applyAlignment="1"/>
    <xf numFmtId="0" fontId="11" fillId="0" borderId="6" xfId="9" applyFont="1" applyBorder="1" applyAlignment="1">
      <alignment vertical="center"/>
    </xf>
    <xf numFmtId="3" fontId="11" fillId="0" borderId="4" xfId="9" applyNumberFormat="1" applyFont="1" applyBorder="1" applyAlignment="1"/>
    <xf numFmtId="0" fontId="11" fillId="0" borderId="5" xfId="9" applyFont="1" applyBorder="1" applyAlignment="1">
      <alignment vertical="center"/>
    </xf>
    <xf numFmtId="0" fontId="11" fillId="4" borderId="6" xfId="9" applyFont="1" applyFill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3" fontId="11" fillId="0" borderId="0" xfId="9" applyNumberFormat="1" applyFont="1" applyBorder="1" applyAlignment="1"/>
    <xf numFmtId="0" fontId="17" fillId="0" borderId="0" xfId="9" applyFont="1" applyAlignment="1">
      <alignment vertical="center"/>
    </xf>
    <xf numFmtId="49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 wrapText="1"/>
    </xf>
    <xf numFmtId="3" fontId="9" fillId="0" borderId="0" xfId="10" applyNumberFormat="1" applyFont="1" applyAlignment="1">
      <alignment vertical="center"/>
    </xf>
    <xf numFmtId="0" fontId="9" fillId="0" borderId="0" xfId="10" applyFont="1"/>
    <xf numFmtId="0" fontId="9" fillId="0" borderId="0" xfId="10" applyFont="1" applyAlignment="1">
      <alignment vertical="center"/>
    </xf>
    <xf numFmtId="49" fontId="9" fillId="0" borderId="6" xfId="10" applyNumberFormat="1" applyFont="1" applyBorder="1" applyAlignment="1">
      <alignment horizontal="center"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/>
    </xf>
    <xf numFmtId="0" fontId="6" fillId="0" borderId="0" xfId="7" applyFont="1"/>
    <xf numFmtId="0" fontId="9" fillId="0" borderId="0" xfId="11" applyFont="1" applyAlignment="1">
      <alignment horizontal="center" vertical="center"/>
    </xf>
    <xf numFmtId="0" fontId="9" fillId="0" borderId="0" xfId="11" applyFont="1" applyAlignment="1">
      <alignment vertical="center" wrapText="1"/>
    </xf>
    <xf numFmtId="3" fontId="9" fillId="0" borderId="0" xfId="11" applyNumberFormat="1" applyFont="1" applyAlignment="1">
      <alignment vertical="center"/>
    </xf>
    <xf numFmtId="0" fontId="9" fillId="0" borderId="0" xfId="11" applyFont="1"/>
    <xf numFmtId="0" fontId="10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6" xfId="11" applyFont="1" applyBorder="1" applyAlignment="1">
      <alignment horizontal="center" vertical="center"/>
    </xf>
    <xf numFmtId="0" fontId="9" fillId="0" borderId="6" xfId="11" applyFont="1" applyBorder="1" applyAlignment="1">
      <alignment vertical="center" wrapText="1"/>
    </xf>
    <xf numFmtId="3" fontId="9" fillId="0" borderId="6" xfId="11" applyNumberFormat="1" applyFont="1" applyBorder="1" applyAlignment="1">
      <alignment vertical="center"/>
    </xf>
    <xf numFmtId="0" fontId="6" fillId="0" borderId="6" xfId="11" applyFont="1" applyBorder="1" applyAlignment="1">
      <alignment vertical="center" wrapText="1"/>
    </xf>
    <xf numFmtId="49" fontId="9" fillId="3" borderId="6" xfId="10" applyNumberFormat="1" applyFont="1" applyFill="1" applyBorder="1" applyAlignment="1">
      <alignment horizontal="center" vertical="center"/>
    </xf>
    <xf numFmtId="0" fontId="9" fillId="3" borderId="6" xfId="10" applyFont="1" applyFill="1" applyBorder="1" applyAlignment="1">
      <alignment horizontal="center" vertical="center"/>
    </xf>
    <xf numFmtId="0" fontId="9" fillId="3" borderId="6" xfId="10" applyFont="1" applyFill="1" applyBorder="1" applyAlignment="1">
      <alignment vertical="center" wrapText="1"/>
    </xf>
    <xf numFmtId="3" fontId="9" fillId="3" borderId="6" xfId="10" applyNumberFormat="1" applyFont="1" applyFill="1" applyBorder="1" applyAlignment="1">
      <alignment vertical="center"/>
    </xf>
    <xf numFmtId="0" fontId="17" fillId="0" borderId="6" xfId="9" applyFont="1" applyFill="1" applyBorder="1" applyAlignment="1">
      <alignment horizontal="center" vertical="center"/>
    </xf>
    <xf numFmtId="0" fontId="17" fillId="0" borderId="6" xfId="9" applyFont="1" applyFill="1" applyBorder="1" applyAlignment="1">
      <alignment horizontal="center" vertical="center" wrapText="1"/>
    </xf>
    <xf numFmtId="3" fontId="6" fillId="0" borderId="6" xfId="11" applyNumberFormat="1" applyFont="1" applyBorder="1" applyAlignment="1">
      <alignment vertical="center"/>
    </xf>
    <xf numFmtId="0" fontId="9" fillId="0" borderId="1" xfId="10" applyFont="1" applyBorder="1" applyAlignment="1">
      <alignment vertical="center" wrapText="1"/>
    </xf>
    <xf numFmtId="0" fontId="6" fillId="0" borderId="6" xfId="7" applyFont="1" applyBorder="1" applyAlignment="1">
      <alignment vertical="center" wrapText="1"/>
    </xf>
    <xf numFmtId="49" fontId="10" fillId="5" borderId="6" xfId="10" applyNumberFormat="1" applyFont="1" applyFill="1" applyBorder="1" applyAlignment="1">
      <alignment horizontal="center" vertical="center"/>
    </xf>
    <xf numFmtId="0" fontId="10" fillId="5" borderId="6" xfId="10" applyFont="1" applyFill="1" applyBorder="1" applyAlignment="1">
      <alignment horizontal="center" vertical="center"/>
    </xf>
    <xf numFmtId="0" fontId="10" fillId="5" borderId="6" xfId="10" applyFont="1" applyFill="1" applyBorder="1" applyAlignment="1">
      <alignment horizontal="center" vertical="center" wrapText="1"/>
    </xf>
    <xf numFmtId="3" fontId="10" fillId="5" borderId="6" xfId="10" applyNumberFormat="1" applyFont="1" applyFill="1" applyBorder="1" applyAlignment="1">
      <alignment horizontal="center" vertical="center"/>
    </xf>
    <xf numFmtId="3" fontId="10" fillId="5" borderId="6" xfId="10" applyNumberFormat="1" applyFont="1" applyFill="1" applyBorder="1" applyAlignment="1">
      <alignment vertical="center"/>
    </xf>
    <xf numFmtId="49" fontId="10" fillId="6" borderId="6" xfId="10" applyNumberFormat="1" applyFont="1" applyFill="1" applyBorder="1" applyAlignment="1">
      <alignment horizontal="center" vertical="center"/>
    </xf>
    <xf numFmtId="0" fontId="10" fillId="6" borderId="6" xfId="10" applyFont="1" applyFill="1" applyBorder="1" applyAlignment="1">
      <alignment horizontal="center" vertical="center"/>
    </xf>
    <xf numFmtId="0" fontId="10" fillId="6" borderId="6" xfId="10" applyFont="1" applyFill="1" applyBorder="1" applyAlignment="1">
      <alignment vertical="center" wrapText="1"/>
    </xf>
    <xf numFmtId="3" fontId="10" fillId="6" borderId="6" xfId="10" applyNumberFormat="1" applyFont="1" applyFill="1" applyBorder="1" applyAlignment="1">
      <alignment vertical="center"/>
    </xf>
    <xf numFmtId="0" fontId="18" fillId="0" borderId="0" xfId="11" applyFont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10" fillId="7" borderId="6" xfId="11" applyFont="1" applyFill="1" applyBorder="1" applyAlignment="1">
      <alignment horizontal="center" vertical="center"/>
    </xf>
    <xf numFmtId="0" fontId="10" fillId="7" borderId="6" xfId="11" applyFont="1" applyFill="1" applyBorder="1" applyAlignment="1">
      <alignment horizontal="center" vertical="center" wrapText="1"/>
    </xf>
    <xf numFmtId="3" fontId="10" fillId="7" borderId="6" xfId="11" applyNumberFormat="1" applyFont="1" applyFill="1" applyBorder="1" applyAlignment="1">
      <alignment horizontal="center" vertical="center"/>
    </xf>
    <xf numFmtId="0" fontId="10" fillId="8" borderId="6" xfId="11" applyFont="1" applyFill="1" applyBorder="1" applyAlignment="1">
      <alignment horizontal="center" vertical="center"/>
    </xf>
    <xf numFmtId="0" fontId="10" fillId="8" borderId="6" xfId="11" applyFont="1" applyFill="1" applyBorder="1" applyAlignment="1">
      <alignment vertical="center" wrapText="1"/>
    </xf>
    <xf numFmtId="3" fontId="10" fillId="8" borderId="6" xfId="11" applyNumberFormat="1" applyFont="1" applyFill="1" applyBorder="1" applyAlignment="1">
      <alignment vertical="center"/>
    </xf>
    <xf numFmtId="0" fontId="9" fillId="6" borderId="6" xfId="11" applyFont="1" applyFill="1" applyBorder="1" applyAlignment="1">
      <alignment horizontal="center" vertical="center"/>
    </xf>
    <xf numFmtId="0" fontId="9" fillId="6" borderId="6" xfId="11" applyFont="1" applyFill="1" applyBorder="1" applyAlignment="1">
      <alignment vertical="center" wrapText="1"/>
    </xf>
    <xf numFmtId="3" fontId="9" fillId="6" borderId="6" xfId="11" applyNumberFormat="1" applyFont="1" applyFill="1" applyBorder="1" applyAlignment="1">
      <alignment vertical="center"/>
    </xf>
    <xf numFmtId="3" fontId="10" fillId="7" borderId="6" xfId="11" applyNumberFormat="1" applyFont="1" applyFill="1" applyBorder="1" applyAlignment="1">
      <alignment vertical="center"/>
    </xf>
    <xf numFmtId="0" fontId="6" fillId="0" borderId="6" xfId="11" applyFont="1" applyBorder="1" applyAlignment="1">
      <alignment horizontal="center" vertical="center"/>
    </xf>
    <xf numFmtId="0" fontId="6" fillId="0" borderId="0" xfId="11" applyFont="1" applyAlignment="1">
      <alignment vertical="center"/>
    </xf>
    <xf numFmtId="49" fontId="6" fillId="0" borderId="6" xfId="10" applyNumberFormat="1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3" fontId="6" fillId="0" borderId="6" xfId="10" applyNumberFormat="1" applyFont="1" applyBorder="1" applyAlignment="1">
      <alignment vertical="center"/>
    </xf>
    <xf numFmtId="0" fontId="6" fillId="0" borderId="0" xfId="10" applyFont="1" applyAlignment="1">
      <alignment vertical="center"/>
    </xf>
    <xf numFmtId="0" fontId="11" fillId="0" borderId="8" xfId="9" applyFont="1" applyBorder="1" applyAlignment="1">
      <alignment vertical="center" wrapText="1"/>
    </xf>
    <xf numFmtId="0" fontId="11" fillId="0" borderId="0" xfId="9" applyFont="1" applyFill="1" applyAlignment="1">
      <alignment vertical="center"/>
    </xf>
    <xf numFmtId="0" fontId="6" fillId="0" borderId="6" xfId="10" applyFont="1" applyBorder="1" applyAlignment="1">
      <alignment vertical="center" wrapText="1"/>
    </xf>
    <xf numFmtId="0" fontId="6" fillId="0" borderId="7" xfId="10" applyFont="1" applyBorder="1" applyAlignment="1">
      <alignment horizontal="center" vertical="center"/>
    </xf>
    <xf numFmtId="3" fontId="6" fillId="0" borderId="3" xfId="10" applyNumberFormat="1" applyFont="1" applyBorder="1" applyAlignment="1">
      <alignment vertical="center"/>
    </xf>
    <xf numFmtId="0" fontId="6" fillId="0" borderId="5" xfId="10" applyFont="1" applyBorder="1" applyAlignment="1">
      <alignment vertical="center" wrapText="1"/>
    </xf>
    <xf numFmtId="0" fontId="6" fillId="0" borderId="0" xfId="9" applyFont="1"/>
    <xf numFmtId="0" fontId="6" fillId="0" borderId="0" xfId="9" applyFont="1" applyAlignment="1">
      <alignment horizontal="center"/>
    </xf>
    <xf numFmtId="0" fontId="21" fillId="0" borderId="0" xfId="9" applyFont="1"/>
    <xf numFmtId="0" fontId="7" fillId="0" borderId="0" xfId="9" applyFont="1" applyAlignment="1">
      <alignment horizontal="center"/>
    </xf>
    <xf numFmtId="0" fontId="6" fillId="0" borderId="0" xfId="9" applyFont="1" applyAlignment="1">
      <alignment vertical="center"/>
    </xf>
    <xf numFmtId="0" fontId="17" fillId="0" borderId="6" xfId="9" applyFont="1" applyBorder="1" applyAlignment="1">
      <alignment horizontal="center" vertical="center"/>
    </xf>
    <xf numFmtId="0" fontId="6" fillId="0" borderId="6" xfId="9" applyFont="1" applyBorder="1" applyAlignment="1">
      <alignment vertical="center" wrapText="1"/>
    </xf>
    <xf numFmtId="0" fontId="6" fillId="0" borderId="6" xfId="9" applyFont="1" applyBorder="1" applyAlignment="1">
      <alignment horizontal="right" wrapText="1"/>
    </xf>
    <xf numFmtId="4" fontId="6" fillId="0" borderId="6" xfId="9" applyNumberFormat="1" applyFont="1" applyFill="1" applyBorder="1" applyAlignment="1">
      <alignment wrapText="1"/>
    </xf>
    <xf numFmtId="4" fontId="6" fillId="0" borderId="6" xfId="9" applyNumberFormat="1" applyFont="1" applyFill="1" applyBorder="1" applyAlignment="1"/>
    <xf numFmtId="4" fontId="7" fillId="10" borderId="6" xfId="9" applyNumberFormat="1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10" borderId="1" xfId="9" applyFont="1" applyFill="1" applyBorder="1" applyAlignment="1">
      <alignment horizontal="center" vertical="center" wrapText="1"/>
    </xf>
    <xf numFmtId="49" fontId="9" fillId="0" borderId="6" xfId="10" applyNumberFormat="1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vertical="center" wrapText="1"/>
    </xf>
    <xf numFmtId="3" fontId="9" fillId="0" borderId="6" xfId="10" applyNumberFormat="1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49" fontId="6" fillId="3" borderId="6" xfId="10" applyNumberFormat="1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vertical="center" wrapText="1"/>
    </xf>
    <xf numFmtId="3" fontId="6" fillId="3" borderId="6" xfId="10" applyNumberFormat="1" applyFont="1" applyFill="1" applyBorder="1" applyAlignment="1">
      <alignment vertical="center"/>
    </xf>
    <xf numFmtId="0" fontId="6" fillId="0" borderId="0" xfId="10" applyFont="1" applyFill="1" applyAlignment="1">
      <alignment vertical="center"/>
    </xf>
    <xf numFmtId="0" fontId="9" fillId="0" borderId="0" xfId="11" applyFont="1" applyFill="1" applyAlignment="1">
      <alignment vertical="center"/>
    </xf>
    <xf numFmtId="0" fontId="9" fillId="0" borderId="6" xfId="11" applyFont="1" applyFill="1" applyBorder="1" applyAlignment="1">
      <alignment horizontal="center" vertical="center"/>
    </xf>
    <xf numFmtId="3" fontId="9" fillId="0" borderId="6" xfId="11" applyNumberFormat="1" applyFont="1" applyFill="1" applyBorder="1" applyAlignment="1">
      <alignment vertical="center"/>
    </xf>
    <xf numFmtId="3" fontId="7" fillId="0" borderId="0" xfId="7" applyNumberFormat="1" applyFont="1" applyFill="1"/>
    <xf numFmtId="0" fontId="7" fillId="0" borderId="0" xfId="7" applyFont="1" applyFill="1"/>
    <xf numFmtId="0" fontId="6" fillId="0" borderId="0" xfId="7" applyFont="1" applyFill="1"/>
    <xf numFmtId="3" fontId="6" fillId="0" borderId="6" xfId="10" applyNumberFormat="1" applyFont="1" applyFill="1" applyBorder="1" applyAlignment="1">
      <alignment vertical="center"/>
    </xf>
    <xf numFmtId="0" fontId="9" fillId="6" borderId="6" xfId="11" applyFont="1" applyFill="1" applyBorder="1" applyAlignment="1">
      <alignment vertical="center"/>
    </xf>
    <xf numFmtId="0" fontId="6" fillId="6" borderId="6" xfId="11" applyFont="1" applyFill="1" applyBorder="1" applyAlignment="1">
      <alignment horizontal="center" vertical="center"/>
    </xf>
    <xf numFmtId="0" fontId="6" fillId="6" borderId="6" xfId="11" applyFont="1" applyFill="1" applyBorder="1" applyAlignment="1">
      <alignment vertical="center" wrapText="1"/>
    </xf>
    <xf numFmtId="3" fontId="6" fillId="6" borderId="6" xfId="11" applyNumberFormat="1" applyFont="1" applyFill="1" applyBorder="1" applyAlignment="1">
      <alignment vertical="center"/>
    </xf>
    <xf numFmtId="0" fontId="7" fillId="0" borderId="0" xfId="9" applyFont="1" applyAlignment="1"/>
    <xf numFmtId="0" fontId="7" fillId="2" borderId="6" xfId="9" applyFont="1" applyFill="1" applyBorder="1" applyAlignment="1">
      <alignment horizontal="right"/>
    </xf>
    <xf numFmtId="0" fontId="7" fillId="0" borderId="6" xfId="9" applyFont="1" applyBorder="1" applyAlignment="1">
      <alignment horizontal="center" wrapText="1"/>
    </xf>
    <xf numFmtId="4" fontId="7" fillId="2" borderId="6" xfId="9" applyNumberFormat="1" applyFont="1" applyFill="1" applyBorder="1" applyAlignment="1">
      <alignment wrapText="1"/>
    </xf>
    <xf numFmtId="4" fontId="7" fillId="2" borderId="6" xfId="9" applyNumberFormat="1" applyFont="1" applyFill="1" applyBorder="1" applyAlignment="1"/>
    <xf numFmtId="0" fontId="25" fillId="0" borderId="0" xfId="9" applyFont="1" applyAlignment="1"/>
    <xf numFmtId="0" fontId="9" fillId="6" borderId="6" xfId="11" applyFont="1" applyFill="1" applyBorder="1" applyAlignment="1">
      <alignment horizontal="left" vertical="center"/>
    </xf>
    <xf numFmtId="3" fontId="9" fillId="6" borderId="6" xfId="11" applyNumberFormat="1" applyFont="1" applyFill="1" applyBorder="1" applyAlignment="1">
      <alignment horizontal="center" vertical="center"/>
    </xf>
    <xf numFmtId="3" fontId="10" fillId="8" borderId="6" xfId="11" applyNumberFormat="1" applyFont="1" applyFill="1" applyBorder="1" applyAlignment="1">
      <alignment vertical="center" wrapText="1"/>
    </xf>
    <xf numFmtId="3" fontId="9" fillId="6" borderId="6" xfId="11" applyNumberFormat="1" applyFont="1" applyFill="1" applyBorder="1" applyAlignment="1">
      <alignment horizontal="right" vertical="center"/>
    </xf>
    <xf numFmtId="0" fontId="25" fillId="2" borderId="6" xfId="9" applyFont="1" applyFill="1" applyBorder="1" applyAlignment="1">
      <alignment horizontal="right"/>
    </xf>
    <xf numFmtId="4" fontId="25" fillId="2" borderId="6" xfId="9" applyNumberFormat="1" applyFont="1" applyFill="1" applyBorder="1" applyAlignment="1">
      <alignment wrapText="1"/>
    </xf>
    <xf numFmtId="4" fontId="25" fillId="2" borderId="6" xfId="9" applyNumberFormat="1" applyFont="1" applyFill="1" applyBorder="1" applyAlignment="1"/>
    <xf numFmtId="0" fontId="25" fillId="0" borderId="6" xfId="9" applyFont="1" applyBorder="1" applyAlignment="1">
      <alignment vertical="center" wrapText="1"/>
    </xf>
    <xf numFmtId="4" fontId="6" fillId="0" borderId="0" xfId="9" applyNumberFormat="1" applyFont="1"/>
    <xf numFmtId="0" fontId="11" fillId="0" borderId="0" xfId="7" applyFont="1" applyProtection="1">
      <protection locked="0"/>
    </xf>
    <xf numFmtId="0" fontId="11" fillId="0" borderId="0" xfId="7" applyFont="1" applyAlignment="1" applyProtection="1">
      <alignment horizontal="center" vertical="center"/>
      <protection locked="0"/>
    </xf>
    <xf numFmtId="0" fontId="11" fillId="0" borderId="0" xfId="7" applyFont="1" applyFill="1" applyAlignment="1" applyProtection="1">
      <alignment horizontal="center"/>
      <protection locked="0"/>
    </xf>
    <xf numFmtId="0" fontId="11" fillId="0" borderId="0" xfId="7" applyFont="1" applyProtection="1"/>
    <xf numFmtId="0" fontId="11" fillId="0" borderId="0" xfId="7" applyFont="1" applyAlignment="1" applyProtection="1">
      <alignment horizontal="center" vertical="center"/>
    </xf>
    <xf numFmtId="0" fontId="26" fillId="0" borderId="13" xfId="7" applyFont="1" applyFill="1" applyBorder="1" applyAlignment="1" applyProtection="1">
      <alignment horizontal="center" vertical="center"/>
    </xf>
    <xf numFmtId="0" fontId="11" fillId="0" borderId="13" xfId="7" applyFont="1" applyFill="1" applyBorder="1" applyAlignment="1" applyProtection="1">
      <alignment horizontal="center" vertical="center"/>
    </xf>
    <xf numFmtId="0" fontId="11" fillId="0" borderId="13" xfId="7" applyFont="1" applyFill="1" applyBorder="1" applyAlignment="1" applyProtection="1">
      <alignment horizontal="center" vertical="center"/>
      <protection locked="0"/>
    </xf>
    <xf numFmtId="0" fontId="26" fillId="0" borderId="0" xfId="7" applyFont="1" applyFill="1" applyProtection="1">
      <protection locked="0"/>
    </xf>
    <xf numFmtId="3" fontId="13" fillId="12" borderId="9" xfId="7" applyNumberFormat="1" applyFont="1" applyFill="1" applyBorder="1" applyAlignment="1" applyProtection="1">
      <alignment vertical="center" wrapText="1"/>
    </xf>
    <xf numFmtId="3" fontId="13" fillId="12" borderId="9" xfId="7" applyNumberFormat="1" applyFont="1" applyFill="1" applyBorder="1" applyAlignment="1" applyProtection="1">
      <alignment vertical="center"/>
    </xf>
    <xf numFmtId="0" fontId="13" fillId="12" borderId="9" xfId="7" applyFont="1" applyFill="1" applyBorder="1" applyAlignment="1" applyProtection="1">
      <alignment vertical="center" wrapText="1"/>
    </xf>
    <xf numFmtId="3" fontId="13" fillId="12" borderId="9" xfId="7" applyNumberFormat="1" applyFont="1" applyFill="1" applyBorder="1" applyAlignment="1" applyProtection="1">
      <alignment horizontal="right" vertical="center" wrapText="1"/>
    </xf>
    <xf numFmtId="0" fontId="27" fillId="12" borderId="9" xfId="7" applyFont="1" applyFill="1" applyBorder="1" applyAlignment="1" applyProtection="1">
      <alignment horizontal="center" vertical="center" wrapText="1"/>
    </xf>
    <xf numFmtId="0" fontId="28" fillId="12" borderId="9" xfId="7" applyFont="1" applyFill="1" applyBorder="1" applyAlignment="1" applyProtection="1">
      <alignment horizontal="center" vertical="center" wrapText="1"/>
      <protection locked="0"/>
    </xf>
    <xf numFmtId="0" fontId="11" fillId="0" borderId="0" xfId="7" applyFont="1" applyAlignment="1" applyProtection="1">
      <alignment vertical="center"/>
      <protection locked="0"/>
    </xf>
    <xf numFmtId="0" fontId="11" fillId="0" borderId="9" xfId="7" applyFont="1" applyFill="1" applyBorder="1" applyAlignment="1" applyProtection="1">
      <alignment horizontal="center" vertical="center"/>
    </xf>
    <xf numFmtId="0" fontId="11" fillId="0" borderId="9" xfId="7" applyFont="1" applyFill="1" applyBorder="1" applyAlignment="1" applyProtection="1">
      <alignment horizontal="center" vertical="center" wrapText="1"/>
    </xf>
    <xf numFmtId="0" fontId="11" fillId="0" borderId="9" xfId="16" applyFont="1" applyFill="1" applyBorder="1" applyAlignment="1" applyProtection="1">
      <alignment vertical="center" wrapText="1"/>
    </xf>
    <xf numFmtId="3" fontId="11" fillId="0" borderId="9" xfId="7" applyNumberFormat="1" applyFont="1" applyFill="1" applyBorder="1" applyAlignment="1" applyProtection="1">
      <alignment vertical="center" wrapText="1"/>
    </xf>
    <xf numFmtId="3" fontId="11" fillId="0" borderId="9" xfId="7" applyNumberFormat="1" applyFont="1" applyFill="1" applyBorder="1" applyAlignment="1" applyProtection="1">
      <alignment vertical="center"/>
    </xf>
    <xf numFmtId="0" fontId="11" fillId="0" borderId="9" xfId="7" applyFont="1" applyFill="1" applyBorder="1" applyAlignment="1" applyProtection="1">
      <alignment vertical="center" wrapText="1"/>
    </xf>
    <xf numFmtId="0" fontId="11" fillId="0" borderId="9" xfId="7" applyFont="1" applyFill="1" applyBorder="1" applyAlignment="1" applyProtection="1">
      <alignment horizontal="right" vertical="center" wrapText="1"/>
    </xf>
    <xf numFmtId="0" fontId="26" fillId="0" borderId="9" xfId="7" applyFont="1" applyFill="1" applyBorder="1" applyAlignment="1" applyProtection="1">
      <alignment horizontal="center" vertical="center" wrapText="1"/>
    </xf>
    <xf numFmtId="0" fontId="11" fillId="0" borderId="9" xfId="7" applyFont="1" applyFill="1" applyBorder="1" applyAlignment="1" applyProtection="1">
      <alignment horizontal="center" vertical="center" wrapText="1"/>
      <protection locked="0"/>
    </xf>
    <xf numFmtId="0" fontId="11" fillId="0" borderId="0" xfId="7" applyFont="1" applyFill="1" applyAlignment="1" applyProtection="1">
      <alignment vertical="center"/>
      <protection locked="0"/>
    </xf>
    <xf numFmtId="0" fontId="13" fillId="12" borderId="9" xfId="7" applyFont="1" applyFill="1" applyBorder="1" applyAlignment="1" applyProtection="1">
      <alignment horizontal="center" vertical="center" wrapText="1"/>
      <protection locked="0"/>
    </xf>
    <xf numFmtId="0" fontId="11" fillId="0" borderId="9" xfId="7" applyFont="1" applyFill="1" applyBorder="1" applyAlignment="1" applyProtection="1">
      <alignment horizontal="left" vertical="center" wrapText="1"/>
    </xf>
    <xf numFmtId="3" fontId="29" fillId="0" borderId="9" xfId="7" applyNumberFormat="1" applyFont="1" applyFill="1" applyBorder="1" applyAlignment="1" applyProtection="1">
      <alignment vertical="center"/>
    </xf>
    <xf numFmtId="0" fontId="29" fillId="0" borderId="9" xfId="7" applyFont="1" applyFill="1" applyBorder="1" applyAlignment="1" applyProtection="1">
      <alignment vertical="center" wrapText="1"/>
    </xf>
    <xf numFmtId="0" fontId="30" fillId="0" borderId="9" xfId="7" applyFont="1" applyFill="1" applyBorder="1" applyAlignment="1" applyProtection="1">
      <alignment horizontal="center" vertical="center" wrapText="1"/>
    </xf>
    <xf numFmtId="0" fontId="29" fillId="9" borderId="0" xfId="7" applyFont="1" applyFill="1" applyAlignment="1" applyProtection="1">
      <alignment vertical="center"/>
      <protection locked="0"/>
    </xf>
    <xf numFmtId="0" fontId="29" fillId="0" borderId="9" xfId="7" applyFont="1" applyFill="1" applyBorder="1" applyAlignment="1" applyProtection="1">
      <alignment horizontal="right" vertical="center" wrapText="1"/>
    </xf>
    <xf numFmtId="0" fontId="29" fillId="0" borderId="9" xfId="7" applyFont="1" applyFill="1" applyBorder="1" applyAlignment="1" applyProtection="1">
      <alignment horizontal="center" vertical="center" wrapText="1"/>
      <protection locked="0"/>
    </xf>
    <xf numFmtId="0" fontId="29" fillId="0" borderId="0" xfId="7" applyFont="1" applyFill="1" applyAlignment="1" applyProtection="1">
      <alignment vertical="center"/>
      <protection locked="0"/>
    </xf>
    <xf numFmtId="3" fontId="11" fillId="0" borderId="9" xfId="7" applyNumberFormat="1" applyFont="1" applyFill="1" applyBorder="1" applyAlignment="1" applyProtection="1">
      <alignment horizontal="center" vertical="center"/>
    </xf>
    <xf numFmtId="3" fontId="31" fillId="12" borderId="9" xfId="7" applyNumberFormat="1" applyFont="1" applyFill="1" applyBorder="1" applyAlignment="1" applyProtection="1">
      <alignment vertical="center"/>
    </xf>
    <xf numFmtId="0" fontId="31" fillId="12" borderId="9" xfId="7" applyFont="1" applyFill="1" applyBorder="1" applyAlignment="1" applyProtection="1">
      <alignment vertical="center" wrapText="1"/>
    </xf>
    <xf numFmtId="41" fontId="13" fillId="12" borderId="9" xfId="7" applyNumberFormat="1" applyFont="1" applyFill="1" applyBorder="1" applyAlignment="1" applyProtection="1">
      <alignment horizontal="right" vertical="center" wrapText="1"/>
    </xf>
    <xf numFmtId="0" fontId="32" fillId="12" borderId="9" xfId="7" applyFont="1" applyFill="1" applyBorder="1" applyAlignment="1" applyProtection="1">
      <alignment horizontal="center" vertical="center" wrapText="1"/>
    </xf>
    <xf numFmtId="0" fontId="31" fillId="12" borderId="9" xfId="7" applyFont="1" applyFill="1" applyBorder="1" applyAlignment="1" applyProtection="1">
      <alignment horizontal="center" vertical="center" wrapText="1"/>
      <protection locked="0"/>
    </xf>
    <xf numFmtId="0" fontId="31" fillId="0" borderId="0" xfId="7" applyFont="1" applyFill="1" applyAlignment="1" applyProtection="1">
      <alignment vertical="center"/>
      <protection locked="0"/>
    </xf>
    <xf numFmtId="0" fontId="11" fillId="13" borderId="9" xfId="7" applyFont="1" applyFill="1" applyBorder="1" applyAlignment="1" applyProtection="1">
      <alignment horizontal="center" vertical="center" wrapText="1"/>
      <protection locked="0"/>
    </xf>
    <xf numFmtId="3" fontId="33" fillId="0" borderId="9" xfId="7" applyNumberFormat="1" applyFont="1" applyFill="1" applyBorder="1" applyAlignment="1" applyProtection="1">
      <alignment vertical="center"/>
    </xf>
    <xf numFmtId="0" fontId="33" fillId="0" borderId="9" xfId="7" applyFont="1" applyFill="1" applyBorder="1" applyAlignment="1" applyProtection="1">
      <alignment vertical="center" wrapText="1"/>
    </xf>
    <xf numFmtId="0" fontId="33" fillId="0" borderId="9" xfId="7" applyFont="1" applyFill="1" applyBorder="1" applyAlignment="1" applyProtection="1">
      <alignment horizontal="right" vertical="center" wrapText="1"/>
    </xf>
    <xf numFmtId="0" fontId="34" fillId="0" borderId="9" xfId="7" applyFont="1" applyFill="1" applyBorder="1" applyAlignment="1" applyProtection="1">
      <alignment horizontal="center" vertical="center" wrapText="1"/>
    </xf>
    <xf numFmtId="0" fontId="33" fillId="0" borderId="9" xfId="7" applyFont="1" applyFill="1" applyBorder="1" applyAlignment="1" applyProtection="1">
      <alignment horizontal="center" vertical="center" wrapText="1"/>
      <protection locked="0"/>
    </xf>
    <xf numFmtId="0" fontId="33" fillId="0" borderId="0" xfId="7" applyFont="1" applyFill="1" applyAlignment="1" applyProtection="1">
      <alignment vertical="center"/>
      <protection locked="0"/>
    </xf>
    <xf numFmtId="0" fontId="11" fillId="0" borderId="9" xfId="16" applyFont="1" applyFill="1" applyBorder="1" applyAlignment="1" applyProtection="1">
      <alignment horizontal="left" vertical="center" wrapText="1"/>
    </xf>
    <xf numFmtId="3" fontId="11" fillId="9" borderId="9" xfId="7" applyNumberFormat="1" applyFont="1" applyFill="1" applyBorder="1" applyAlignment="1" applyProtection="1">
      <alignment vertical="center"/>
    </xf>
    <xf numFmtId="0" fontId="11" fillId="9" borderId="9" xfId="7" applyFont="1" applyFill="1" applyBorder="1" applyAlignment="1" applyProtection="1">
      <alignment vertical="center" wrapText="1"/>
    </xf>
    <xf numFmtId="0" fontId="11" fillId="9" borderId="9" xfId="7" applyFont="1" applyFill="1" applyBorder="1" applyAlignment="1" applyProtection="1">
      <alignment horizontal="right" vertical="center" wrapText="1"/>
    </xf>
    <xf numFmtId="0" fontId="26" fillId="9" borderId="9" xfId="7" applyFont="1" applyFill="1" applyBorder="1" applyAlignment="1" applyProtection="1">
      <alignment horizontal="center" vertical="center" wrapText="1"/>
    </xf>
    <xf numFmtId="0" fontId="16" fillId="0" borderId="9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Fill="1" applyAlignment="1" applyProtection="1">
      <alignment vertical="center"/>
      <protection locked="0"/>
    </xf>
    <xf numFmtId="0" fontId="11" fillId="0" borderId="9" xfId="7" applyNumberFormat="1" applyFont="1" applyFill="1" applyBorder="1" applyAlignment="1" applyProtection="1">
      <alignment horizontal="center" vertical="center"/>
    </xf>
    <xf numFmtId="41" fontId="27" fillId="12" borderId="9" xfId="7" applyNumberFormat="1" applyFont="1" applyFill="1" applyBorder="1" applyAlignment="1" applyProtection="1">
      <alignment horizontal="right" vertical="center" wrapText="1"/>
    </xf>
    <xf numFmtId="0" fontId="13" fillId="0" borderId="9" xfId="7" applyFont="1" applyFill="1" applyBorder="1" applyAlignment="1" applyProtection="1">
      <alignment horizontal="center" vertical="center" wrapText="1"/>
      <protection locked="0"/>
    </xf>
    <xf numFmtId="0" fontId="31" fillId="0" borderId="0" xfId="7" applyFont="1" applyAlignment="1" applyProtection="1">
      <alignment vertical="center"/>
      <protection locked="0"/>
    </xf>
    <xf numFmtId="0" fontId="29" fillId="0" borderId="0" xfId="7" applyFont="1" applyAlignment="1" applyProtection="1">
      <alignment vertical="center"/>
      <protection locked="0"/>
    </xf>
    <xf numFmtId="3" fontId="29" fillId="0" borderId="9" xfId="7" applyNumberFormat="1" applyFont="1" applyFill="1" applyBorder="1" applyAlignment="1" applyProtection="1">
      <alignment vertical="center" wrapText="1"/>
    </xf>
    <xf numFmtId="3" fontId="31" fillId="12" borderId="9" xfId="7" applyNumberFormat="1" applyFont="1" applyFill="1" applyBorder="1" applyAlignment="1" applyProtection="1">
      <alignment vertical="center" wrapText="1"/>
    </xf>
    <xf numFmtId="0" fontId="23" fillId="0" borderId="9" xfId="7" applyFont="1" applyFill="1" applyBorder="1" applyAlignment="1" applyProtection="1">
      <alignment horizontal="center" vertical="center" wrapText="1"/>
      <protection locked="0"/>
    </xf>
    <xf numFmtId="0" fontId="30" fillId="12" borderId="9" xfId="7" applyFont="1" applyFill="1" applyBorder="1" applyAlignment="1" applyProtection="1">
      <alignment horizontal="center" vertical="center" wrapText="1"/>
    </xf>
    <xf numFmtId="0" fontId="16" fillId="12" borderId="9" xfId="7" applyFont="1" applyFill="1" applyBorder="1" applyAlignment="1" applyProtection="1">
      <alignment horizontal="center" vertical="center" wrapText="1"/>
      <protection locked="0"/>
    </xf>
    <xf numFmtId="3" fontId="11" fillId="0" borderId="9" xfId="7" applyNumberFormat="1" applyFont="1" applyBorder="1" applyAlignment="1" applyProtection="1">
      <alignment vertical="center" wrapText="1"/>
    </xf>
    <xf numFmtId="0" fontId="35" fillId="0" borderId="9" xfId="7" applyFont="1" applyFill="1" applyBorder="1" applyAlignment="1" applyProtection="1">
      <alignment horizontal="center" vertical="center" wrapText="1"/>
      <protection locked="0"/>
    </xf>
    <xf numFmtId="0" fontId="11" fillId="9" borderId="9" xfId="16" applyFont="1" applyFill="1" applyBorder="1" applyAlignment="1" applyProtection="1">
      <alignment horizontal="left" vertical="center" wrapText="1"/>
    </xf>
    <xf numFmtId="3" fontId="11" fillId="9" borderId="9" xfId="7" applyNumberFormat="1" applyFont="1" applyFill="1" applyBorder="1" applyAlignment="1" applyProtection="1">
      <alignment vertical="center" wrapText="1"/>
    </xf>
    <xf numFmtId="0" fontId="16" fillId="9" borderId="9" xfId="7" applyFont="1" applyFill="1" applyBorder="1" applyAlignment="1" applyProtection="1">
      <alignment horizontal="center" vertical="center" wrapText="1"/>
      <protection locked="0"/>
    </xf>
    <xf numFmtId="0" fontId="16" fillId="14" borderId="0" xfId="7" applyFont="1" applyFill="1" applyAlignment="1" applyProtection="1">
      <alignment vertical="center"/>
      <protection locked="0"/>
    </xf>
    <xf numFmtId="0" fontId="36" fillId="0" borderId="9" xfId="16" applyFont="1" applyFill="1" applyBorder="1" applyAlignment="1" applyProtection="1">
      <alignment vertical="center" wrapText="1"/>
    </xf>
    <xf numFmtId="0" fontId="23" fillId="13" borderId="9" xfId="7" applyFont="1" applyFill="1" applyBorder="1" applyAlignment="1" applyProtection="1">
      <alignment horizontal="center" vertical="center" wrapText="1"/>
      <protection locked="0"/>
    </xf>
    <xf numFmtId="0" fontId="13" fillId="12" borderId="9" xfId="7" applyFont="1" applyFill="1" applyBorder="1" applyAlignment="1" applyProtection="1">
      <alignment horizontal="right" vertical="center" wrapText="1"/>
    </xf>
    <xf numFmtId="0" fontId="23" fillId="12" borderId="9" xfId="7" applyFont="1" applyFill="1" applyBorder="1" applyAlignment="1" applyProtection="1">
      <alignment horizontal="center" vertical="center" wrapText="1"/>
      <protection locked="0"/>
    </xf>
    <xf numFmtId="0" fontId="11" fillId="0" borderId="9" xfId="7" applyFont="1" applyBorder="1" applyAlignment="1" applyProtection="1">
      <alignment horizontal="center" vertical="center" wrapText="1"/>
    </xf>
    <xf numFmtId="0" fontId="11" fillId="0" borderId="9" xfId="7" applyFont="1" applyBorder="1" applyAlignment="1" applyProtection="1">
      <alignment horizontal="left" vertical="center" wrapText="1"/>
    </xf>
    <xf numFmtId="3" fontId="29" fillId="0" borderId="9" xfId="7" applyNumberFormat="1" applyFont="1" applyBorder="1" applyAlignment="1" applyProtection="1">
      <alignment vertical="center" wrapText="1"/>
    </xf>
    <xf numFmtId="0" fontId="29" fillId="0" borderId="9" xfId="7" applyFont="1" applyBorder="1" applyAlignment="1" applyProtection="1">
      <alignment vertical="center" wrapText="1"/>
    </xf>
    <xf numFmtId="0" fontId="30" fillId="0" borderId="9" xfId="7" applyFont="1" applyBorder="1" applyAlignment="1" applyProtection="1">
      <alignment horizontal="center" vertical="center" wrapText="1"/>
    </xf>
    <xf numFmtId="3" fontId="13" fillId="2" borderId="9" xfId="7" applyNumberFormat="1" applyFont="1" applyFill="1" applyBorder="1" applyAlignment="1" applyProtection="1">
      <alignment vertical="center" wrapText="1"/>
    </xf>
    <xf numFmtId="0" fontId="27" fillId="2" borderId="9" xfId="7" applyFont="1" applyFill="1" applyBorder="1" applyAlignment="1" applyProtection="1">
      <alignment horizontal="center" vertical="center" wrapText="1"/>
    </xf>
    <xf numFmtId="0" fontId="31" fillId="0" borderId="9" xfId="7" applyFont="1" applyFill="1" applyBorder="1" applyAlignment="1" applyProtection="1">
      <alignment horizontal="center" vertical="center" wrapText="1"/>
      <protection locked="0"/>
    </xf>
    <xf numFmtId="0" fontId="11" fillId="9" borderId="9" xfId="7" applyFont="1" applyFill="1" applyBorder="1" applyAlignment="1" applyProtection="1">
      <alignment horizontal="center" vertical="center"/>
    </xf>
    <xf numFmtId="0" fontId="33" fillId="12" borderId="0" xfId="7" applyFont="1" applyFill="1" applyAlignment="1" applyProtection="1">
      <alignment vertical="center"/>
      <protection locked="0"/>
    </xf>
    <xf numFmtId="0" fontId="13" fillId="0" borderId="9" xfId="7" applyFont="1" applyFill="1" applyBorder="1" applyAlignment="1" applyProtection="1">
      <alignment vertical="center" wrapText="1"/>
      <protection locked="0"/>
    </xf>
    <xf numFmtId="0" fontId="23" fillId="13" borderId="14" xfId="7" applyFont="1" applyFill="1" applyBorder="1" applyAlignment="1" applyProtection="1">
      <alignment horizontal="center" vertical="center" wrapText="1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13" fillId="2" borderId="9" xfId="7" applyFont="1" applyFill="1" applyBorder="1" applyAlignment="1" applyProtection="1">
      <alignment vertical="center" wrapText="1"/>
    </xf>
    <xf numFmtId="0" fontId="32" fillId="0" borderId="9" xfId="7" applyFont="1" applyFill="1" applyBorder="1" applyAlignment="1" applyProtection="1">
      <alignment horizontal="center" vertical="center" wrapText="1"/>
    </xf>
    <xf numFmtId="0" fontId="13" fillId="13" borderId="14" xfId="7" applyFont="1" applyFill="1" applyBorder="1" applyAlignment="1" applyProtection="1">
      <alignment horizontal="center" vertical="center" wrapText="1"/>
      <protection locked="0"/>
    </xf>
    <xf numFmtId="0" fontId="13" fillId="0" borderId="0" xfId="7" applyFont="1" applyFill="1" applyAlignment="1" applyProtection="1">
      <alignment vertical="center"/>
      <protection locked="0"/>
    </xf>
    <xf numFmtId="0" fontId="11" fillId="9" borderId="9" xfId="7" applyFont="1" applyFill="1" applyBorder="1" applyAlignment="1" applyProtection="1">
      <alignment horizontal="center" vertical="center" wrapText="1"/>
    </xf>
    <xf numFmtId="0" fontId="37" fillId="0" borderId="9" xfId="16" applyFont="1" applyFill="1" applyBorder="1" applyAlignment="1" applyProtection="1">
      <alignment vertical="center" wrapText="1"/>
    </xf>
    <xf numFmtId="0" fontId="23" fillId="0" borderId="14" xfId="7" applyFont="1" applyFill="1" applyBorder="1" applyAlignment="1" applyProtection="1">
      <alignment horizontal="center" vertical="center" wrapText="1"/>
      <protection locked="0"/>
    </xf>
    <xf numFmtId="0" fontId="13" fillId="2" borderId="14" xfId="7" applyFont="1" applyFill="1" applyBorder="1" applyAlignment="1" applyProtection="1">
      <alignment vertical="center" wrapText="1"/>
      <protection locked="0"/>
    </xf>
    <xf numFmtId="0" fontId="11" fillId="0" borderId="14" xfId="7" applyFont="1" applyFill="1" applyBorder="1" applyAlignment="1" applyProtection="1">
      <alignment vertical="center" wrapText="1"/>
      <protection locked="0"/>
    </xf>
    <xf numFmtId="3" fontId="11" fillId="0" borderId="9" xfId="7" applyNumberFormat="1" applyFont="1" applyFill="1" applyBorder="1" applyAlignment="1" applyProtection="1">
      <alignment horizontal="right" vertical="center" wrapText="1"/>
    </xf>
    <xf numFmtId="3" fontId="11" fillId="0" borderId="9" xfId="7" applyNumberFormat="1" applyFont="1" applyFill="1" applyBorder="1" applyAlignment="1" applyProtection="1">
      <alignment horizontal="left" vertical="center" wrapText="1"/>
    </xf>
    <xf numFmtId="0" fontId="11" fillId="0" borderId="14" xfId="7" applyFont="1" applyFill="1" applyBorder="1" applyAlignment="1" applyProtection="1">
      <alignment horizontal="left" vertical="center" wrapText="1"/>
      <protection locked="0"/>
    </xf>
    <xf numFmtId="0" fontId="13" fillId="0" borderId="14" xfId="7" applyFont="1" applyFill="1" applyBorder="1" applyAlignment="1" applyProtection="1">
      <alignment vertical="center" wrapText="1"/>
      <protection locked="0"/>
    </xf>
    <xf numFmtId="3" fontId="13" fillId="0" borderId="9" xfId="7" applyNumberFormat="1" applyFont="1" applyFill="1" applyBorder="1" applyAlignment="1" applyProtection="1">
      <alignment vertical="center" wrapText="1"/>
    </xf>
    <xf numFmtId="0" fontId="13" fillId="0" borderId="9" xfId="7" applyFont="1" applyFill="1" applyBorder="1" applyAlignment="1" applyProtection="1">
      <alignment vertical="center" wrapText="1"/>
    </xf>
    <xf numFmtId="0" fontId="27" fillId="0" borderId="9" xfId="7" applyFont="1" applyFill="1" applyBorder="1" applyAlignment="1" applyProtection="1">
      <alignment horizontal="center" vertical="center" wrapText="1"/>
    </xf>
    <xf numFmtId="0" fontId="29" fillId="0" borderId="0" xfId="7" applyFont="1" applyFill="1" applyBorder="1" applyAlignment="1" applyProtection="1">
      <alignment vertical="center"/>
      <protection locked="0"/>
    </xf>
    <xf numFmtId="0" fontId="13" fillId="0" borderId="15" xfId="7" applyFont="1" applyFill="1" applyBorder="1" applyAlignment="1" applyProtection="1">
      <alignment vertical="center" wrapText="1"/>
      <protection locked="0"/>
    </xf>
    <xf numFmtId="0" fontId="23" fillId="0" borderId="14" xfId="7" applyFont="1" applyFill="1" applyBorder="1" applyAlignment="1" applyProtection="1">
      <alignment vertical="center" wrapText="1"/>
      <protection locked="0"/>
    </xf>
    <xf numFmtId="0" fontId="13" fillId="9" borderId="0" xfId="7" applyFont="1" applyFill="1" applyAlignment="1" applyProtection="1">
      <alignment vertical="center"/>
      <protection locked="0"/>
    </xf>
    <xf numFmtId="0" fontId="36" fillId="0" borderId="9" xfId="7" applyFont="1" applyFill="1" applyBorder="1" applyAlignment="1" applyProtection="1">
      <alignment horizontal="center" vertical="center"/>
    </xf>
    <xf numFmtId="0" fontId="29" fillId="9" borderId="14" xfId="7" applyFont="1" applyFill="1" applyBorder="1" applyAlignment="1" applyProtection="1">
      <alignment vertical="center" wrapText="1"/>
      <protection locked="0"/>
    </xf>
    <xf numFmtId="0" fontId="11" fillId="9" borderId="0" xfId="7" applyFont="1" applyFill="1" applyAlignment="1" applyProtection="1">
      <alignment vertical="center"/>
      <protection locked="0"/>
    </xf>
    <xf numFmtId="0" fontId="26" fillId="0" borderId="9" xfId="7" applyFont="1" applyBorder="1" applyAlignment="1" applyProtection="1">
      <alignment horizontal="center" vertical="center" wrapText="1"/>
    </xf>
    <xf numFmtId="0" fontId="11" fillId="13" borderId="14" xfId="7" applyFont="1" applyFill="1" applyBorder="1" applyAlignment="1" applyProtection="1">
      <alignment horizontal="center" vertical="center" wrapText="1"/>
      <protection locked="0"/>
    </xf>
    <xf numFmtId="0" fontId="11" fillId="9" borderId="9" xfId="7" applyFont="1" applyFill="1" applyBorder="1" applyAlignment="1" applyProtection="1">
      <alignment horizontal="left" vertical="center" wrapText="1"/>
    </xf>
    <xf numFmtId="3" fontId="13" fillId="9" borderId="9" xfId="7" applyNumberFormat="1" applyFont="1" applyFill="1" applyBorder="1" applyAlignment="1" applyProtection="1">
      <alignment vertical="center" wrapText="1"/>
    </xf>
    <xf numFmtId="0" fontId="13" fillId="9" borderId="9" xfId="7" applyFont="1" applyFill="1" applyBorder="1" applyAlignment="1" applyProtection="1">
      <alignment vertical="center" wrapText="1"/>
    </xf>
    <xf numFmtId="41" fontId="13" fillId="9" borderId="9" xfId="7" applyNumberFormat="1" applyFont="1" applyFill="1" applyBorder="1" applyAlignment="1" applyProtection="1">
      <alignment horizontal="right" vertical="center" wrapText="1"/>
    </xf>
    <xf numFmtId="0" fontId="27" fillId="9" borderId="9" xfId="7" applyFont="1" applyFill="1" applyBorder="1" applyAlignment="1" applyProtection="1">
      <alignment horizontal="center" vertical="center" wrapText="1"/>
    </xf>
    <xf numFmtId="0" fontId="13" fillId="9" borderId="14" xfId="7" applyFont="1" applyFill="1" applyBorder="1" applyAlignment="1" applyProtection="1">
      <alignment vertical="center" wrapText="1"/>
      <protection locked="0"/>
    </xf>
    <xf numFmtId="41" fontId="13" fillId="2" borderId="9" xfId="7" applyNumberFormat="1" applyFont="1" applyFill="1" applyBorder="1" applyAlignment="1" applyProtection="1">
      <alignment horizontal="right" vertical="center" wrapText="1"/>
    </xf>
    <xf numFmtId="3" fontId="13" fillId="15" borderId="9" xfId="7" applyNumberFormat="1" applyFont="1" applyFill="1" applyBorder="1" applyAlignment="1" applyProtection="1">
      <alignment vertical="center" wrapText="1"/>
    </xf>
    <xf numFmtId="3" fontId="27" fillId="15" borderId="9" xfId="7" applyNumberFormat="1" applyFont="1" applyFill="1" applyBorder="1" applyAlignment="1" applyProtection="1">
      <alignment horizontal="center" vertical="center" wrapText="1"/>
    </xf>
    <xf numFmtId="3" fontId="13" fillId="0" borderId="9" xfId="7" applyNumberFormat="1" applyFont="1" applyFill="1" applyBorder="1" applyAlignment="1" applyProtection="1">
      <alignment vertical="center" wrapText="1"/>
      <protection locked="0"/>
    </xf>
    <xf numFmtId="0" fontId="13" fillId="9" borderId="0" xfId="7" applyFont="1" applyFill="1" applyBorder="1" applyAlignment="1" applyProtection="1">
      <alignment vertical="center"/>
      <protection locked="0"/>
    </xf>
    <xf numFmtId="3" fontId="11" fillId="0" borderId="0" xfId="7" applyNumberFormat="1" applyFont="1" applyProtection="1"/>
    <xf numFmtId="0" fontId="11" fillId="0" borderId="0" xfId="7" applyFont="1" applyFill="1" applyProtection="1">
      <protection locked="0"/>
    </xf>
    <xf numFmtId="0" fontId="26" fillId="0" borderId="0" xfId="9" applyFont="1" applyProtection="1"/>
    <xf numFmtId="0" fontId="26" fillId="0" borderId="0" xfId="7" applyFont="1" applyProtection="1"/>
    <xf numFmtId="0" fontId="26" fillId="0" borderId="0" xfId="7" applyFont="1" applyAlignment="1" applyProtection="1">
      <alignment horizontal="center" vertical="center"/>
    </xf>
    <xf numFmtId="3" fontId="26" fillId="0" borderId="0" xfId="7" applyNumberFormat="1" applyFont="1" applyProtection="1"/>
    <xf numFmtId="0" fontId="26" fillId="0" borderId="0" xfId="7" applyFont="1" applyProtection="1">
      <protection locked="0"/>
    </xf>
    <xf numFmtId="0" fontId="13" fillId="0" borderId="0" xfId="7" applyFont="1" applyFill="1" applyBorder="1" applyAlignment="1" applyProtection="1">
      <alignment vertical="center"/>
      <protection locked="0"/>
    </xf>
    <xf numFmtId="0" fontId="6" fillId="0" borderId="0" xfId="7" applyFont="1" applyAlignment="1">
      <alignment horizontal="center" vertical="center"/>
    </xf>
    <xf numFmtId="0" fontId="6" fillId="0" borderId="0" xfId="7" applyFont="1" applyAlignment="1"/>
    <xf numFmtId="0" fontId="12" fillId="0" borderId="0" xfId="7" applyFont="1" applyAlignment="1">
      <alignment vertical="center" wrapText="1"/>
    </xf>
    <xf numFmtId="0" fontId="15" fillId="0" borderId="0" xfId="7" applyFont="1"/>
    <xf numFmtId="0" fontId="7" fillId="2" borderId="6" xfId="7" applyFont="1" applyFill="1" applyBorder="1" applyAlignment="1">
      <alignment horizontal="center" vertical="center"/>
    </xf>
    <xf numFmtId="0" fontId="38" fillId="16" borderId="6" xfId="7" applyFont="1" applyFill="1" applyBorder="1" applyAlignment="1">
      <alignment horizontal="center" vertical="center"/>
    </xf>
    <xf numFmtId="0" fontId="38" fillId="0" borderId="0" xfId="7" applyFont="1"/>
    <xf numFmtId="0" fontId="7" fillId="3" borderId="6" xfId="7" applyFont="1" applyFill="1" applyBorder="1" applyAlignment="1">
      <alignment horizontal="center" vertical="center"/>
    </xf>
    <xf numFmtId="0" fontId="6" fillId="3" borderId="6" xfId="7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6" xfId="7" applyFont="1" applyFill="1" applyBorder="1" applyAlignment="1">
      <alignment horizontal="center" vertical="center" wrapText="1"/>
    </xf>
    <xf numFmtId="0" fontId="21" fillId="0" borderId="6" xfId="7" applyFont="1" applyBorder="1" applyAlignment="1">
      <alignment horizontal="center" vertical="center"/>
    </xf>
    <xf numFmtId="3" fontId="6" fillId="9" borderId="6" xfId="7" applyNumberFormat="1" applyFont="1" applyFill="1" applyBorder="1" applyAlignment="1">
      <alignment horizontal="right" vertical="center"/>
    </xf>
    <xf numFmtId="0" fontId="6" fillId="0" borderId="0" xfId="7" applyFont="1" applyAlignment="1">
      <alignment vertical="center"/>
    </xf>
    <xf numFmtId="0" fontId="6" fillId="0" borderId="6" xfId="7" applyFont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6" xfId="7" applyFont="1" applyBorder="1" applyAlignment="1">
      <alignment horizontal="left" vertical="center" wrapText="1"/>
    </xf>
    <xf numFmtId="0" fontId="21" fillId="0" borderId="6" xfId="7" applyFont="1" applyBorder="1" applyAlignment="1">
      <alignment vertical="center"/>
    </xf>
    <xf numFmtId="3" fontId="6" fillId="9" borderId="6" xfId="7" applyNumberFormat="1" applyFont="1" applyFill="1" applyBorder="1" applyAlignment="1">
      <alignment vertical="center"/>
    </xf>
    <xf numFmtId="0" fontId="21" fillId="0" borderId="6" xfId="7" applyFont="1" applyBorder="1" applyAlignment="1">
      <alignment vertical="center" wrapText="1"/>
    </xf>
    <xf numFmtId="3" fontId="6" fillId="9" borderId="6" xfId="7" applyNumberFormat="1" applyFont="1" applyFill="1" applyBorder="1" applyAlignment="1">
      <alignment horizontal="right" vertical="center" wrapText="1"/>
    </xf>
    <xf numFmtId="0" fontId="6" fillId="0" borderId="0" xfId="7" applyFont="1" applyAlignment="1">
      <alignment vertical="center" wrapText="1"/>
    </xf>
    <xf numFmtId="3" fontId="6" fillId="9" borderId="6" xfId="7" applyNumberFormat="1" applyFont="1" applyFill="1" applyBorder="1" applyAlignment="1">
      <alignment vertical="center" wrapText="1"/>
    </xf>
    <xf numFmtId="3" fontId="21" fillId="0" borderId="6" xfId="7" applyNumberFormat="1" applyFont="1" applyFill="1" applyBorder="1" applyAlignment="1">
      <alignment horizontal="right" vertical="center" wrapText="1"/>
    </xf>
    <xf numFmtId="3" fontId="7" fillId="2" borderId="6" xfId="7" applyNumberFormat="1" applyFont="1" applyFill="1" applyBorder="1" applyAlignment="1">
      <alignment vertical="center"/>
    </xf>
    <xf numFmtId="0" fontId="7" fillId="0" borderId="0" xfId="7" applyFont="1" applyAlignment="1">
      <alignment vertical="center"/>
    </xf>
    <xf numFmtId="3" fontId="7" fillId="0" borderId="0" xfId="7" applyNumberFormat="1" applyFont="1" applyAlignment="1">
      <alignment vertical="center"/>
    </xf>
    <xf numFmtId="0" fontId="7" fillId="0" borderId="0" xfId="7" applyFont="1" applyAlignment="1">
      <alignment horizontal="center" vertical="center"/>
    </xf>
    <xf numFmtId="49" fontId="6" fillId="0" borderId="6" xfId="7" applyNumberFormat="1" applyFont="1" applyBorder="1" applyAlignment="1">
      <alignment horizontal="center" vertical="center"/>
    </xf>
    <xf numFmtId="49" fontId="6" fillId="0" borderId="6" xfId="7" applyNumberFormat="1" applyFont="1" applyFill="1" applyBorder="1" applyAlignment="1">
      <alignment horizontal="center" vertical="center"/>
    </xf>
    <xf numFmtId="3" fontId="6" fillId="0" borderId="0" xfId="7" applyNumberFormat="1" applyFont="1" applyAlignment="1">
      <alignment vertical="center"/>
    </xf>
    <xf numFmtId="3" fontId="21" fillId="0" borderId="6" xfId="7" applyNumberFormat="1" applyFont="1" applyBorder="1" applyAlignment="1">
      <alignment vertical="center"/>
    </xf>
    <xf numFmtId="3" fontId="21" fillId="0" borderId="6" xfId="7" applyNumberFormat="1" applyFont="1" applyBorder="1" applyAlignment="1">
      <alignment vertical="center" wrapText="1"/>
    </xf>
    <xf numFmtId="0" fontId="21" fillId="9" borderId="6" xfId="7" applyFont="1" applyFill="1" applyBorder="1" applyAlignment="1">
      <alignment vertical="center" wrapText="1"/>
    </xf>
    <xf numFmtId="3" fontId="21" fillId="9" borderId="6" xfId="7" applyNumberFormat="1" applyFont="1" applyFill="1" applyBorder="1" applyAlignment="1">
      <alignment vertical="center" wrapText="1"/>
    </xf>
    <xf numFmtId="0" fontId="6" fillId="0" borderId="6" xfId="7" applyFont="1" applyFill="1" applyBorder="1" applyAlignment="1">
      <alignment vertical="center" wrapText="1"/>
    </xf>
    <xf numFmtId="1" fontId="21" fillId="0" borderId="6" xfId="7" applyNumberFormat="1" applyFont="1" applyBorder="1" applyAlignment="1">
      <alignment vertical="center" wrapText="1"/>
    </xf>
    <xf numFmtId="3" fontId="12" fillId="17" borderId="6" xfId="7" applyNumberFormat="1" applyFont="1" applyFill="1" applyBorder="1" applyAlignment="1">
      <alignment horizontal="right"/>
    </xf>
    <xf numFmtId="0" fontId="39" fillId="0" borderId="0" xfId="7" applyFont="1"/>
    <xf numFmtId="0" fontId="6" fillId="0" borderId="1" xfId="9" applyFont="1" applyBorder="1" applyAlignment="1">
      <alignment horizontal="center" vertical="center"/>
    </xf>
    <xf numFmtId="0" fontId="6" fillId="2" borderId="6" xfId="9" applyFont="1" applyFill="1" applyBorder="1" applyAlignment="1">
      <alignment horizontal="right"/>
    </xf>
    <xf numFmtId="4" fontId="6" fillId="2" borderId="6" xfId="9" applyNumberFormat="1" applyFont="1" applyFill="1" applyBorder="1" applyAlignment="1">
      <alignment wrapText="1"/>
    </xf>
    <xf numFmtId="4" fontId="6" fillId="2" borderId="6" xfId="9" applyNumberFormat="1" applyFont="1" applyFill="1" applyBorder="1" applyAlignment="1"/>
    <xf numFmtId="0" fontId="6" fillId="0" borderId="0" xfId="9" applyFont="1" applyAlignment="1"/>
    <xf numFmtId="0" fontId="6" fillId="0" borderId="6" xfId="9" applyFont="1" applyFill="1" applyBorder="1" applyAlignment="1">
      <alignment horizontal="right"/>
    </xf>
    <xf numFmtId="0" fontId="6" fillId="0" borderId="1" xfId="9" applyFont="1" applyBorder="1" applyAlignment="1">
      <alignment horizontal="right" vertical="center" wrapText="1"/>
    </xf>
    <xf numFmtId="4" fontId="6" fillId="9" borderId="1" xfId="9" applyNumberFormat="1" applyFont="1" applyFill="1" applyBorder="1" applyAlignment="1"/>
    <xf numFmtId="0" fontId="6" fillId="2" borderId="1" xfId="9" applyFont="1" applyFill="1" applyBorder="1" applyAlignment="1">
      <alignment horizontal="right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49" fontId="6" fillId="0" borderId="6" xfId="10" applyNumberFormat="1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center" vertical="center"/>
    </xf>
    <xf numFmtId="0" fontId="11" fillId="0" borderId="0" xfId="7" applyAlignment="1">
      <alignment horizontal="left" vertical="center"/>
    </xf>
    <xf numFmtId="0" fontId="29" fillId="0" borderId="9" xfId="7" applyFont="1" applyFill="1" applyBorder="1" applyAlignment="1" applyProtection="1">
      <alignment vertical="center" wrapText="1"/>
      <protection locked="0"/>
    </xf>
    <xf numFmtId="3" fontId="13" fillId="2" borderId="16" xfId="7" applyNumberFormat="1" applyFont="1" applyFill="1" applyBorder="1" applyAlignment="1" applyProtection="1">
      <alignment vertical="center" wrapText="1"/>
    </xf>
    <xf numFmtId="0" fontId="13" fillId="2" borderId="16" xfId="7" applyFont="1" applyFill="1" applyBorder="1" applyAlignment="1" applyProtection="1">
      <alignment vertical="center" wrapText="1"/>
    </xf>
    <xf numFmtId="0" fontId="27" fillId="2" borderId="16" xfId="7" applyFont="1" applyFill="1" applyBorder="1" applyAlignment="1" applyProtection="1">
      <alignment horizontal="center" vertical="center" wrapText="1"/>
    </xf>
    <xf numFmtId="0" fontId="13" fillId="2" borderId="17" xfId="7" applyFont="1" applyFill="1" applyBorder="1" applyAlignment="1" applyProtection="1">
      <alignment vertical="center" wrapText="1"/>
      <protection locked="0"/>
    </xf>
    <xf numFmtId="0" fontId="13" fillId="11" borderId="13" xfId="7" applyFont="1" applyFill="1" applyBorder="1" applyAlignment="1" applyProtection="1">
      <alignment horizontal="center" vertical="center" wrapText="1"/>
    </xf>
    <xf numFmtId="0" fontId="23" fillId="5" borderId="9" xfId="7" applyFont="1" applyFill="1" applyBorder="1" applyAlignment="1" applyProtection="1">
      <alignment horizontal="center" vertical="center"/>
    </xf>
    <xf numFmtId="0" fontId="23" fillId="5" borderId="9" xfId="7" applyFont="1" applyFill="1" applyBorder="1" applyAlignment="1" applyProtection="1">
      <alignment horizontal="center" vertical="center" wrapText="1"/>
    </xf>
    <xf numFmtId="3" fontId="23" fillId="5" borderId="9" xfId="7" applyNumberFormat="1" applyFont="1" applyFill="1" applyBorder="1" applyAlignment="1" applyProtection="1">
      <alignment vertical="center" wrapText="1"/>
    </xf>
    <xf numFmtId="0" fontId="23" fillId="5" borderId="9" xfId="7" applyFont="1" applyFill="1" applyBorder="1" applyAlignment="1" applyProtection="1">
      <alignment vertical="center" wrapText="1"/>
    </xf>
    <xf numFmtId="0" fontId="23" fillId="5" borderId="9" xfId="7" applyFont="1" applyFill="1" applyBorder="1" applyAlignment="1" applyProtection="1">
      <alignment horizontal="right" vertical="center" wrapText="1"/>
    </xf>
    <xf numFmtId="0" fontId="40" fillId="5" borderId="9" xfId="7" applyFont="1" applyFill="1" applyBorder="1" applyAlignment="1" applyProtection="1">
      <alignment horizontal="center" vertical="center" wrapText="1"/>
    </xf>
    <xf numFmtId="0" fontId="41" fillId="5" borderId="9" xfId="16" applyFont="1" applyFill="1" applyBorder="1" applyAlignment="1" applyProtection="1">
      <alignment vertical="center" wrapText="1"/>
    </xf>
    <xf numFmtId="49" fontId="7" fillId="6" borderId="6" xfId="10" applyNumberFormat="1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vertical="center" wrapText="1"/>
    </xf>
    <xf numFmtId="3" fontId="7" fillId="6" borderId="6" xfId="10" applyNumberFormat="1" applyFont="1" applyFill="1" applyBorder="1" applyAlignment="1">
      <alignment vertical="center"/>
    </xf>
    <xf numFmtId="0" fontId="6" fillId="0" borderId="6" xfId="10" applyFont="1" applyFill="1" applyBorder="1" applyAlignment="1">
      <alignment vertical="center" wrapText="1"/>
    </xf>
    <xf numFmtId="0" fontId="42" fillId="0" borderId="0" xfId="0" applyFont="1" applyAlignment="1"/>
    <xf numFmtId="0" fontId="25" fillId="0" borderId="6" xfId="7" applyFont="1" applyBorder="1" applyAlignment="1">
      <alignment horizontal="center" vertical="center"/>
    </xf>
    <xf numFmtId="0" fontId="25" fillId="0" borderId="6" xfId="7" applyFont="1" applyFill="1" applyBorder="1" applyAlignment="1">
      <alignment horizontal="center" vertical="center"/>
    </xf>
    <xf numFmtId="0" fontId="25" fillId="0" borderId="6" xfId="7" applyFont="1" applyBorder="1" applyAlignment="1">
      <alignment vertical="center" wrapText="1"/>
    </xf>
    <xf numFmtId="0" fontId="25" fillId="0" borderId="0" xfId="7" applyFont="1" applyAlignment="1">
      <alignment vertical="center"/>
    </xf>
    <xf numFmtId="3" fontId="25" fillId="9" borderId="6" xfId="7" applyNumberFormat="1" applyFont="1" applyFill="1" applyBorder="1" applyAlignment="1">
      <alignment vertical="center" wrapText="1"/>
    </xf>
    <xf numFmtId="0" fontId="6" fillId="0" borderId="5" xfId="9" applyFont="1" applyBorder="1" applyAlignment="1">
      <alignment horizontal="center" vertical="center" wrapText="1"/>
    </xf>
    <xf numFmtId="0" fontId="11" fillId="0" borderId="16" xfId="7" applyFont="1" applyFill="1" applyBorder="1" applyAlignment="1" applyProtection="1">
      <alignment horizontal="center" vertical="center" wrapText="1"/>
      <protection locked="0"/>
    </xf>
    <xf numFmtId="0" fontId="11" fillId="0" borderId="16" xfId="7" applyFont="1" applyFill="1" applyBorder="1" applyAlignment="1" applyProtection="1">
      <alignment horizontal="center" vertical="center"/>
    </xf>
    <xf numFmtId="0" fontId="11" fillId="0" borderId="16" xfId="7" applyFont="1" applyFill="1" applyBorder="1" applyAlignment="1" applyProtection="1">
      <alignment horizontal="left" vertical="center" wrapText="1"/>
    </xf>
    <xf numFmtId="3" fontId="11" fillId="0" borderId="16" xfId="7" applyNumberFormat="1" applyFont="1" applyFill="1" applyBorder="1" applyAlignment="1" applyProtection="1">
      <alignment vertical="center"/>
    </xf>
    <xf numFmtId="0" fontId="11" fillId="0" borderId="16" xfId="7" applyFont="1" applyFill="1" applyBorder="1" applyAlignment="1" applyProtection="1">
      <alignment vertical="center" wrapText="1"/>
    </xf>
    <xf numFmtId="0" fontId="11" fillId="0" borderId="16" xfId="7" applyFont="1" applyFill="1" applyBorder="1" applyAlignment="1" applyProtection="1">
      <alignment horizontal="right" vertical="center" wrapText="1"/>
    </xf>
    <xf numFmtId="0" fontId="26" fillId="0" borderId="16" xfId="7" applyFont="1" applyFill="1" applyBorder="1" applyAlignment="1" applyProtection="1">
      <alignment horizontal="center" vertical="center" wrapText="1"/>
    </xf>
    <xf numFmtId="3" fontId="29" fillId="0" borderId="16" xfId="7" applyNumberFormat="1" applyFont="1" applyFill="1" applyBorder="1" applyAlignment="1" applyProtection="1">
      <alignment vertical="center"/>
    </xf>
    <xf numFmtId="0" fontId="29" fillId="0" borderId="16" xfId="7" applyFont="1" applyFill="1" applyBorder="1" applyAlignment="1" applyProtection="1">
      <alignment vertical="center" wrapText="1"/>
    </xf>
    <xf numFmtId="165" fontId="29" fillId="0" borderId="16" xfId="21" applyNumberFormat="1" applyFont="1" applyFill="1" applyBorder="1" applyAlignment="1" applyProtection="1">
      <alignment horizontal="right" vertical="center" wrapText="1"/>
    </xf>
    <xf numFmtId="0" fontId="30" fillId="0" borderId="16" xfId="7" applyFont="1" applyFill="1" applyBorder="1" applyAlignment="1" applyProtection="1">
      <alignment horizontal="center" vertical="center" wrapText="1"/>
    </xf>
    <xf numFmtId="0" fontId="29" fillId="0" borderId="16" xfId="7" applyFont="1" applyFill="1" applyBorder="1" applyAlignment="1" applyProtection="1">
      <alignment horizontal="center" vertical="center" wrapText="1"/>
      <protection locked="0"/>
    </xf>
    <xf numFmtId="165" fontId="29" fillId="0" borderId="9" xfId="21" applyNumberFormat="1" applyFont="1" applyFill="1" applyBorder="1" applyAlignment="1" applyProtection="1">
      <alignment horizontal="right" vertical="center" wrapText="1"/>
    </xf>
    <xf numFmtId="0" fontId="11" fillId="0" borderId="16" xfId="7" applyFont="1" applyFill="1" applyBorder="1" applyAlignment="1" applyProtection="1">
      <alignment horizontal="center" vertical="center" wrapText="1"/>
    </xf>
    <xf numFmtId="3" fontId="11" fillId="0" borderId="16" xfId="7" applyNumberFormat="1" applyFont="1" applyFill="1" applyBorder="1" applyAlignment="1" applyProtection="1">
      <alignment vertical="center" wrapText="1"/>
    </xf>
    <xf numFmtId="0" fontId="11" fillId="0" borderId="16" xfId="16" applyFont="1" applyFill="1" applyBorder="1" applyAlignment="1" applyProtection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43" fillId="0" borderId="16" xfId="7" applyFont="1" applyFill="1" applyBorder="1" applyAlignment="1">
      <alignment horizontal="left" vertical="center" wrapText="1"/>
    </xf>
    <xf numFmtId="0" fontId="11" fillId="0" borderId="6" xfId="7" applyFont="1" applyFill="1" applyBorder="1" applyAlignment="1">
      <alignment horizontal="left" vertical="center" wrapText="1"/>
    </xf>
    <xf numFmtId="0" fontId="11" fillId="0" borderId="16" xfId="16" applyFont="1" applyFill="1" applyBorder="1" applyAlignment="1">
      <alignment vertical="center"/>
    </xf>
    <xf numFmtId="0" fontId="11" fillId="0" borderId="16" xfId="16" applyFont="1" applyFill="1" applyBorder="1" applyAlignment="1" applyProtection="1">
      <alignment horizontal="left" vertical="center" wrapText="1"/>
    </xf>
    <xf numFmtId="0" fontId="11" fillId="0" borderId="17" xfId="7" applyFont="1" applyFill="1" applyBorder="1" applyAlignment="1" applyProtection="1">
      <alignment vertical="center" wrapText="1"/>
      <protection locked="0"/>
    </xf>
    <xf numFmtId="0" fontId="29" fillId="0" borderId="14" xfId="7" applyFont="1" applyFill="1" applyBorder="1" applyAlignment="1" applyProtection="1">
      <alignment vertical="center" wrapText="1"/>
      <protection locked="0"/>
    </xf>
    <xf numFmtId="0" fontId="29" fillId="0" borderId="14" xfId="7" applyFont="1" applyFill="1" applyBorder="1" applyAlignment="1" applyProtection="1">
      <alignment horizontal="center" vertical="center" wrapText="1"/>
      <protection locked="0"/>
    </xf>
    <xf numFmtId="41" fontId="11" fillId="0" borderId="9" xfId="7" applyNumberFormat="1" applyFont="1" applyFill="1" applyBorder="1" applyAlignment="1" applyProtection="1">
      <alignment horizontal="right" vertical="center" wrapText="1"/>
    </xf>
    <xf numFmtId="0" fontId="11" fillId="0" borderId="9" xfId="7" applyFont="1" applyFill="1" applyBorder="1" applyAlignment="1" applyProtection="1">
      <alignment vertical="center" wrapText="1"/>
      <protection locked="0"/>
    </xf>
    <xf numFmtId="0" fontId="6" fillId="0" borderId="6" xfId="9" applyFont="1" applyBorder="1" applyAlignment="1">
      <alignment wrapText="1"/>
    </xf>
    <xf numFmtId="0" fontId="6" fillId="9" borderId="1" xfId="9" applyFont="1" applyFill="1" applyBorder="1" applyAlignment="1">
      <alignment horizontal="left" wrapText="1"/>
    </xf>
    <xf numFmtId="0" fontId="6" fillId="9" borderId="1" xfId="9" applyFont="1" applyFill="1" applyBorder="1" applyAlignment="1">
      <alignment horizontal="left" vertical="center" wrapText="1"/>
    </xf>
    <xf numFmtId="0" fontId="6" fillId="0" borderId="6" xfId="9" applyFont="1" applyFill="1" applyBorder="1" applyAlignment="1">
      <alignment horizontal="left" vertical="center"/>
    </xf>
    <xf numFmtId="0" fontId="6" fillId="0" borderId="6" xfId="9" applyFont="1" applyBorder="1" applyAlignment="1">
      <alignment horizontal="center" wrapText="1"/>
    </xf>
    <xf numFmtId="0" fontId="25" fillId="0" borderId="0" xfId="9" applyFont="1" applyAlignment="1">
      <alignment vertical="center"/>
    </xf>
    <xf numFmtId="0" fontId="25" fillId="0" borderId="6" xfId="9" applyFont="1" applyFill="1" applyBorder="1" applyAlignment="1">
      <alignment horizontal="right"/>
    </xf>
    <xf numFmtId="4" fontId="25" fillId="0" borderId="6" xfId="9" applyNumberFormat="1" applyFont="1" applyFill="1" applyBorder="1" applyAlignment="1">
      <alignment wrapText="1"/>
    </xf>
    <xf numFmtId="4" fontId="25" fillId="0" borderId="6" xfId="9" applyNumberFormat="1" applyFont="1" applyFill="1" applyBorder="1" applyAlignment="1"/>
    <xf numFmtId="0" fontId="25" fillId="0" borderId="0" xfId="9" applyFont="1" applyFill="1" applyAlignment="1">
      <alignment vertical="center"/>
    </xf>
    <xf numFmtId="0" fontId="9" fillId="0" borderId="6" xfId="11" applyFont="1" applyFill="1" applyBorder="1" applyAlignment="1">
      <alignment vertical="center"/>
    </xf>
    <xf numFmtId="0" fontId="25" fillId="9" borderId="6" xfId="7" applyFont="1" applyFill="1" applyBorder="1" applyAlignment="1">
      <alignment vertical="center" wrapText="1"/>
    </xf>
    <xf numFmtId="3" fontId="6" fillId="3" borderId="6" xfId="10" applyNumberFormat="1" applyFont="1" applyFill="1" applyBorder="1" applyAlignment="1">
      <alignment vertical="center" wrapText="1"/>
    </xf>
    <xf numFmtId="3" fontId="7" fillId="6" borderId="6" xfId="10" applyNumberFormat="1" applyFont="1" applyFill="1" applyBorder="1" applyAlignment="1">
      <alignment vertical="center" wrapText="1"/>
    </xf>
    <xf numFmtId="0" fontId="25" fillId="0" borderId="6" xfId="11" applyFont="1" applyBorder="1" applyAlignment="1">
      <alignment horizontal="center" vertical="center"/>
    </xf>
    <xf numFmtId="0" fontId="25" fillId="0" borderId="6" xfId="11" applyFont="1" applyBorder="1" applyAlignment="1">
      <alignment vertical="center" wrapText="1"/>
    </xf>
    <xf numFmtId="3" fontId="25" fillId="0" borderId="6" xfId="11" applyNumberFormat="1" applyFont="1" applyBorder="1" applyAlignment="1">
      <alignment vertical="center"/>
    </xf>
    <xf numFmtId="0" fontId="25" fillId="0" borderId="0" xfId="11" applyFont="1" applyAlignment="1">
      <alignment vertical="center"/>
    </xf>
    <xf numFmtId="0" fontId="23" fillId="5" borderId="0" xfId="0" applyFont="1" applyFill="1" applyAlignment="1">
      <alignment vertical="center" wrapText="1"/>
    </xf>
    <xf numFmtId="3" fontId="23" fillId="5" borderId="9" xfId="7" applyNumberFormat="1" applyFont="1" applyFill="1" applyBorder="1" applyAlignment="1" applyProtection="1">
      <alignment vertical="center"/>
    </xf>
    <xf numFmtId="0" fontId="13" fillId="2" borderId="9" xfId="7" applyFont="1" applyFill="1" applyBorder="1" applyAlignment="1" applyProtection="1">
      <alignment horizontal="center" vertical="center" wrapText="1"/>
    </xf>
    <xf numFmtId="166" fontId="13" fillId="15" borderId="9" xfId="8" applyNumberFormat="1" applyFont="1" applyFill="1" applyBorder="1" applyAlignment="1" applyProtection="1">
      <alignment horizontal="center" vertical="center" wrapText="1"/>
    </xf>
    <xf numFmtId="0" fontId="13" fillId="2" borderId="10" xfId="7" applyFont="1" applyFill="1" applyBorder="1" applyAlignment="1" applyProtection="1">
      <alignment horizontal="center" vertical="center" wrapText="1"/>
      <protection locked="0"/>
    </xf>
    <xf numFmtId="0" fontId="13" fillId="2" borderId="13" xfId="7" applyFont="1" applyFill="1" applyBorder="1" applyAlignment="1" applyProtection="1">
      <alignment horizontal="center" vertical="center" wrapText="1"/>
      <protection locked="0"/>
    </xf>
    <xf numFmtId="0" fontId="20" fillId="12" borderId="9" xfId="7" applyFont="1" applyFill="1" applyBorder="1" applyAlignment="1" applyProtection="1">
      <alignment horizontal="center" vertical="center"/>
    </xf>
    <xf numFmtId="0" fontId="12" fillId="0" borderId="0" xfId="7" applyFont="1" applyBorder="1" applyAlignment="1" applyProtection="1">
      <alignment horizontal="center"/>
    </xf>
    <xf numFmtId="0" fontId="13" fillId="11" borderId="9" xfId="7" applyFont="1" applyFill="1" applyBorder="1" applyAlignment="1" applyProtection="1">
      <alignment horizontal="center" vertical="center"/>
    </xf>
    <xf numFmtId="0" fontId="13" fillId="11" borderId="9" xfId="7" applyFont="1" applyFill="1" applyBorder="1" applyAlignment="1" applyProtection="1">
      <alignment horizontal="center" vertical="center" wrapText="1"/>
    </xf>
    <xf numFmtId="0" fontId="13" fillId="11" borderId="10" xfId="7" applyFont="1" applyFill="1" applyBorder="1" applyAlignment="1" applyProtection="1">
      <alignment horizontal="center" vertical="center" wrapText="1"/>
    </xf>
    <xf numFmtId="0" fontId="13" fillId="11" borderId="13" xfId="7" applyFont="1" applyFill="1" applyBorder="1" applyAlignment="1" applyProtection="1">
      <alignment horizontal="center" vertical="center" wrapText="1"/>
    </xf>
    <xf numFmtId="0" fontId="13" fillId="11" borderId="11" xfId="7" applyFont="1" applyFill="1" applyBorder="1" applyAlignment="1" applyProtection="1">
      <alignment horizontal="center" vertical="center" wrapText="1"/>
    </xf>
    <xf numFmtId="0" fontId="13" fillId="11" borderId="12" xfId="7" applyFont="1" applyFill="1" applyBorder="1" applyAlignment="1" applyProtection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3" fillId="4" borderId="7" xfId="9" applyFont="1" applyFill="1" applyBorder="1" applyAlignment="1">
      <alignment horizontal="center" vertical="center"/>
    </xf>
    <xf numFmtId="0" fontId="13" fillId="4" borderId="3" xfId="9" applyFont="1" applyFill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7" fillId="10" borderId="1" xfId="9" applyFont="1" applyFill="1" applyBorder="1" applyAlignment="1">
      <alignment horizontal="center" vertical="center" wrapText="1"/>
    </xf>
    <xf numFmtId="0" fontId="7" fillId="10" borderId="4" xfId="9" applyFont="1" applyFill="1" applyBorder="1" applyAlignment="1">
      <alignment horizontal="center" vertical="center" wrapText="1"/>
    </xf>
    <xf numFmtId="0" fontId="7" fillId="10" borderId="6" xfId="9" applyFont="1" applyFill="1" applyBorder="1" applyAlignment="1">
      <alignment horizontal="center" vertical="center" wrapText="1"/>
    </xf>
    <xf numFmtId="0" fontId="7" fillId="10" borderId="6" xfId="9" applyFont="1" applyFill="1" applyBorder="1" applyAlignment="1">
      <alignment horizontal="center" vertical="center"/>
    </xf>
    <xf numFmtId="0" fontId="25" fillId="0" borderId="6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center" vertical="center" wrapText="1"/>
    </xf>
    <xf numFmtId="0" fontId="25" fillId="0" borderId="5" xfId="9" applyFont="1" applyFill="1" applyBorder="1" applyAlignment="1">
      <alignment horizontal="center" vertical="center" wrapText="1"/>
    </xf>
    <xf numFmtId="49" fontId="18" fillId="0" borderId="0" xfId="10" applyNumberFormat="1" applyFont="1" applyAlignment="1">
      <alignment horizontal="center" vertical="center" wrapText="1"/>
    </xf>
    <xf numFmtId="0" fontId="10" fillId="5" borderId="7" xfId="10" applyFont="1" applyFill="1" applyBorder="1" applyAlignment="1">
      <alignment horizontal="center" vertical="center" wrapText="1"/>
    </xf>
    <xf numFmtId="0" fontId="10" fillId="5" borderId="2" xfId="10" applyFont="1" applyFill="1" applyBorder="1" applyAlignment="1">
      <alignment horizontal="center" vertical="center" wrapText="1"/>
    </xf>
    <xf numFmtId="0" fontId="10" fillId="5" borderId="3" xfId="10" applyFont="1" applyFill="1" applyBorder="1" applyAlignment="1">
      <alignment horizontal="center" vertical="center" wrapText="1"/>
    </xf>
    <xf numFmtId="0" fontId="18" fillId="0" borderId="0" xfId="11" applyFont="1" applyAlignment="1">
      <alignment horizontal="center" vertical="center" wrapText="1"/>
    </xf>
    <xf numFmtId="0" fontId="10" fillId="7" borderId="7" xfId="11" applyFont="1" applyFill="1" applyBorder="1" applyAlignment="1">
      <alignment horizontal="center" vertical="center" wrapText="1"/>
    </xf>
    <xf numFmtId="0" fontId="10" fillId="7" borderId="2" xfId="11" applyFont="1" applyFill="1" applyBorder="1" applyAlignment="1">
      <alignment horizontal="center" vertical="center" wrapText="1"/>
    </xf>
    <xf numFmtId="0" fontId="10" fillId="7" borderId="3" xfId="11" applyFont="1" applyFill="1" applyBorder="1" applyAlignment="1">
      <alignment horizontal="center" vertical="center" wrapText="1"/>
    </xf>
    <xf numFmtId="0" fontId="7" fillId="3" borderId="6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/>
    </xf>
    <xf numFmtId="44" fontId="7" fillId="2" borderId="6" xfId="12" applyFont="1" applyFill="1" applyBorder="1" applyAlignment="1">
      <alignment horizontal="center" vertical="center"/>
    </xf>
    <xf numFmtId="44" fontId="12" fillId="17" borderId="6" xfId="12" applyFont="1" applyFill="1" applyBorder="1" applyAlignment="1">
      <alignment horizontal="center"/>
    </xf>
    <xf numFmtId="0" fontId="20" fillId="0" borderId="0" xfId="7" applyFont="1" applyAlignment="1">
      <alignment horizontal="center" vertical="center" wrapText="1"/>
    </xf>
  </cellXfs>
  <cellStyles count="22">
    <cellStyle name="Dziesiętny" xfId="21" builtinId="3"/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55F54D"/>
      <color rgb="FFFFFFCC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H112"/>
  <sheetViews>
    <sheetView zoomScaleNormal="100" workbookViewId="0">
      <selection activeCell="E8" sqref="E8"/>
    </sheetView>
  </sheetViews>
  <sheetFormatPr defaultColWidth="11.6640625" defaultRowHeight="12.75"/>
  <cols>
    <col min="1" max="1" width="5.6640625" style="145" customWidth="1"/>
    <col min="2" max="2" width="6.6640625" style="145" customWidth="1"/>
    <col min="3" max="3" width="9.33203125" style="145" customWidth="1"/>
    <col min="4" max="4" width="7.33203125" style="145" customWidth="1"/>
    <col min="5" max="5" width="84.83203125" style="145" customWidth="1"/>
    <col min="6" max="9" width="14.33203125" style="145" customWidth="1"/>
    <col min="10" max="10" width="15.33203125" style="145" customWidth="1"/>
    <col min="11" max="11" width="25.5" style="146" customWidth="1"/>
    <col min="12" max="12" width="10.6640625" style="147" hidden="1" customWidth="1"/>
    <col min="13" max="86" width="11.6640625" style="271"/>
    <col min="87" max="16384" width="11.6640625" style="145"/>
  </cols>
  <sheetData>
    <row r="1" spans="1:86" ht="12" customHeight="1"/>
    <row r="2" spans="1:86" ht="15.75" customHeight="1">
      <c r="A2" s="407" t="s">
        <v>311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86" ht="15" customHeight="1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86" ht="19.5" customHeight="1" thickBot="1">
      <c r="A4" s="408" t="s">
        <v>69</v>
      </c>
      <c r="B4" s="409" t="s">
        <v>0</v>
      </c>
      <c r="C4" s="409" t="s">
        <v>161</v>
      </c>
      <c r="D4" s="410" t="s">
        <v>162</v>
      </c>
      <c r="E4" s="409" t="s">
        <v>163</v>
      </c>
      <c r="F4" s="409" t="s">
        <v>164</v>
      </c>
      <c r="G4" s="412" t="s">
        <v>165</v>
      </c>
      <c r="H4" s="413"/>
      <c r="I4" s="413"/>
      <c r="J4" s="413"/>
      <c r="K4" s="410" t="s">
        <v>166</v>
      </c>
      <c r="L4" s="404"/>
    </row>
    <row r="5" spans="1:86" ht="95.25" customHeight="1" thickBot="1">
      <c r="A5" s="408"/>
      <c r="B5" s="409"/>
      <c r="C5" s="409"/>
      <c r="D5" s="411"/>
      <c r="E5" s="409"/>
      <c r="F5" s="409"/>
      <c r="G5" s="336" t="s">
        <v>167</v>
      </c>
      <c r="H5" s="336" t="s">
        <v>168</v>
      </c>
      <c r="I5" s="336" t="s">
        <v>169</v>
      </c>
      <c r="J5" s="336" t="s">
        <v>170</v>
      </c>
      <c r="K5" s="411"/>
      <c r="L5" s="405"/>
    </row>
    <row r="6" spans="1:86" s="153" customFormat="1" ht="15" customHeight="1" thickBot="1">
      <c r="A6" s="150" t="s">
        <v>70</v>
      </c>
      <c r="B6" s="150" t="s">
        <v>71</v>
      </c>
      <c r="C6" s="150" t="s">
        <v>72</v>
      </c>
      <c r="D6" s="150" t="s">
        <v>73</v>
      </c>
      <c r="E6" s="151" t="s">
        <v>74</v>
      </c>
      <c r="F6" s="150" t="s">
        <v>171</v>
      </c>
      <c r="G6" s="150" t="s">
        <v>172</v>
      </c>
      <c r="H6" s="150" t="s">
        <v>173</v>
      </c>
      <c r="I6" s="150" t="s">
        <v>174</v>
      </c>
      <c r="J6" s="150" t="s">
        <v>175</v>
      </c>
      <c r="K6" s="150" t="s">
        <v>176</v>
      </c>
      <c r="L6" s="152"/>
    </row>
    <row r="7" spans="1:86" s="160" customFormat="1" ht="32.25" customHeight="1" thickBot="1">
      <c r="A7" s="406" t="s">
        <v>177</v>
      </c>
      <c r="B7" s="406"/>
      <c r="C7" s="406"/>
      <c r="D7" s="406"/>
      <c r="E7" s="406"/>
      <c r="F7" s="154">
        <f>SUM(G7:J7)</f>
        <v>450000</v>
      </c>
      <c r="G7" s="154">
        <f>SUM(G8:G11)</f>
        <v>400000</v>
      </c>
      <c r="H7" s="154">
        <f t="shared" ref="H7:I7" si="0">SUM(H8:H11)</f>
        <v>0</v>
      </c>
      <c r="I7" s="154">
        <f t="shared" si="0"/>
        <v>0</v>
      </c>
      <c r="J7" s="157">
        <v>50000</v>
      </c>
      <c r="K7" s="158"/>
      <c r="L7" s="159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</row>
    <row r="8" spans="1:86" s="233" customFormat="1" ht="52.5" customHeight="1" thickBot="1">
      <c r="A8" s="337" t="s">
        <v>70</v>
      </c>
      <c r="B8" s="338">
        <v>600</v>
      </c>
      <c r="C8" s="338">
        <v>60014</v>
      </c>
      <c r="D8" s="338">
        <v>6050</v>
      </c>
      <c r="E8" s="400" t="s">
        <v>387</v>
      </c>
      <c r="F8" s="339">
        <v>100000</v>
      </c>
      <c r="G8" s="401">
        <v>50000</v>
      </c>
      <c r="H8" s="401"/>
      <c r="I8" s="340"/>
      <c r="J8" s="341" t="s">
        <v>178</v>
      </c>
      <c r="K8" s="342"/>
      <c r="L8" s="208"/>
    </row>
    <row r="9" spans="1:86" s="170" customFormat="1" ht="42" customHeight="1" thickBot="1">
      <c r="A9" s="161" t="s">
        <v>71</v>
      </c>
      <c r="B9" s="162">
        <v>600</v>
      </c>
      <c r="C9" s="162">
        <v>60014</v>
      </c>
      <c r="D9" s="162">
        <v>6050</v>
      </c>
      <c r="E9" s="163" t="s">
        <v>337</v>
      </c>
      <c r="F9" s="164">
        <f>G9</f>
        <v>250000</v>
      </c>
      <c r="G9" s="165">
        <v>250000</v>
      </c>
      <c r="H9" s="165"/>
      <c r="I9" s="166"/>
      <c r="J9" s="167"/>
      <c r="K9" s="168" t="s">
        <v>179</v>
      </c>
      <c r="L9" s="169" t="s">
        <v>180</v>
      </c>
    </row>
    <row r="10" spans="1:86" s="170" customFormat="1" ht="42" customHeight="1" thickBot="1">
      <c r="A10" s="161" t="s">
        <v>72</v>
      </c>
      <c r="B10" s="162">
        <v>600</v>
      </c>
      <c r="C10" s="162">
        <v>60014</v>
      </c>
      <c r="D10" s="162">
        <v>6050</v>
      </c>
      <c r="E10" s="163" t="s">
        <v>181</v>
      </c>
      <c r="F10" s="164">
        <f>G10</f>
        <v>50000</v>
      </c>
      <c r="G10" s="165">
        <v>50000</v>
      </c>
      <c r="H10" s="165"/>
      <c r="I10" s="166"/>
      <c r="J10" s="167"/>
      <c r="K10" s="168" t="s">
        <v>182</v>
      </c>
      <c r="L10" s="169" t="s">
        <v>180</v>
      </c>
    </row>
    <row r="11" spans="1:86" s="170" customFormat="1" ht="42" customHeight="1" thickBot="1">
      <c r="A11" s="357" t="s">
        <v>73</v>
      </c>
      <c r="B11" s="162">
        <v>600</v>
      </c>
      <c r="C11" s="162">
        <v>60014</v>
      </c>
      <c r="D11" s="162">
        <v>6050</v>
      </c>
      <c r="E11" s="358" t="s">
        <v>338</v>
      </c>
      <c r="F11" s="164">
        <f>G11</f>
        <v>50000</v>
      </c>
      <c r="G11" s="359">
        <v>50000</v>
      </c>
      <c r="H11" s="359"/>
      <c r="I11" s="360"/>
      <c r="J11" s="361"/>
      <c r="K11" s="362"/>
      <c r="L11" s="356"/>
    </row>
    <row r="12" spans="1:86" s="160" customFormat="1" ht="32.25" customHeight="1" thickBot="1">
      <c r="A12" s="406" t="s">
        <v>183</v>
      </c>
      <c r="B12" s="406"/>
      <c r="C12" s="406"/>
      <c r="D12" s="406"/>
      <c r="E12" s="406"/>
      <c r="F12" s="154">
        <f>SUM(G12:J12)</f>
        <v>820000</v>
      </c>
      <c r="G12" s="154">
        <f>SUM(G13:G20)</f>
        <v>645000</v>
      </c>
      <c r="H12" s="155"/>
      <c r="I12" s="156"/>
      <c r="J12" s="157">
        <v>175000</v>
      </c>
      <c r="K12" s="158"/>
      <c r="L12" s="171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</row>
    <row r="13" spans="1:86" s="179" customFormat="1" ht="35.25" customHeight="1" thickBot="1">
      <c r="A13" s="161" t="s">
        <v>74</v>
      </c>
      <c r="B13" s="162">
        <v>600</v>
      </c>
      <c r="C13" s="162">
        <v>60014</v>
      </c>
      <c r="D13" s="162">
        <v>6050</v>
      </c>
      <c r="E13" s="172" t="s">
        <v>184</v>
      </c>
      <c r="F13" s="164">
        <f>SUM(G13:I13)</f>
        <v>0</v>
      </c>
      <c r="G13" s="165">
        <v>0</v>
      </c>
      <c r="H13" s="173"/>
      <c r="I13" s="174"/>
      <c r="J13" s="368"/>
      <c r="K13" s="175"/>
      <c r="L13" s="178"/>
    </row>
    <row r="14" spans="1:86" s="179" customFormat="1" ht="30" customHeight="1" thickBot="1">
      <c r="A14" s="357" t="s">
        <v>171</v>
      </c>
      <c r="B14" s="369">
        <v>600</v>
      </c>
      <c r="C14" s="369">
        <v>60014</v>
      </c>
      <c r="D14" s="369">
        <v>6050</v>
      </c>
      <c r="E14" s="358" t="s">
        <v>339</v>
      </c>
      <c r="F14" s="370">
        <f>SUM(G14:I14)</f>
        <v>100000</v>
      </c>
      <c r="G14" s="359">
        <v>100000</v>
      </c>
      <c r="H14" s="363"/>
      <c r="I14" s="364"/>
      <c r="J14" s="365"/>
      <c r="K14" s="366"/>
      <c r="L14" s="169" t="s">
        <v>180</v>
      </c>
    </row>
    <row r="15" spans="1:86" s="179" customFormat="1" ht="30" customHeight="1" thickBot="1">
      <c r="A15" s="357" t="s">
        <v>172</v>
      </c>
      <c r="B15" s="369">
        <v>600</v>
      </c>
      <c r="C15" s="369">
        <v>60014</v>
      </c>
      <c r="D15" s="369">
        <v>6050</v>
      </c>
      <c r="E15" s="358" t="s">
        <v>340</v>
      </c>
      <c r="F15" s="370">
        <f>SUM(G15:I15)</f>
        <v>150000</v>
      </c>
      <c r="G15" s="359">
        <v>150000</v>
      </c>
      <c r="H15" s="363"/>
      <c r="I15" s="364"/>
      <c r="J15" s="365"/>
      <c r="K15" s="366"/>
      <c r="L15" s="367"/>
    </row>
    <row r="16" spans="1:86" s="179" customFormat="1" ht="30" customHeight="1" thickBot="1">
      <c r="A16" s="161" t="s">
        <v>173</v>
      </c>
      <c r="B16" s="162">
        <v>600</v>
      </c>
      <c r="C16" s="162">
        <v>60014</v>
      </c>
      <c r="D16" s="162">
        <v>6050</v>
      </c>
      <c r="E16" s="172" t="s">
        <v>185</v>
      </c>
      <c r="F16" s="164">
        <f>SUM(G16:I16)</f>
        <v>200000</v>
      </c>
      <c r="G16" s="165">
        <v>200000</v>
      </c>
      <c r="H16" s="173"/>
      <c r="I16" s="174"/>
      <c r="J16" s="177"/>
      <c r="K16" s="175"/>
      <c r="L16" s="178"/>
    </row>
    <row r="17" spans="1:12" s="179" customFormat="1" ht="37.9" customHeight="1" thickBot="1">
      <c r="A17" s="180" t="s">
        <v>174</v>
      </c>
      <c r="B17" s="162">
        <v>600</v>
      </c>
      <c r="C17" s="162">
        <v>60014</v>
      </c>
      <c r="D17" s="162">
        <v>6050</v>
      </c>
      <c r="E17" s="163" t="s">
        <v>186</v>
      </c>
      <c r="F17" s="164">
        <v>0</v>
      </c>
      <c r="G17" s="165">
        <v>0</v>
      </c>
      <c r="H17" s="173"/>
      <c r="I17" s="174"/>
      <c r="J17" s="167" t="s">
        <v>341</v>
      </c>
      <c r="K17" s="175"/>
      <c r="L17" s="178"/>
    </row>
    <row r="18" spans="1:12" s="179" customFormat="1" ht="33.6" customHeight="1" thickBot="1">
      <c r="A18" s="180" t="s">
        <v>175</v>
      </c>
      <c r="B18" s="162">
        <v>600</v>
      </c>
      <c r="C18" s="162">
        <v>60014</v>
      </c>
      <c r="D18" s="162">
        <v>6050</v>
      </c>
      <c r="E18" s="163" t="s">
        <v>187</v>
      </c>
      <c r="F18" s="164">
        <f>G18</f>
        <v>30000</v>
      </c>
      <c r="G18" s="165">
        <v>30000</v>
      </c>
      <c r="H18" s="173"/>
      <c r="I18" s="174"/>
      <c r="J18" s="177"/>
      <c r="K18" s="175"/>
      <c r="L18" s="178"/>
    </row>
    <row r="19" spans="1:12" s="179" customFormat="1" ht="32.450000000000003" customHeight="1" thickBot="1">
      <c r="A19" s="180" t="s">
        <v>176</v>
      </c>
      <c r="B19" s="162">
        <v>600</v>
      </c>
      <c r="C19" s="162">
        <v>60014</v>
      </c>
      <c r="D19" s="162">
        <v>6050</v>
      </c>
      <c r="E19" s="163" t="s">
        <v>188</v>
      </c>
      <c r="F19" s="164">
        <f>G19</f>
        <v>40000</v>
      </c>
      <c r="G19" s="165">
        <v>40000</v>
      </c>
      <c r="H19" s="173"/>
      <c r="I19" s="174"/>
      <c r="J19" s="177"/>
      <c r="K19" s="175"/>
      <c r="L19" s="178"/>
    </row>
    <row r="20" spans="1:12" s="179" customFormat="1" ht="50.25" customHeight="1" thickBot="1">
      <c r="A20" s="180" t="s">
        <v>193</v>
      </c>
      <c r="B20" s="162">
        <v>600</v>
      </c>
      <c r="C20" s="162">
        <v>60014</v>
      </c>
      <c r="D20" s="162">
        <v>6050</v>
      </c>
      <c r="E20" s="163" t="s">
        <v>343</v>
      </c>
      <c r="F20" s="164">
        <f>250000+50000</f>
        <v>300000</v>
      </c>
      <c r="G20" s="165">
        <f>100000+25000</f>
        <v>125000</v>
      </c>
      <c r="H20" s="173"/>
      <c r="I20" s="174"/>
      <c r="J20" s="167" t="s">
        <v>342</v>
      </c>
      <c r="K20" s="175"/>
      <c r="L20" s="178"/>
    </row>
    <row r="21" spans="1:12" s="186" customFormat="1" ht="27" customHeight="1" thickBot="1">
      <c r="A21" s="406" t="s">
        <v>189</v>
      </c>
      <c r="B21" s="406"/>
      <c r="C21" s="406"/>
      <c r="D21" s="406"/>
      <c r="E21" s="406"/>
      <c r="F21" s="154">
        <f>SUM(G21:J21)</f>
        <v>3057568</v>
      </c>
      <c r="G21" s="154">
        <f>SUM(G22:G29)</f>
        <v>1701068</v>
      </c>
      <c r="H21" s="181"/>
      <c r="I21" s="182"/>
      <c r="J21" s="183">
        <f>1419000-70000+7500</f>
        <v>1356500</v>
      </c>
      <c r="K21" s="184"/>
      <c r="L21" s="185"/>
    </row>
    <row r="22" spans="1:12" s="179" customFormat="1" ht="42" customHeight="1" thickBot="1">
      <c r="A22" s="161" t="s">
        <v>195</v>
      </c>
      <c r="B22" s="162">
        <v>600</v>
      </c>
      <c r="C22" s="162">
        <v>60014</v>
      </c>
      <c r="D22" s="162">
        <v>6050</v>
      </c>
      <c r="E22" s="163" t="s">
        <v>190</v>
      </c>
      <c r="F22" s="164">
        <v>1800000</v>
      </c>
      <c r="G22" s="165">
        <f>902000-451000</f>
        <v>451000</v>
      </c>
      <c r="H22" s="173"/>
      <c r="I22" s="174"/>
      <c r="J22" s="167" t="s">
        <v>191</v>
      </c>
      <c r="K22" s="175"/>
      <c r="L22" s="178"/>
    </row>
    <row r="23" spans="1:12" s="233" customFormat="1" ht="30" customHeight="1" thickBot="1">
      <c r="A23" s="161" t="s">
        <v>197</v>
      </c>
      <c r="B23" s="162">
        <v>600</v>
      </c>
      <c r="C23" s="162">
        <v>60014</v>
      </c>
      <c r="D23" s="162">
        <v>6050</v>
      </c>
      <c r="E23" s="172" t="s">
        <v>192</v>
      </c>
      <c r="F23" s="164">
        <f t="shared" ref="F23:F28" si="1">SUM(G23:H23)</f>
        <v>400000</v>
      </c>
      <c r="G23" s="165">
        <v>400000</v>
      </c>
      <c r="H23" s="165"/>
      <c r="I23" s="166"/>
      <c r="J23" s="167"/>
      <c r="K23" s="168"/>
      <c r="L23" s="218" t="s">
        <v>180</v>
      </c>
    </row>
    <row r="24" spans="1:12" s="179" customFormat="1" ht="34.5" customHeight="1" thickBot="1">
      <c r="A24" s="161" t="s">
        <v>199</v>
      </c>
      <c r="B24" s="162">
        <v>600</v>
      </c>
      <c r="C24" s="162">
        <v>60014</v>
      </c>
      <c r="D24" s="162">
        <v>6050</v>
      </c>
      <c r="E24" s="163" t="s">
        <v>194</v>
      </c>
      <c r="F24" s="164">
        <f t="shared" si="1"/>
        <v>80000</v>
      </c>
      <c r="G24" s="165">
        <v>80000</v>
      </c>
      <c r="H24" s="165"/>
      <c r="I24" s="166"/>
      <c r="J24" s="167" t="s">
        <v>344</v>
      </c>
      <c r="K24" s="168"/>
      <c r="L24" s="178"/>
    </row>
    <row r="25" spans="1:12" s="179" customFormat="1" ht="34.5" customHeight="1" thickBot="1">
      <c r="A25" s="161" t="s">
        <v>201</v>
      </c>
      <c r="B25" s="162">
        <v>600</v>
      </c>
      <c r="C25" s="162">
        <v>60014</v>
      </c>
      <c r="D25" s="162">
        <v>6050</v>
      </c>
      <c r="E25" s="163" t="s">
        <v>196</v>
      </c>
      <c r="F25" s="164">
        <f t="shared" si="1"/>
        <v>150000</v>
      </c>
      <c r="G25" s="165">
        <v>150000</v>
      </c>
      <c r="H25" s="173"/>
      <c r="I25" s="174"/>
      <c r="J25" s="177"/>
      <c r="K25" s="175"/>
      <c r="L25" s="178"/>
    </row>
    <row r="26" spans="1:12" s="193" customFormat="1" ht="34.5" customHeight="1" thickBot="1">
      <c r="A26" s="161" t="s">
        <v>204</v>
      </c>
      <c r="B26" s="162">
        <v>600</v>
      </c>
      <c r="C26" s="162">
        <v>60014</v>
      </c>
      <c r="D26" s="162">
        <v>6050</v>
      </c>
      <c r="E26" s="163" t="s">
        <v>198</v>
      </c>
      <c r="F26" s="165">
        <f t="shared" si="1"/>
        <v>300000</v>
      </c>
      <c r="G26" s="165">
        <v>300000</v>
      </c>
      <c r="H26" s="173"/>
      <c r="I26" s="174"/>
      <c r="J26" s="177"/>
      <c r="K26" s="175"/>
      <c r="L26" s="192"/>
    </row>
    <row r="27" spans="1:12" s="179" customFormat="1" ht="34.5" customHeight="1" thickBot="1">
      <c r="A27" s="161" t="s">
        <v>206</v>
      </c>
      <c r="B27" s="162">
        <v>600</v>
      </c>
      <c r="C27" s="162">
        <v>60014</v>
      </c>
      <c r="D27" s="162">
        <v>6050</v>
      </c>
      <c r="E27" s="163" t="s">
        <v>200</v>
      </c>
      <c r="F27" s="165">
        <f t="shared" si="1"/>
        <v>15068</v>
      </c>
      <c r="G27" s="165">
        <v>15068</v>
      </c>
      <c r="H27" s="173"/>
      <c r="I27" s="174"/>
      <c r="J27" s="177"/>
      <c r="K27" s="175"/>
      <c r="L27" s="178"/>
    </row>
    <row r="28" spans="1:12" s="193" customFormat="1" ht="34.5" customHeight="1" thickBot="1">
      <c r="A28" s="161" t="s">
        <v>207</v>
      </c>
      <c r="B28" s="162">
        <v>600</v>
      </c>
      <c r="C28" s="162">
        <v>60014</v>
      </c>
      <c r="D28" s="162">
        <v>6050</v>
      </c>
      <c r="E28" s="163" t="s">
        <v>202</v>
      </c>
      <c r="F28" s="165">
        <f t="shared" si="1"/>
        <v>300000</v>
      </c>
      <c r="G28" s="165">
        <v>300000</v>
      </c>
      <c r="H28" s="188"/>
      <c r="I28" s="189"/>
      <c r="J28" s="190"/>
      <c r="K28" s="191"/>
      <c r="L28" s="192"/>
    </row>
    <row r="29" spans="1:12" s="179" customFormat="1" ht="40.5" customHeight="1" thickBot="1">
      <c r="A29" s="357" t="s">
        <v>209</v>
      </c>
      <c r="B29" s="162">
        <v>600</v>
      </c>
      <c r="C29" s="162">
        <v>60014</v>
      </c>
      <c r="D29" s="162">
        <v>6050</v>
      </c>
      <c r="E29" s="371" t="s">
        <v>353</v>
      </c>
      <c r="F29" s="359">
        <v>12500</v>
      </c>
      <c r="G29" s="359">
        <v>5000</v>
      </c>
      <c r="H29" s="363"/>
      <c r="I29" s="364"/>
      <c r="J29" s="361" t="s">
        <v>345</v>
      </c>
      <c r="K29" s="366"/>
      <c r="L29" s="367"/>
    </row>
    <row r="30" spans="1:12" s="186" customFormat="1" ht="27.75" customHeight="1" thickBot="1">
      <c r="A30" s="406" t="s">
        <v>203</v>
      </c>
      <c r="B30" s="406"/>
      <c r="C30" s="406"/>
      <c r="D30" s="406"/>
      <c r="E30" s="406"/>
      <c r="F30" s="154">
        <f>SUM(G30:J30)</f>
        <v>975203</v>
      </c>
      <c r="G30" s="154">
        <f>SUM(G31:G40)</f>
        <v>845203</v>
      </c>
      <c r="H30" s="181"/>
      <c r="I30" s="182"/>
      <c r="J30" s="183">
        <f>300000-150000-100000+80000</f>
        <v>130000</v>
      </c>
      <c r="K30" s="184"/>
      <c r="L30" s="185"/>
    </row>
    <row r="31" spans="1:12" s="179" customFormat="1" ht="34.5" customHeight="1" thickBot="1">
      <c r="A31" s="161" t="s">
        <v>211</v>
      </c>
      <c r="B31" s="162">
        <v>600</v>
      </c>
      <c r="C31" s="162">
        <v>60014</v>
      </c>
      <c r="D31" s="162">
        <v>6050</v>
      </c>
      <c r="E31" s="194" t="s">
        <v>205</v>
      </c>
      <c r="F31" s="164">
        <f>SUM(G31:H31)</f>
        <v>150000</v>
      </c>
      <c r="G31" s="165">
        <v>150000</v>
      </c>
      <c r="H31" s="195"/>
      <c r="I31" s="196"/>
      <c r="J31" s="197"/>
      <c r="K31" s="198"/>
      <c r="L31" s="187" t="s">
        <v>180</v>
      </c>
    </row>
    <row r="32" spans="1:12" s="179" customFormat="1" ht="34.5" customHeight="1" thickBot="1">
      <c r="A32" s="161" t="s">
        <v>213</v>
      </c>
      <c r="B32" s="162">
        <v>600</v>
      </c>
      <c r="C32" s="162">
        <v>60014</v>
      </c>
      <c r="D32" s="162">
        <v>6050</v>
      </c>
      <c r="E32" s="172" t="s">
        <v>346</v>
      </c>
      <c r="F32" s="164">
        <f>SUM(G32:H32)</f>
        <v>150000</v>
      </c>
      <c r="G32" s="165">
        <v>150000</v>
      </c>
      <c r="H32" s="173"/>
      <c r="I32" s="174"/>
      <c r="J32" s="177"/>
      <c r="K32" s="175"/>
      <c r="L32" s="169" t="s">
        <v>180</v>
      </c>
    </row>
    <row r="33" spans="1:86" s="170" customFormat="1" ht="48.75" customHeight="1" thickBot="1">
      <c r="A33" s="161" t="s">
        <v>215</v>
      </c>
      <c r="B33" s="162">
        <v>600</v>
      </c>
      <c r="C33" s="162">
        <v>60014</v>
      </c>
      <c r="D33" s="162">
        <v>6050</v>
      </c>
      <c r="E33" s="194" t="s">
        <v>208</v>
      </c>
      <c r="F33" s="164">
        <f>SUM(G33:H33)</f>
        <v>200000</v>
      </c>
      <c r="G33" s="165">
        <v>200000</v>
      </c>
      <c r="H33" s="165"/>
      <c r="I33" s="166"/>
      <c r="J33" s="167"/>
      <c r="K33" s="168"/>
      <c r="L33" s="169"/>
    </row>
    <row r="34" spans="1:86" s="170" customFormat="1" ht="33.75" customHeight="1" thickBot="1">
      <c r="A34" s="161" t="s">
        <v>218</v>
      </c>
      <c r="B34" s="162">
        <v>600</v>
      </c>
      <c r="C34" s="162">
        <v>60014</v>
      </c>
      <c r="D34" s="162">
        <v>6050</v>
      </c>
      <c r="E34" s="194" t="s">
        <v>210</v>
      </c>
      <c r="F34" s="164">
        <v>100000</v>
      </c>
      <c r="G34" s="165">
        <v>50000</v>
      </c>
      <c r="H34" s="165"/>
      <c r="I34" s="166"/>
      <c r="J34" s="167" t="s">
        <v>178</v>
      </c>
      <c r="K34" s="175"/>
      <c r="L34" s="169" t="s">
        <v>180</v>
      </c>
    </row>
    <row r="35" spans="1:86" s="170" customFormat="1" ht="54.75" customHeight="1" thickBot="1">
      <c r="A35" s="161" t="s">
        <v>220</v>
      </c>
      <c r="B35" s="180">
        <v>600</v>
      </c>
      <c r="C35" s="201">
        <v>60014</v>
      </c>
      <c r="D35" s="201">
        <v>6050</v>
      </c>
      <c r="E35" s="372" t="s">
        <v>212</v>
      </c>
      <c r="F35" s="164">
        <v>0</v>
      </c>
      <c r="G35" s="165">
        <v>0</v>
      </c>
      <c r="H35" s="165"/>
      <c r="I35" s="166"/>
      <c r="J35" s="167" t="s">
        <v>341</v>
      </c>
      <c r="K35" s="175"/>
      <c r="L35" s="169"/>
    </row>
    <row r="36" spans="1:86" s="170" customFormat="1" ht="39" customHeight="1" thickBot="1">
      <c r="A36" s="161" t="s">
        <v>222</v>
      </c>
      <c r="B36" s="180">
        <v>600</v>
      </c>
      <c r="C36" s="180">
        <v>60014</v>
      </c>
      <c r="D36" s="201">
        <v>6050</v>
      </c>
      <c r="E36" s="163" t="s">
        <v>214</v>
      </c>
      <c r="F36" s="164">
        <f>G36</f>
        <v>45203</v>
      </c>
      <c r="G36" s="165">
        <v>45203</v>
      </c>
      <c r="H36" s="165"/>
      <c r="I36" s="166"/>
      <c r="J36" s="167"/>
      <c r="K36" s="175"/>
      <c r="L36" s="169"/>
    </row>
    <row r="37" spans="1:86" s="170" customFormat="1" ht="39.75" customHeight="1" thickBot="1">
      <c r="A37" s="161" t="s">
        <v>224</v>
      </c>
      <c r="B37" s="180">
        <v>600</v>
      </c>
      <c r="C37" s="180">
        <v>60014</v>
      </c>
      <c r="D37" s="201">
        <v>6050</v>
      </c>
      <c r="E37" s="163" t="s">
        <v>216</v>
      </c>
      <c r="F37" s="164">
        <v>0</v>
      </c>
      <c r="G37" s="165">
        <v>0</v>
      </c>
      <c r="H37" s="165"/>
      <c r="I37" s="166"/>
      <c r="J37" s="167" t="s">
        <v>350</v>
      </c>
      <c r="K37" s="175"/>
      <c r="L37" s="169"/>
    </row>
    <row r="38" spans="1:86" s="170" customFormat="1" ht="42" customHeight="1" thickBot="1">
      <c r="A38" s="357" t="s">
        <v>227</v>
      </c>
      <c r="B38" s="180">
        <v>600</v>
      </c>
      <c r="C38" s="180">
        <v>60014</v>
      </c>
      <c r="D38" s="201">
        <v>6050</v>
      </c>
      <c r="E38" s="373" t="s">
        <v>348</v>
      </c>
      <c r="F38" s="370">
        <v>90000</v>
      </c>
      <c r="G38" s="359">
        <v>50000</v>
      </c>
      <c r="H38" s="359"/>
      <c r="I38" s="360"/>
      <c r="J38" s="361" t="s">
        <v>254</v>
      </c>
      <c r="K38" s="366"/>
      <c r="L38" s="169" t="s">
        <v>180</v>
      </c>
    </row>
    <row r="39" spans="1:86" s="170" customFormat="1" ht="41.25" customHeight="1" thickBot="1">
      <c r="A39" s="357" t="s">
        <v>229</v>
      </c>
      <c r="B39" s="180">
        <v>600</v>
      </c>
      <c r="C39" s="180">
        <v>60014</v>
      </c>
      <c r="D39" s="201">
        <v>6050</v>
      </c>
      <c r="E39" s="374" t="s">
        <v>349</v>
      </c>
      <c r="F39" s="370">
        <v>90000</v>
      </c>
      <c r="G39" s="359">
        <v>50000</v>
      </c>
      <c r="H39" s="359"/>
      <c r="I39" s="360"/>
      <c r="J39" s="361" t="s">
        <v>254</v>
      </c>
      <c r="K39" s="366"/>
      <c r="L39" s="169" t="s">
        <v>180</v>
      </c>
    </row>
    <row r="40" spans="1:86" s="170" customFormat="1" ht="33.75" customHeight="1" thickBot="1">
      <c r="A40" s="357" t="s">
        <v>231</v>
      </c>
      <c r="B40" s="180">
        <v>600</v>
      </c>
      <c r="C40" s="180">
        <v>60014</v>
      </c>
      <c r="D40" s="201">
        <v>6050</v>
      </c>
      <c r="E40" s="375" t="s">
        <v>347</v>
      </c>
      <c r="F40" s="370">
        <f>G40</f>
        <v>150000</v>
      </c>
      <c r="G40" s="359">
        <v>150000</v>
      </c>
      <c r="H40" s="359"/>
      <c r="I40" s="360"/>
      <c r="J40" s="361"/>
      <c r="K40" s="366"/>
      <c r="L40" s="212"/>
    </row>
    <row r="41" spans="1:86" s="204" customFormat="1" ht="27" customHeight="1" thickBot="1">
      <c r="A41" s="406" t="s">
        <v>217</v>
      </c>
      <c r="B41" s="406"/>
      <c r="C41" s="406"/>
      <c r="D41" s="406"/>
      <c r="E41" s="406"/>
      <c r="F41" s="154">
        <f>SUM(G41:J41)</f>
        <v>800000</v>
      </c>
      <c r="G41" s="154">
        <f>SUM(G42:G47)</f>
        <v>700000</v>
      </c>
      <c r="H41" s="181"/>
      <c r="I41" s="182"/>
      <c r="J41" s="183">
        <v>100000</v>
      </c>
      <c r="K41" s="202"/>
      <c r="L41" s="203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</row>
    <row r="42" spans="1:86" s="205" customFormat="1" ht="30" customHeight="1" thickBot="1">
      <c r="A42" s="161" t="s">
        <v>234</v>
      </c>
      <c r="B42" s="162">
        <v>600</v>
      </c>
      <c r="C42" s="162">
        <v>60014</v>
      </c>
      <c r="D42" s="162">
        <v>6050</v>
      </c>
      <c r="E42" s="172" t="s">
        <v>219</v>
      </c>
      <c r="F42" s="164">
        <v>150000</v>
      </c>
      <c r="G42" s="165">
        <v>100000</v>
      </c>
      <c r="H42" s="165"/>
      <c r="I42" s="166"/>
      <c r="J42" s="167" t="s">
        <v>178</v>
      </c>
      <c r="K42" s="175"/>
      <c r="L42" s="187" t="s">
        <v>180</v>
      </c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  <c r="BI42" s="179"/>
      <c r="BJ42" s="179"/>
      <c r="BK42" s="179"/>
      <c r="BL42" s="179"/>
      <c r="BM42" s="179"/>
      <c r="BN42" s="179"/>
      <c r="BO42" s="179"/>
      <c r="BP42" s="179"/>
      <c r="BQ42" s="179"/>
      <c r="BR42" s="179"/>
      <c r="BS42" s="179"/>
      <c r="BT42" s="179"/>
      <c r="BU42" s="179"/>
      <c r="BV42" s="179"/>
      <c r="BW42" s="179"/>
      <c r="BX42" s="179"/>
      <c r="BY42" s="179"/>
      <c r="BZ42" s="179"/>
      <c r="CA42" s="179"/>
      <c r="CB42" s="179"/>
      <c r="CC42" s="179"/>
      <c r="CD42" s="179"/>
      <c r="CE42" s="179"/>
      <c r="CF42" s="179"/>
      <c r="CG42" s="179"/>
      <c r="CH42" s="179"/>
    </row>
    <row r="43" spans="1:86" s="205" customFormat="1" ht="30" customHeight="1" thickBot="1">
      <c r="A43" s="161" t="s">
        <v>237</v>
      </c>
      <c r="B43" s="162">
        <v>600</v>
      </c>
      <c r="C43" s="162">
        <v>60014</v>
      </c>
      <c r="D43" s="162">
        <v>6050</v>
      </c>
      <c r="E43" s="172" t="s">
        <v>221</v>
      </c>
      <c r="F43" s="164">
        <v>200000</v>
      </c>
      <c r="G43" s="165">
        <v>150000</v>
      </c>
      <c r="H43" s="165"/>
      <c r="I43" s="166"/>
      <c r="J43" s="167" t="s">
        <v>178</v>
      </c>
      <c r="K43" s="175"/>
      <c r="L43" s="187" t="s">
        <v>180</v>
      </c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  <c r="BG43" s="179"/>
      <c r="BH43" s="179"/>
      <c r="BI43" s="179"/>
      <c r="BJ43" s="179"/>
      <c r="BK43" s="179"/>
      <c r="BL43" s="179"/>
      <c r="BM43" s="179"/>
      <c r="BN43" s="179"/>
      <c r="BO43" s="179"/>
      <c r="BP43" s="179"/>
      <c r="BQ43" s="179"/>
      <c r="BR43" s="179"/>
      <c r="BS43" s="179"/>
      <c r="BT43" s="179"/>
      <c r="BU43" s="179"/>
      <c r="BV43" s="179"/>
      <c r="BW43" s="179"/>
      <c r="BX43" s="179"/>
      <c r="BY43" s="179"/>
      <c r="BZ43" s="179"/>
      <c r="CA43" s="179"/>
      <c r="CB43" s="179"/>
      <c r="CC43" s="179"/>
      <c r="CD43" s="179"/>
      <c r="CE43" s="179"/>
      <c r="CF43" s="179"/>
      <c r="CG43" s="179"/>
      <c r="CH43" s="179"/>
    </row>
    <row r="44" spans="1:86" s="205" customFormat="1" ht="30" customHeight="1" thickBot="1">
      <c r="A44" s="161" t="s">
        <v>239</v>
      </c>
      <c r="B44" s="162">
        <v>600</v>
      </c>
      <c r="C44" s="162">
        <v>60014</v>
      </c>
      <c r="D44" s="162">
        <v>6050</v>
      </c>
      <c r="E44" s="194" t="s">
        <v>223</v>
      </c>
      <c r="F44" s="164">
        <f>SUM(G44)</f>
        <v>150000</v>
      </c>
      <c r="G44" s="165">
        <v>150000</v>
      </c>
      <c r="H44" s="165"/>
      <c r="I44" s="166"/>
      <c r="J44" s="167"/>
      <c r="K44" s="175"/>
      <c r="L44" s="178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  <c r="BT44" s="179"/>
      <c r="BU44" s="179"/>
      <c r="BV44" s="179"/>
      <c r="BW44" s="179"/>
      <c r="BX44" s="179"/>
      <c r="BY44" s="179"/>
      <c r="BZ44" s="179"/>
      <c r="CA44" s="179"/>
      <c r="CB44" s="179"/>
      <c r="CC44" s="179"/>
      <c r="CD44" s="179"/>
      <c r="CE44" s="179"/>
      <c r="CF44" s="179"/>
      <c r="CG44" s="179"/>
      <c r="CH44" s="179"/>
    </row>
    <row r="45" spans="1:86" s="205" customFormat="1" ht="35.25" customHeight="1" thickBot="1">
      <c r="A45" s="161" t="s">
        <v>242</v>
      </c>
      <c r="B45" s="162">
        <v>600</v>
      </c>
      <c r="C45" s="162">
        <v>60014</v>
      </c>
      <c r="D45" s="162">
        <v>6050</v>
      </c>
      <c r="E45" s="194" t="s">
        <v>225</v>
      </c>
      <c r="F45" s="164">
        <f>SUM(G45)</f>
        <v>150000</v>
      </c>
      <c r="G45" s="164">
        <v>150000</v>
      </c>
      <c r="H45" s="206"/>
      <c r="I45" s="174"/>
      <c r="J45" s="177"/>
      <c r="K45" s="175"/>
      <c r="L45" s="19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  <c r="BK45" s="179"/>
      <c r="BL45" s="179"/>
      <c r="BM45" s="179"/>
      <c r="BN45" s="179"/>
      <c r="BO45" s="179"/>
      <c r="BP45" s="179"/>
      <c r="BQ45" s="179"/>
      <c r="BR45" s="179"/>
      <c r="BS45" s="179"/>
      <c r="BT45" s="179"/>
      <c r="BU45" s="179"/>
      <c r="BV45" s="179"/>
      <c r="BW45" s="179"/>
      <c r="BX45" s="179"/>
      <c r="BY45" s="179"/>
      <c r="BZ45" s="179"/>
      <c r="CA45" s="179"/>
      <c r="CB45" s="179"/>
      <c r="CC45" s="179"/>
      <c r="CD45" s="179"/>
      <c r="CE45" s="179"/>
      <c r="CF45" s="179"/>
      <c r="CG45" s="179"/>
      <c r="CH45" s="179"/>
    </row>
    <row r="46" spans="1:86" s="179" customFormat="1" ht="30.75" customHeight="1" thickBot="1">
      <c r="A46" s="357" t="s">
        <v>244</v>
      </c>
      <c r="B46" s="369">
        <v>600</v>
      </c>
      <c r="C46" s="369">
        <v>60014</v>
      </c>
      <c r="D46" s="369">
        <v>6050</v>
      </c>
      <c r="E46" s="376" t="s">
        <v>351</v>
      </c>
      <c r="F46" s="370">
        <f>SUM(G46)</f>
        <v>50000</v>
      </c>
      <c r="G46" s="370">
        <v>50000</v>
      </c>
      <c r="H46" s="370"/>
      <c r="I46" s="360"/>
      <c r="J46" s="361"/>
      <c r="K46" s="362"/>
      <c r="L46" s="356"/>
    </row>
    <row r="47" spans="1:86" s="179" customFormat="1" ht="36" customHeight="1" thickBot="1">
      <c r="A47" s="357" t="s">
        <v>246</v>
      </c>
      <c r="B47" s="369">
        <v>600</v>
      </c>
      <c r="C47" s="369">
        <v>60014</v>
      </c>
      <c r="D47" s="369">
        <v>6050</v>
      </c>
      <c r="E47" s="376" t="s">
        <v>352</v>
      </c>
      <c r="F47" s="370">
        <f>SUM(G47)</f>
        <v>100000</v>
      </c>
      <c r="G47" s="370">
        <v>100000</v>
      </c>
      <c r="H47" s="370"/>
      <c r="I47" s="360"/>
      <c r="J47" s="361"/>
      <c r="K47" s="362"/>
      <c r="L47" s="169" t="s">
        <v>180</v>
      </c>
    </row>
    <row r="48" spans="1:86" s="205" customFormat="1" ht="30.75" customHeight="1" thickBot="1">
      <c r="A48" s="406" t="s">
        <v>226</v>
      </c>
      <c r="B48" s="406"/>
      <c r="C48" s="406"/>
      <c r="D48" s="406"/>
      <c r="E48" s="406"/>
      <c r="F48" s="154">
        <f>SUM(G48:J48)</f>
        <v>300000</v>
      </c>
      <c r="G48" s="154">
        <f>SUM(G49:G51)</f>
        <v>300000</v>
      </c>
      <c r="H48" s="207"/>
      <c r="I48" s="182"/>
      <c r="J48" s="183">
        <f>100000-100000</f>
        <v>0</v>
      </c>
      <c r="K48" s="202"/>
      <c r="L48" s="208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79"/>
      <c r="BW48" s="179"/>
      <c r="BX48" s="179"/>
      <c r="BY48" s="179"/>
      <c r="BZ48" s="179"/>
      <c r="CA48" s="179"/>
      <c r="CB48" s="179"/>
      <c r="CC48" s="179"/>
      <c r="CD48" s="179"/>
      <c r="CE48" s="179"/>
      <c r="CF48" s="179"/>
      <c r="CG48" s="179"/>
      <c r="CH48" s="179"/>
    </row>
    <row r="49" spans="1:86" s="205" customFormat="1" ht="30" customHeight="1" thickBot="1">
      <c r="A49" s="161" t="s">
        <v>248</v>
      </c>
      <c r="B49" s="162">
        <v>600</v>
      </c>
      <c r="C49" s="162">
        <v>60014</v>
      </c>
      <c r="D49" s="162">
        <v>6050</v>
      </c>
      <c r="E49" s="330" t="s">
        <v>228</v>
      </c>
      <c r="F49" s="164">
        <f>G49</f>
        <v>30000</v>
      </c>
      <c r="G49" s="164">
        <v>30000</v>
      </c>
      <c r="H49" s="173"/>
      <c r="I49" s="174"/>
      <c r="J49" s="177"/>
      <c r="K49" s="175"/>
      <c r="L49" s="178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</row>
    <row r="50" spans="1:86" s="179" customFormat="1" ht="31.5" customHeight="1" thickBot="1">
      <c r="A50" s="161" t="s">
        <v>250</v>
      </c>
      <c r="B50" s="162">
        <v>600</v>
      </c>
      <c r="C50" s="162">
        <v>60014</v>
      </c>
      <c r="D50" s="162">
        <v>6050</v>
      </c>
      <c r="E50" s="194" t="s">
        <v>230</v>
      </c>
      <c r="F50" s="164">
        <v>20000</v>
      </c>
      <c r="G50" s="164">
        <v>20000</v>
      </c>
      <c r="H50" s="206"/>
      <c r="I50" s="174"/>
      <c r="J50" s="167" t="s">
        <v>350</v>
      </c>
      <c r="K50" s="168" t="s">
        <v>182</v>
      </c>
      <c r="L50" s="169" t="s">
        <v>180</v>
      </c>
    </row>
    <row r="51" spans="1:86" s="179" customFormat="1" ht="30" customHeight="1" thickBot="1">
      <c r="A51" s="161" t="s">
        <v>252</v>
      </c>
      <c r="B51" s="162">
        <v>600</v>
      </c>
      <c r="C51" s="162">
        <v>60014</v>
      </c>
      <c r="D51" s="162">
        <v>6050</v>
      </c>
      <c r="E51" s="194" t="s">
        <v>232</v>
      </c>
      <c r="F51" s="164">
        <f>G51</f>
        <v>250000</v>
      </c>
      <c r="G51" s="164">
        <v>250000</v>
      </c>
      <c r="H51" s="206"/>
      <c r="I51" s="174"/>
      <c r="J51" s="167" t="s">
        <v>341</v>
      </c>
      <c r="K51" s="175"/>
      <c r="L51" s="169" t="s">
        <v>180</v>
      </c>
    </row>
    <row r="52" spans="1:86" s="205" customFormat="1" ht="32.25" customHeight="1" thickBot="1">
      <c r="A52" s="406" t="s">
        <v>233</v>
      </c>
      <c r="B52" s="406"/>
      <c r="C52" s="406"/>
      <c r="D52" s="406"/>
      <c r="E52" s="406"/>
      <c r="F52" s="154">
        <f>SUM(G52:J52)</f>
        <v>900000</v>
      </c>
      <c r="G52" s="154">
        <f>SUM(G53:G55)</f>
        <v>500000</v>
      </c>
      <c r="H52" s="207"/>
      <c r="I52" s="182"/>
      <c r="J52" s="183">
        <v>400000</v>
      </c>
      <c r="K52" s="209"/>
      <c r="L52" s="210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179"/>
      <c r="BS52" s="179"/>
      <c r="BT52" s="179"/>
      <c r="BU52" s="179"/>
      <c r="BV52" s="179"/>
      <c r="BW52" s="179"/>
      <c r="BX52" s="179"/>
      <c r="BY52" s="179"/>
      <c r="BZ52" s="179"/>
      <c r="CA52" s="179"/>
      <c r="CB52" s="179"/>
      <c r="CC52" s="179"/>
      <c r="CD52" s="179"/>
      <c r="CE52" s="179"/>
      <c r="CF52" s="179"/>
      <c r="CG52" s="179"/>
      <c r="CH52" s="179"/>
    </row>
    <row r="53" spans="1:86" s="179" customFormat="1" ht="36.75" customHeight="1" thickBot="1">
      <c r="A53" s="161" t="s">
        <v>255</v>
      </c>
      <c r="B53" s="162">
        <v>600</v>
      </c>
      <c r="C53" s="162">
        <v>60014</v>
      </c>
      <c r="D53" s="162">
        <v>6050</v>
      </c>
      <c r="E53" s="172" t="s">
        <v>235</v>
      </c>
      <c r="F53" s="164">
        <f>300000+50000</f>
        <v>350000</v>
      </c>
      <c r="G53" s="165">
        <f>100000+50000</f>
        <v>150000</v>
      </c>
      <c r="H53" s="165"/>
      <c r="I53" s="166"/>
      <c r="J53" s="167" t="s">
        <v>236</v>
      </c>
      <c r="K53" s="175"/>
      <c r="L53" s="169" t="s">
        <v>180</v>
      </c>
    </row>
    <row r="54" spans="1:86" s="179" customFormat="1" ht="39" customHeight="1" thickBot="1">
      <c r="A54" s="161" t="s">
        <v>257</v>
      </c>
      <c r="B54" s="162">
        <v>600</v>
      </c>
      <c r="C54" s="162">
        <v>60014</v>
      </c>
      <c r="D54" s="162">
        <v>6050</v>
      </c>
      <c r="E54" s="172" t="s">
        <v>238</v>
      </c>
      <c r="F54" s="164">
        <f>300000+50000</f>
        <v>350000</v>
      </c>
      <c r="G54" s="165">
        <f>100000+50000</f>
        <v>150000</v>
      </c>
      <c r="H54" s="165"/>
      <c r="I54" s="166"/>
      <c r="J54" s="167" t="s">
        <v>236</v>
      </c>
      <c r="K54" s="175"/>
      <c r="L54" s="169" t="s">
        <v>180</v>
      </c>
    </row>
    <row r="55" spans="1:86" s="179" customFormat="1" ht="39" customHeight="1" thickBot="1">
      <c r="A55" s="161" t="s">
        <v>260</v>
      </c>
      <c r="B55" s="162">
        <v>600</v>
      </c>
      <c r="C55" s="162">
        <v>60014</v>
      </c>
      <c r="D55" s="162">
        <v>6050</v>
      </c>
      <c r="E55" s="163" t="s">
        <v>240</v>
      </c>
      <c r="F55" s="164">
        <f>G55</f>
        <v>200000</v>
      </c>
      <c r="G55" s="165">
        <v>200000</v>
      </c>
      <c r="H55" s="165"/>
      <c r="I55" s="166"/>
      <c r="J55" s="167"/>
      <c r="K55" s="175"/>
      <c r="L55" s="187" t="s">
        <v>180</v>
      </c>
    </row>
    <row r="56" spans="1:86" s="179" customFormat="1" ht="33" customHeight="1" thickBot="1">
      <c r="A56" s="406" t="s">
        <v>241</v>
      </c>
      <c r="B56" s="406"/>
      <c r="C56" s="406"/>
      <c r="D56" s="406"/>
      <c r="E56" s="406"/>
      <c r="F56" s="154">
        <f>SUM(G56:J56)</f>
        <v>836000</v>
      </c>
      <c r="G56" s="154">
        <f>SUM(G57:G64)</f>
        <v>816000</v>
      </c>
      <c r="H56" s="155"/>
      <c r="I56" s="156"/>
      <c r="J56" s="183">
        <f>140000-100000-20000</f>
        <v>20000</v>
      </c>
      <c r="K56" s="184"/>
      <c r="L56" s="171"/>
    </row>
    <row r="57" spans="1:86" s="179" customFormat="1" ht="30" customHeight="1" thickBot="1">
      <c r="A57" s="161" t="s">
        <v>263</v>
      </c>
      <c r="B57" s="162">
        <v>600</v>
      </c>
      <c r="C57" s="162">
        <v>60014</v>
      </c>
      <c r="D57" s="162">
        <v>6050</v>
      </c>
      <c r="E57" s="172" t="s">
        <v>243</v>
      </c>
      <c r="F57" s="164">
        <f>G57</f>
        <v>146000</v>
      </c>
      <c r="G57" s="165">
        <v>146000</v>
      </c>
      <c r="H57" s="173"/>
      <c r="I57" s="174"/>
      <c r="J57" s="177"/>
      <c r="K57" s="175"/>
      <c r="L57" s="187" t="s">
        <v>180</v>
      </c>
    </row>
    <row r="58" spans="1:86" s="205" customFormat="1" ht="30" customHeight="1" thickBot="1">
      <c r="A58" s="161" t="s">
        <v>266</v>
      </c>
      <c r="B58" s="162">
        <v>600</v>
      </c>
      <c r="C58" s="162">
        <v>60014</v>
      </c>
      <c r="D58" s="162">
        <v>6050</v>
      </c>
      <c r="E58" s="172" t="s">
        <v>245</v>
      </c>
      <c r="F58" s="211">
        <f>SUM(G58:H58)</f>
        <v>100000</v>
      </c>
      <c r="G58" s="165">
        <v>100000</v>
      </c>
      <c r="H58" s="173"/>
      <c r="I58" s="174"/>
      <c r="J58" s="177"/>
      <c r="K58" s="175"/>
      <c r="L58" s="212" t="s">
        <v>180</v>
      </c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</row>
    <row r="59" spans="1:86" s="216" customFormat="1" ht="30" customHeight="1" thickBot="1">
      <c r="A59" s="161" t="s">
        <v>268</v>
      </c>
      <c r="B59" s="162">
        <v>600</v>
      </c>
      <c r="C59" s="162">
        <v>60014</v>
      </c>
      <c r="D59" s="162">
        <v>6050</v>
      </c>
      <c r="E59" s="213" t="s">
        <v>247</v>
      </c>
      <c r="F59" s="214">
        <f>SUM(G59)</f>
        <v>120000</v>
      </c>
      <c r="G59" s="214">
        <v>120000</v>
      </c>
      <c r="H59" s="214"/>
      <c r="I59" s="196"/>
      <c r="J59" s="197"/>
      <c r="K59" s="198"/>
      <c r="L59" s="215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</row>
    <row r="60" spans="1:86" s="216" customFormat="1" ht="30" customHeight="1" thickBot="1">
      <c r="A60" s="161" t="s">
        <v>271</v>
      </c>
      <c r="B60" s="162">
        <v>600</v>
      </c>
      <c r="C60" s="162">
        <v>60014</v>
      </c>
      <c r="D60" s="162">
        <v>605</v>
      </c>
      <c r="E60" s="217" t="s">
        <v>249</v>
      </c>
      <c r="F60" s="164">
        <f>SUM(G60)</f>
        <v>50000</v>
      </c>
      <c r="G60" s="164">
        <v>50000</v>
      </c>
      <c r="H60" s="164"/>
      <c r="I60" s="166"/>
      <c r="J60" s="167"/>
      <c r="K60" s="168"/>
      <c r="L60" s="218" t="s">
        <v>180</v>
      </c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  <c r="BX60" s="200"/>
      <c r="BY60" s="200"/>
      <c r="BZ60" s="200"/>
      <c r="CA60" s="200"/>
      <c r="CB60" s="200"/>
      <c r="CC60" s="200"/>
      <c r="CD60" s="200"/>
      <c r="CE60" s="200"/>
      <c r="CF60" s="200"/>
      <c r="CG60" s="200"/>
      <c r="CH60" s="200"/>
    </row>
    <row r="61" spans="1:86" s="170" customFormat="1" ht="39.6" customHeight="1" thickBot="1">
      <c r="A61" s="161" t="s">
        <v>273</v>
      </c>
      <c r="B61" s="162">
        <v>600</v>
      </c>
      <c r="C61" s="162">
        <v>60014</v>
      </c>
      <c r="D61" s="162">
        <v>605</v>
      </c>
      <c r="E61" s="217" t="s">
        <v>251</v>
      </c>
      <c r="F61" s="164">
        <f>G61</f>
        <v>0</v>
      </c>
      <c r="G61" s="164">
        <v>0</v>
      </c>
      <c r="H61" s="164"/>
      <c r="I61" s="166"/>
      <c r="J61" s="167"/>
      <c r="K61" s="168"/>
      <c r="L61" s="169" t="s">
        <v>180</v>
      </c>
    </row>
    <row r="62" spans="1:86" s="233" customFormat="1" ht="39.6" customHeight="1" thickBot="1">
      <c r="A62" s="337" t="s">
        <v>276</v>
      </c>
      <c r="B62" s="338">
        <v>600</v>
      </c>
      <c r="C62" s="338">
        <v>60014</v>
      </c>
      <c r="D62" s="338">
        <v>605</v>
      </c>
      <c r="E62" s="343" t="s">
        <v>253</v>
      </c>
      <c r="F62" s="339">
        <v>20000</v>
      </c>
      <c r="G62" s="339"/>
      <c r="H62" s="339"/>
      <c r="I62" s="340"/>
      <c r="J62" s="341" t="s">
        <v>379</v>
      </c>
      <c r="K62" s="342"/>
      <c r="L62" s="208"/>
    </row>
    <row r="63" spans="1:86" s="170" customFormat="1" ht="36" customHeight="1" thickBot="1">
      <c r="A63" s="161" t="s">
        <v>279</v>
      </c>
      <c r="B63" s="162">
        <v>600</v>
      </c>
      <c r="C63" s="162">
        <v>60014</v>
      </c>
      <c r="D63" s="162">
        <v>605</v>
      </c>
      <c r="E63" s="217" t="s">
        <v>256</v>
      </c>
      <c r="F63" s="164">
        <v>300000</v>
      </c>
      <c r="G63" s="164">
        <f>200000+100000</f>
        <v>300000</v>
      </c>
      <c r="H63" s="164"/>
      <c r="I63" s="166"/>
      <c r="J63" s="167" t="s">
        <v>341</v>
      </c>
      <c r="K63" s="168"/>
      <c r="L63" s="169"/>
    </row>
    <row r="64" spans="1:86" s="216" customFormat="1" ht="30.75" customHeight="1" thickBot="1">
      <c r="A64" s="161" t="s">
        <v>282</v>
      </c>
      <c r="B64" s="162">
        <v>600</v>
      </c>
      <c r="C64" s="162">
        <v>60014</v>
      </c>
      <c r="D64" s="162">
        <v>605</v>
      </c>
      <c r="E64" s="217" t="s">
        <v>258</v>
      </c>
      <c r="F64" s="164">
        <f>G64</f>
        <v>100000</v>
      </c>
      <c r="G64" s="164">
        <v>100000</v>
      </c>
      <c r="H64" s="164"/>
      <c r="I64" s="166"/>
      <c r="J64" s="167"/>
      <c r="K64" s="168"/>
      <c r="L64" s="218" t="s">
        <v>180</v>
      </c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</row>
    <row r="65" spans="1:86" s="216" customFormat="1" ht="21.75" customHeight="1" thickBot="1">
      <c r="A65" s="406" t="s">
        <v>259</v>
      </c>
      <c r="B65" s="406"/>
      <c r="C65" s="406"/>
      <c r="D65" s="406"/>
      <c r="E65" s="406"/>
      <c r="F65" s="154">
        <f>SUM(G65:J65)</f>
        <v>200000</v>
      </c>
      <c r="G65" s="154">
        <f>SUM(G66:G66)</f>
        <v>200000</v>
      </c>
      <c r="H65" s="154"/>
      <c r="I65" s="156"/>
      <c r="J65" s="219"/>
      <c r="K65" s="158"/>
      <c r="L65" s="22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0"/>
      <c r="CA65" s="200"/>
      <c r="CB65" s="200"/>
      <c r="CC65" s="200"/>
      <c r="CD65" s="200"/>
      <c r="CE65" s="200"/>
      <c r="CF65" s="200"/>
      <c r="CG65" s="200"/>
      <c r="CH65" s="200"/>
    </row>
    <row r="66" spans="1:86" s="205" customFormat="1" ht="30" customHeight="1" thickBot="1">
      <c r="A66" s="161" t="s">
        <v>285</v>
      </c>
      <c r="B66" s="221">
        <v>600</v>
      </c>
      <c r="C66" s="221">
        <v>60014</v>
      </c>
      <c r="D66" s="221">
        <v>6060</v>
      </c>
      <c r="E66" s="222" t="s">
        <v>261</v>
      </c>
      <c r="F66" s="211">
        <f>SUM(G66:H66)</f>
        <v>200000</v>
      </c>
      <c r="G66" s="211">
        <v>200000</v>
      </c>
      <c r="H66" s="223"/>
      <c r="I66" s="224"/>
      <c r="J66" s="224"/>
      <c r="K66" s="225"/>
      <c r="L66" s="178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</row>
    <row r="67" spans="1:86" s="186" customFormat="1" ht="27" customHeight="1" thickBot="1">
      <c r="A67" s="402" t="s">
        <v>262</v>
      </c>
      <c r="B67" s="402"/>
      <c r="C67" s="402"/>
      <c r="D67" s="402"/>
      <c r="E67" s="402"/>
      <c r="F67" s="226">
        <f>SUM(F7,F12,F21,F30,F41,F48,F52,F56,F65)</f>
        <v>8338771</v>
      </c>
      <c r="G67" s="226">
        <f>SUM(G7,G12,G21,G30,G41,G48,G52,G56,G65)</f>
        <v>6107271</v>
      </c>
      <c r="H67" s="226">
        <f>SUM(H7:H66)</f>
        <v>0</v>
      </c>
      <c r="I67" s="226"/>
      <c r="J67" s="226">
        <f>SUM(J7,J12,J21,J30,J41,J48,J52,J56)</f>
        <v>2231500</v>
      </c>
      <c r="K67" s="227"/>
      <c r="L67" s="228"/>
    </row>
    <row r="68" spans="1:86" s="230" customFormat="1" ht="36" customHeight="1" thickBot="1">
      <c r="A68" s="229" t="s">
        <v>288</v>
      </c>
      <c r="B68" s="162">
        <v>700</v>
      </c>
      <c r="C68" s="162">
        <v>70005</v>
      </c>
      <c r="D68" s="162">
        <v>6050</v>
      </c>
      <c r="E68" s="166" t="s">
        <v>264</v>
      </c>
      <c r="F68" s="164">
        <f>SUM(G68)</f>
        <v>20700</v>
      </c>
      <c r="G68" s="164">
        <v>20700</v>
      </c>
      <c r="H68" s="164"/>
      <c r="I68" s="166"/>
      <c r="J68" s="166"/>
      <c r="K68" s="168"/>
      <c r="L68" s="169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3"/>
      <c r="BV68" s="193"/>
      <c r="BW68" s="193"/>
      <c r="BX68" s="193"/>
      <c r="BY68" s="193"/>
      <c r="BZ68" s="193"/>
      <c r="CA68" s="193"/>
      <c r="CB68" s="193"/>
      <c r="CC68" s="193"/>
      <c r="CD68" s="193"/>
      <c r="CE68" s="193"/>
      <c r="CF68" s="193"/>
      <c r="CG68" s="193"/>
      <c r="CH68" s="193"/>
    </row>
    <row r="69" spans="1:86" s="179" customFormat="1" ht="48" customHeight="1" thickBot="1">
      <c r="A69" s="357" t="s">
        <v>291</v>
      </c>
      <c r="B69" s="162">
        <v>700</v>
      </c>
      <c r="C69" s="162">
        <v>70005</v>
      </c>
      <c r="D69" s="162">
        <v>6050</v>
      </c>
      <c r="E69" s="360" t="s">
        <v>377</v>
      </c>
      <c r="F69" s="370">
        <v>110000</v>
      </c>
      <c r="G69" s="370">
        <v>50000</v>
      </c>
      <c r="H69" s="370"/>
      <c r="I69" s="360"/>
      <c r="J69" s="361" t="s">
        <v>354</v>
      </c>
      <c r="K69" s="362"/>
      <c r="L69" s="356"/>
    </row>
    <row r="70" spans="1:86" s="176" customFormat="1" ht="27" customHeight="1" thickBot="1">
      <c r="A70" s="402" t="s">
        <v>265</v>
      </c>
      <c r="B70" s="402"/>
      <c r="C70" s="402"/>
      <c r="D70" s="402"/>
      <c r="E70" s="402"/>
      <c r="F70" s="226">
        <f>SUM(F68:F69)</f>
        <v>130700</v>
      </c>
      <c r="G70" s="226">
        <f>SUM(G68:G69)</f>
        <v>70700</v>
      </c>
      <c r="H70" s="226">
        <f>SUM(H68:H68)</f>
        <v>0</v>
      </c>
      <c r="I70" s="226"/>
      <c r="J70" s="226">
        <v>60000</v>
      </c>
      <c r="K70" s="227"/>
      <c r="L70" s="231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179"/>
      <c r="BV70" s="179"/>
      <c r="BW70" s="179"/>
      <c r="BX70" s="179"/>
      <c r="BY70" s="179"/>
      <c r="BZ70" s="179"/>
      <c r="CA70" s="179"/>
      <c r="CB70" s="179"/>
      <c r="CC70" s="179"/>
      <c r="CD70" s="179"/>
      <c r="CE70" s="179"/>
      <c r="CF70" s="179"/>
      <c r="CG70" s="179"/>
      <c r="CH70" s="179"/>
    </row>
    <row r="71" spans="1:86" s="193" customFormat="1" ht="39" customHeight="1" thickBot="1">
      <c r="A71" s="162" t="s">
        <v>293</v>
      </c>
      <c r="B71" s="162">
        <v>710</v>
      </c>
      <c r="C71" s="162">
        <v>71095</v>
      </c>
      <c r="D71" s="162">
        <v>6639</v>
      </c>
      <c r="E71" s="166" t="s">
        <v>99</v>
      </c>
      <c r="F71" s="164">
        <f>G71</f>
        <v>70572</v>
      </c>
      <c r="G71" s="164">
        <f>80330-9758</f>
        <v>70572</v>
      </c>
      <c r="H71" s="164"/>
      <c r="I71" s="166"/>
      <c r="J71" s="166"/>
      <c r="K71" s="168"/>
      <c r="L71" s="232" t="s">
        <v>180</v>
      </c>
    </row>
    <row r="72" spans="1:86" s="179" customFormat="1" ht="27" customHeight="1" thickBot="1">
      <c r="A72" s="402" t="s">
        <v>267</v>
      </c>
      <c r="B72" s="402"/>
      <c r="C72" s="402"/>
      <c r="D72" s="402"/>
      <c r="E72" s="402"/>
      <c r="F72" s="226">
        <f>F71</f>
        <v>70572</v>
      </c>
      <c r="G72" s="226">
        <f>G71</f>
        <v>70572</v>
      </c>
      <c r="H72" s="226">
        <f>H71</f>
        <v>0</v>
      </c>
      <c r="I72" s="226"/>
      <c r="J72" s="226"/>
      <c r="K72" s="227"/>
      <c r="L72" s="231"/>
    </row>
    <row r="73" spans="1:86" s="170" customFormat="1" ht="30" customHeight="1" thickBot="1">
      <c r="A73" s="161" t="s">
        <v>295</v>
      </c>
      <c r="B73" s="162">
        <v>750</v>
      </c>
      <c r="C73" s="162">
        <v>75019</v>
      </c>
      <c r="D73" s="162">
        <v>6060</v>
      </c>
      <c r="E73" s="172" t="s">
        <v>269</v>
      </c>
      <c r="F73" s="164">
        <f>SUM(G73:H73)</f>
        <v>31980</v>
      </c>
      <c r="G73" s="164">
        <f>50000-15000-3020</f>
        <v>31980</v>
      </c>
      <c r="H73" s="164"/>
      <c r="I73" s="174"/>
      <c r="J73" s="174"/>
      <c r="K73" s="175"/>
      <c r="L73" s="331"/>
    </row>
    <row r="74" spans="1:86" s="205" customFormat="1" ht="27" customHeight="1" thickBot="1">
      <c r="A74" s="402" t="s">
        <v>270</v>
      </c>
      <c r="B74" s="402"/>
      <c r="C74" s="402"/>
      <c r="D74" s="402"/>
      <c r="E74" s="402"/>
      <c r="F74" s="226">
        <f>SUM(F73:F73)</f>
        <v>31980</v>
      </c>
      <c r="G74" s="226">
        <f>SUM(G73:G73)</f>
        <v>31980</v>
      </c>
      <c r="H74" s="226"/>
      <c r="I74" s="234"/>
      <c r="J74" s="234"/>
      <c r="K74" s="227"/>
      <c r="L74" s="231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</row>
    <row r="75" spans="1:86" s="237" customFormat="1" ht="46.9" customHeight="1" thickBot="1">
      <c r="A75" s="162" t="s">
        <v>297</v>
      </c>
      <c r="B75" s="162">
        <v>750</v>
      </c>
      <c r="C75" s="162">
        <v>75020</v>
      </c>
      <c r="D75" s="162">
        <v>6050</v>
      </c>
      <c r="E75" s="172" t="s">
        <v>272</v>
      </c>
      <c r="F75" s="164">
        <f>SUM(G75:H75)</f>
        <v>200000</v>
      </c>
      <c r="G75" s="164">
        <v>200000</v>
      </c>
      <c r="H75" s="164"/>
      <c r="I75" s="166"/>
      <c r="J75" s="166"/>
      <c r="K75" s="235"/>
      <c r="L75" s="236" t="s">
        <v>180</v>
      </c>
    </row>
    <row r="76" spans="1:86" s="179" customFormat="1" ht="30.75" customHeight="1" thickBot="1">
      <c r="A76" s="238" t="s">
        <v>301</v>
      </c>
      <c r="B76" s="162">
        <v>750</v>
      </c>
      <c r="C76" s="162">
        <v>75020</v>
      </c>
      <c r="D76" s="162">
        <v>6060</v>
      </c>
      <c r="E76" s="239" t="s">
        <v>274</v>
      </c>
      <c r="F76" s="164">
        <f>G76</f>
        <v>50000</v>
      </c>
      <c r="G76" s="164">
        <v>50000</v>
      </c>
      <c r="H76" s="164"/>
      <c r="I76" s="166"/>
      <c r="J76" s="166"/>
      <c r="K76" s="235"/>
      <c r="L76" s="240"/>
    </row>
    <row r="77" spans="1:86" s="193" customFormat="1" ht="27" customHeight="1" thickBot="1">
      <c r="A77" s="402" t="s">
        <v>275</v>
      </c>
      <c r="B77" s="402"/>
      <c r="C77" s="402"/>
      <c r="D77" s="402"/>
      <c r="E77" s="402"/>
      <c r="F77" s="226">
        <f>SUM(F75:F76)</f>
        <v>250000</v>
      </c>
      <c r="G77" s="226">
        <f>SUM(G75:G76)</f>
        <v>250000</v>
      </c>
      <c r="H77" s="226"/>
      <c r="I77" s="234"/>
      <c r="J77" s="234"/>
      <c r="K77" s="227"/>
      <c r="L77" s="241"/>
    </row>
    <row r="78" spans="1:86" s="179" customFormat="1" ht="38.25" customHeight="1" thickBot="1">
      <c r="A78" s="369" t="s">
        <v>310</v>
      </c>
      <c r="B78" s="369">
        <v>752</v>
      </c>
      <c r="C78" s="369">
        <v>75295</v>
      </c>
      <c r="D78" s="369">
        <v>6060</v>
      </c>
      <c r="E78" s="358" t="s">
        <v>355</v>
      </c>
      <c r="F78" s="370">
        <v>17685</v>
      </c>
      <c r="G78" s="370"/>
      <c r="H78" s="370"/>
      <c r="I78" s="360"/>
      <c r="J78" s="361" t="s">
        <v>356</v>
      </c>
      <c r="K78" s="362"/>
      <c r="L78" s="377"/>
    </row>
    <row r="79" spans="1:86" s="193" customFormat="1" ht="27" customHeight="1" thickBot="1">
      <c r="A79" s="402" t="s">
        <v>357</v>
      </c>
      <c r="B79" s="402"/>
      <c r="C79" s="402"/>
      <c r="D79" s="402"/>
      <c r="E79" s="402"/>
      <c r="F79" s="332">
        <f>SUM(F78)</f>
        <v>17685</v>
      </c>
      <c r="G79" s="332">
        <f>SUM(G78)</f>
        <v>0</v>
      </c>
      <c r="H79" s="332"/>
      <c r="I79" s="333"/>
      <c r="J79" s="332">
        <v>17685</v>
      </c>
      <c r="K79" s="334"/>
      <c r="L79" s="335"/>
    </row>
    <row r="80" spans="1:86" s="193" customFormat="1" ht="48.75" customHeight="1" thickBot="1">
      <c r="A80" s="161" t="s">
        <v>358</v>
      </c>
      <c r="B80" s="162">
        <v>754</v>
      </c>
      <c r="C80" s="162">
        <v>75404</v>
      </c>
      <c r="D80" s="162">
        <v>6170</v>
      </c>
      <c r="E80" s="166" t="s">
        <v>277</v>
      </c>
      <c r="F80" s="164">
        <f>SUM(G80:H80)</f>
        <v>50000</v>
      </c>
      <c r="G80" s="164">
        <v>50000</v>
      </c>
      <c r="H80" s="164"/>
      <c r="I80" s="166"/>
      <c r="J80" s="166"/>
      <c r="K80" s="168"/>
      <c r="L80" s="242"/>
    </row>
    <row r="81" spans="1:86" s="193" customFormat="1" ht="27" customHeight="1" thickBot="1">
      <c r="A81" s="402" t="s">
        <v>278</v>
      </c>
      <c r="B81" s="402"/>
      <c r="C81" s="402"/>
      <c r="D81" s="402"/>
      <c r="E81" s="402"/>
      <c r="F81" s="226">
        <f>SUM(F80)</f>
        <v>50000</v>
      </c>
      <c r="G81" s="226">
        <f>SUM(G80)</f>
        <v>50000</v>
      </c>
      <c r="H81" s="226"/>
      <c r="I81" s="234"/>
      <c r="J81" s="234"/>
      <c r="K81" s="227"/>
      <c r="L81" s="241"/>
    </row>
    <row r="82" spans="1:86" s="193" customFormat="1" ht="42.75" customHeight="1" thickBot="1">
      <c r="A82" s="162" t="s">
        <v>359</v>
      </c>
      <c r="B82" s="162">
        <v>754</v>
      </c>
      <c r="C82" s="162">
        <v>75410</v>
      </c>
      <c r="D82" s="162">
        <v>6170</v>
      </c>
      <c r="E82" s="172" t="s">
        <v>280</v>
      </c>
      <c r="F82" s="243">
        <f>G82</f>
        <v>200000</v>
      </c>
      <c r="G82" s="243">
        <v>200000</v>
      </c>
      <c r="H82" s="244"/>
      <c r="I82" s="172"/>
      <c r="J82" s="172"/>
      <c r="K82" s="168"/>
      <c r="L82" s="245"/>
    </row>
    <row r="83" spans="1:86" s="179" customFormat="1" ht="27" customHeight="1" thickBot="1">
      <c r="A83" s="402" t="s">
        <v>281</v>
      </c>
      <c r="B83" s="402"/>
      <c r="C83" s="402"/>
      <c r="D83" s="402"/>
      <c r="E83" s="402"/>
      <c r="F83" s="226">
        <f>SUM(F82)</f>
        <v>200000</v>
      </c>
      <c r="G83" s="226">
        <f>SUM(G82)</f>
        <v>200000</v>
      </c>
      <c r="H83" s="226"/>
      <c r="I83" s="234"/>
      <c r="J83" s="234"/>
      <c r="K83" s="227"/>
      <c r="L83" s="246"/>
    </row>
    <row r="84" spans="1:86" s="250" customFormat="1" ht="31.5" customHeight="1" thickBot="1">
      <c r="A84" s="162" t="s">
        <v>360</v>
      </c>
      <c r="B84" s="162">
        <v>758</v>
      </c>
      <c r="C84" s="162">
        <v>75818</v>
      </c>
      <c r="D84" s="162">
        <v>6800</v>
      </c>
      <c r="E84" s="172" t="s">
        <v>283</v>
      </c>
      <c r="F84" s="164">
        <f>G84</f>
        <v>395299</v>
      </c>
      <c r="G84" s="164">
        <f>395570-271</f>
        <v>395299</v>
      </c>
      <c r="H84" s="247"/>
      <c r="I84" s="248"/>
      <c r="J84" s="248"/>
      <c r="K84" s="249"/>
      <c r="L84" s="246"/>
    </row>
    <row r="85" spans="1:86" s="179" customFormat="1" ht="27" customHeight="1" thickBot="1">
      <c r="A85" s="402" t="s">
        <v>284</v>
      </c>
      <c r="B85" s="402"/>
      <c r="C85" s="402"/>
      <c r="D85" s="402"/>
      <c r="E85" s="402"/>
      <c r="F85" s="226">
        <f>SUM(F84)</f>
        <v>395299</v>
      </c>
      <c r="G85" s="226">
        <f>SUM(G84)</f>
        <v>395299</v>
      </c>
      <c r="H85" s="226"/>
      <c r="I85" s="234"/>
      <c r="J85" s="234"/>
      <c r="K85" s="227"/>
      <c r="L85" s="251"/>
    </row>
    <row r="86" spans="1:86" s="233" customFormat="1" ht="31.5" customHeight="1" thickBot="1">
      <c r="A86" s="161" t="s">
        <v>361</v>
      </c>
      <c r="B86" s="162">
        <v>801</v>
      </c>
      <c r="C86" s="162">
        <v>80115</v>
      </c>
      <c r="D86" s="162">
        <v>6050</v>
      </c>
      <c r="E86" s="166" t="s">
        <v>286</v>
      </c>
      <c r="F86" s="164">
        <f>SUM(G86:H86)</f>
        <v>4000000</v>
      </c>
      <c r="G86" s="164">
        <v>300000</v>
      </c>
      <c r="H86" s="164">
        <f>3500000+200000</f>
        <v>3700000</v>
      </c>
      <c r="I86" s="166"/>
      <c r="J86" s="167"/>
      <c r="K86" s="168"/>
      <c r="L86" s="252"/>
    </row>
    <row r="87" spans="1:86" s="193" customFormat="1" ht="27" customHeight="1" thickBot="1">
      <c r="A87" s="402" t="s">
        <v>287</v>
      </c>
      <c r="B87" s="402"/>
      <c r="C87" s="402"/>
      <c r="D87" s="402"/>
      <c r="E87" s="402"/>
      <c r="F87" s="226">
        <f>SUM(F86:F86)</f>
        <v>4000000</v>
      </c>
      <c r="G87" s="226">
        <f>SUM(G86:G86)</f>
        <v>300000</v>
      </c>
      <c r="H87" s="226">
        <f>SUM(H86:H86)</f>
        <v>3700000</v>
      </c>
      <c r="I87" s="226"/>
      <c r="J87" s="226"/>
      <c r="K87" s="227"/>
      <c r="L87" s="241"/>
    </row>
    <row r="88" spans="1:86" s="233" customFormat="1" ht="33" customHeight="1" thickBot="1">
      <c r="A88" s="337" t="s">
        <v>362</v>
      </c>
      <c r="B88" s="338">
        <v>801</v>
      </c>
      <c r="C88" s="338">
        <v>80120</v>
      </c>
      <c r="D88" s="338">
        <v>6050</v>
      </c>
      <c r="E88" s="340" t="s">
        <v>289</v>
      </c>
      <c r="F88" s="339">
        <f>SUM(G88:H88)</f>
        <v>1890000</v>
      </c>
      <c r="G88" s="339">
        <f>1443866+10000-910000</f>
        <v>543866</v>
      </c>
      <c r="H88" s="339">
        <f>1556134-200000-10000</f>
        <v>1346134</v>
      </c>
      <c r="I88" s="340"/>
      <c r="J88" s="340"/>
      <c r="K88" s="342"/>
      <c r="L88" s="232" t="s">
        <v>180</v>
      </c>
    </row>
    <row r="89" spans="1:86" s="253" customFormat="1" ht="27" customHeight="1" thickBot="1">
      <c r="A89" s="402" t="s">
        <v>290</v>
      </c>
      <c r="B89" s="402"/>
      <c r="C89" s="402"/>
      <c r="D89" s="402"/>
      <c r="E89" s="402"/>
      <c r="F89" s="226">
        <f>SUM(F88:F88)</f>
        <v>1890000</v>
      </c>
      <c r="G89" s="226">
        <f>SUM(G88:G88)</f>
        <v>543866</v>
      </c>
      <c r="H89" s="226">
        <f>SUM(H88:H88)</f>
        <v>1346134</v>
      </c>
      <c r="I89" s="234"/>
      <c r="J89" s="234"/>
      <c r="K89" s="227"/>
      <c r="L89" s="246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7"/>
      <c r="BI89" s="237"/>
      <c r="BJ89" s="237"/>
      <c r="BK89" s="237"/>
      <c r="BL89" s="237"/>
      <c r="BM89" s="237"/>
      <c r="BN89" s="237"/>
      <c r="BO89" s="237"/>
      <c r="BP89" s="237"/>
      <c r="BQ89" s="237"/>
      <c r="BR89" s="237"/>
      <c r="BS89" s="237"/>
      <c r="BT89" s="237"/>
      <c r="BU89" s="237"/>
      <c r="BV89" s="237"/>
      <c r="BW89" s="237"/>
      <c r="BX89" s="237"/>
      <c r="BY89" s="237"/>
      <c r="BZ89" s="237"/>
      <c r="CA89" s="237"/>
      <c r="CB89" s="237"/>
      <c r="CC89" s="237"/>
      <c r="CD89" s="237"/>
      <c r="CE89" s="237"/>
      <c r="CF89" s="237"/>
      <c r="CG89" s="237"/>
      <c r="CH89" s="237"/>
    </row>
    <row r="90" spans="1:86" s="237" customFormat="1" ht="41.25" customHeight="1" thickBot="1">
      <c r="A90" s="254" t="s">
        <v>363</v>
      </c>
      <c r="B90" s="162">
        <v>851</v>
      </c>
      <c r="C90" s="162">
        <v>85111</v>
      </c>
      <c r="D90" s="162">
        <v>6010</v>
      </c>
      <c r="E90" s="166" t="s">
        <v>292</v>
      </c>
      <c r="F90" s="164">
        <f>SUM(G90:H90)</f>
        <v>3696550</v>
      </c>
      <c r="G90" s="164">
        <f>3700000-3450</f>
        <v>3696550</v>
      </c>
      <c r="H90" s="206"/>
      <c r="I90" s="174"/>
      <c r="J90" s="174"/>
      <c r="K90" s="175"/>
      <c r="L90" s="255"/>
    </row>
    <row r="91" spans="1:86" s="170" customFormat="1" ht="38.25" customHeight="1" thickBot="1">
      <c r="A91" s="254" t="s">
        <v>364</v>
      </c>
      <c r="B91" s="162">
        <v>851</v>
      </c>
      <c r="C91" s="162">
        <v>85111</v>
      </c>
      <c r="D91" s="162">
        <v>6230</v>
      </c>
      <c r="E91" s="166" t="s">
        <v>378</v>
      </c>
      <c r="F91" s="164">
        <f>SUM(G91:H91)</f>
        <v>140000</v>
      </c>
      <c r="G91" s="164">
        <v>140000</v>
      </c>
      <c r="H91" s="206"/>
      <c r="I91" s="174"/>
      <c r="J91" s="174"/>
      <c r="K91" s="175"/>
      <c r="L91" s="378"/>
    </row>
    <row r="92" spans="1:86" s="253" customFormat="1" ht="27" customHeight="1" thickBot="1">
      <c r="A92" s="402" t="s">
        <v>294</v>
      </c>
      <c r="B92" s="402"/>
      <c r="C92" s="402"/>
      <c r="D92" s="402"/>
      <c r="E92" s="402"/>
      <c r="F92" s="226">
        <f>SUM(F90:F91)</f>
        <v>3836550</v>
      </c>
      <c r="G92" s="226">
        <f>SUM(G90:G91)</f>
        <v>3836550</v>
      </c>
      <c r="H92" s="226">
        <f>SUM(H90:H90)</f>
        <v>0</v>
      </c>
      <c r="I92" s="234"/>
      <c r="J92" s="234"/>
      <c r="K92" s="227"/>
      <c r="L92" s="246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7"/>
      <c r="BM92" s="237"/>
      <c r="BN92" s="237"/>
      <c r="BO92" s="237"/>
      <c r="BP92" s="237"/>
      <c r="BQ92" s="237"/>
      <c r="BR92" s="237"/>
      <c r="BS92" s="237"/>
      <c r="BT92" s="237"/>
      <c r="BU92" s="237"/>
      <c r="BV92" s="237"/>
      <c r="BW92" s="237"/>
      <c r="BX92" s="237"/>
      <c r="BY92" s="237"/>
      <c r="BZ92" s="237"/>
      <c r="CA92" s="237"/>
      <c r="CB92" s="237"/>
      <c r="CC92" s="237"/>
      <c r="CD92" s="237"/>
      <c r="CE92" s="237"/>
      <c r="CF92" s="237"/>
      <c r="CG92" s="237"/>
      <c r="CH92" s="237"/>
    </row>
    <row r="93" spans="1:86" s="170" customFormat="1" ht="40.5" customHeight="1" thickBot="1">
      <c r="A93" s="161" t="s">
        <v>365</v>
      </c>
      <c r="B93" s="162">
        <v>852</v>
      </c>
      <c r="C93" s="162">
        <v>85202</v>
      </c>
      <c r="D93" s="162">
        <v>6050</v>
      </c>
      <c r="E93" s="172" t="s">
        <v>296</v>
      </c>
      <c r="F93" s="164">
        <f>SUM(G93:H93)</f>
        <v>0</v>
      </c>
      <c r="G93" s="164">
        <f>50000-50000</f>
        <v>0</v>
      </c>
      <c r="H93" s="206"/>
      <c r="I93" s="174"/>
      <c r="J93" s="174"/>
      <c r="K93" s="175"/>
      <c r="L93" s="379"/>
    </row>
    <row r="94" spans="1:86" s="256" customFormat="1" ht="38.25" customHeight="1" thickBot="1">
      <c r="A94" s="229" t="s">
        <v>366</v>
      </c>
      <c r="B94" s="221">
        <v>852</v>
      </c>
      <c r="C94" s="221">
        <v>85202</v>
      </c>
      <c r="D94" s="221">
        <v>6050</v>
      </c>
      <c r="E94" s="196" t="s">
        <v>298</v>
      </c>
      <c r="F94" s="211">
        <f>SUM(G94:H94)</f>
        <v>50000</v>
      </c>
      <c r="G94" s="211">
        <v>50000</v>
      </c>
      <c r="H94" s="223"/>
      <c r="I94" s="224"/>
      <c r="J94" s="224"/>
      <c r="K94" s="257" t="s">
        <v>299</v>
      </c>
      <c r="L94" s="258" t="s">
        <v>180</v>
      </c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0"/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170"/>
      <c r="CC94" s="170"/>
      <c r="CD94" s="170"/>
      <c r="CE94" s="170"/>
      <c r="CF94" s="170"/>
      <c r="CG94" s="170"/>
      <c r="CH94" s="170"/>
    </row>
    <row r="95" spans="1:86" s="237" customFormat="1" ht="27" customHeight="1" thickBot="1">
      <c r="A95" s="402" t="s">
        <v>300</v>
      </c>
      <c r="B95" s="402"/>
      <c r="C95" s="402"/>
      <c r="D95" s="402"/>
      <c r="E95" s="402"/>
      <c r="F95" s="226">
        <f>SUM(F93:F94)</f>
        <v>50000</v>
      </c>
      <c r="G95" s="226">
        <f>SUM(G93:G94)</f>
        <v>50000</v>
      </c>
      <c r="H95" s="226"/>
      <c r="I95" s="234"/>
      <c r="J95" s="234"/>
      <c r="K95" s="227"/>
      <c r="L95" s="246"/>
    </row>
    <row r="96" spans="1:86" s="176" customFormat="1" ht="34.5" customHeight="1" thickBot="1">
      <c r="A96" s="238" t="s">
        <v>367</v>
      </c>
      <c r="B96" s="238">
        <v>854</v>
      </c>
      <c r="C96" s="238">
        <v>85403</v>
      </c>
      <c r="D96" s="238">
        <v>6060</v>
      </c>
      <c r="E96" s="259" t="s">
        <v>302</v>
      </c>
      <c r="F96" s="214">
        <f>G96</f>
        <v>80000</v>
      </c>
      <c r="G96" s="214">
        <v>80000</v>
      </c>
      <c r="H96" s="260"/>
      <c r="I96" s="261"/>
      <c r="J96" s="262"/>
      <c r="K96" s="263"/>
      <c r="L96" s="264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79"/>
      <c r="BR96" s="179"/>
      <c r="BS96" s="179"/>
      <c r="BT96" s="179"/>
      <c r="BU96" s="179"/>
      <c r="BV96" s="179"/>
      <c r="BW96" s="179"/>
      <c r="BX96" s="179"/>
      <c r="BY96" s="179"/>
      <c r="BZ96" s="179"/>
      <c r="CA96" s="179"/>
      <c r="CB96" s="179"/>
      <c r="CC96" s="179"/>
      <c r="CD96" s="179"/>
      <c r="CE96" s="179"/>
      <c r="CF96" s="179"/>
      <c r="CG96" s="179"/>
      <c r="CH96" s="179"/>
    </row>
    <row r="97" spans="1:86" s="237" customFormat="1" ht="27" customHeight="1" thickBot="1">
      <c r="A97" s="402" t="s">
        <v>303</v>
      </c>
      <c r="B97" s="402"/>
      <c r="C97" s="402"/>
      <c r="D97" s="402"/>
      <c r="E97" s="402"/>
      <c r="F97" s="226">
        <f>SUM(F96:F96)</f>
        <v>80000</v>
      </c>
      <c r="G97" s="226">
        <f>SUM(G96:G96)</f>
        <v>80000</v>
      </c>
      <c r="H97" s="226"/>
      <c r="I97" s="234"/>
      <c r="J97" s="265"/>
      <c r="K97" s="227"/>
      <c r="L97" s="246"/>
    </row>
    <row r="98" spans="1:86" s="170" customFormat="1" ht="36" customHeight="1" thickBot="1">
      <c r="A98" s="162" t="s">
        <v>368</v>
      </c>
      <c r="B98" s="162">
        <v>854</v>
      </c>
      <c r="C98" s="162">
        <v>85421</v>
      </c>
      <c r="D98" s="162">
        <v>6060</v>
      </c>
      <c r="E98" s="172" t="s">
        <v>308</v>
      </c>
      <c r="F98" s="164">
        <f>G98</f>
        <v>90053</v>
      </c>
      <c r="G98" s="164">
        <f>45053+45000</f>
        <v>90053</v>
      </c>
      <c r="H98" s="164"/>
      <c r="I98" s="166"/>
      <c r="J98" s="380"/>
      <c r="K98" s="168"/>
      <c r="L98" s="381"/>
    </row>
    <row r="99" spans="1:86" s="237" customFormat="1" ht="27" customHeight="1" thickBot="1">
      <c r="A99" s="402" t="s">
        <v>309</v>
      </c>
      <c r="B99" s="402"/>
      <c r="C99" s="402"/>
      <c r="D99" s="402"/>
      <c r="E99" s="402"/>
      <c r="F99" s="226">
        <f>SUM(F98)</f>
        <v>90053</v>
      </c>
      <c r="G99" s="226">
        <f>SUM(G98)</f>
        <v>90053</v>
      </c>
      <c r="H99" s="226"/>
      <c r="I99" s="234"/>
      <c r="J99" s="265"/>
      <c r="K99" s="227"/>
      <c r="L99" s="231"/>
    </row>
    <row r="100" spans="1:86" s="269" customFormat="1" ht="27" customHeight="1" thickBot="1">
      <c r="A100" s="403" t="s">
        <v>125</v>
      </c>
      <c r="B100" s="403"/>
      <c r="C100" s="403"/>
      <c r="D100" s="403"/>
      <c r="E100" s="403"/>
      <c r="F100" s="266">
        <f>F67+F70+F72+F74+F77+F79+F81+F83+F85+F87+F89+F92+F95+F97+F99</f>
        <v>19431610</v>
      </c>
      <c r="G100" s="266">
        <f>G67+G70+G72+G74+G77+G79+G81+G83+G85+G87+G89+G92+G95+G97+G99</f>
        <v>12076291</v>
      </c>
      <c r="H100" s="266">
        <f>H67+H70+H72+H74+H77+H79+H81+H83+H85+H87+H89+H92+H95+H97+H99</f>
        <v>5046134</v>
      </c>
      <c r="I100" s="266">
        <f>I67+I70+I74+I77+I81+I83+I87+I89+I92+I95+I97</f>
        <v>0</v>
      </c>
      <c r="J100" s="266">
        <f>J67+J70+J72+J74+J77+J79+J81+J83+J87+J89+J92+J95+J97+J99</f>
        <v>2309185</v>
      </c>
      <c r="K100" s="267"/>
      <c r="L100" s="268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77"/>
      <c r="AO100" s="277"/>
      <c r="AP100" s="277"/>
      <c r="AQ100" s="277"/>
      <c r="AR100" s="277"/>
      <c r="AS100" s="277"/>
      <c r="AT100" s="277"/>
      <c r="AU100" s="277"/>
      <c r="AV100" s="277"/>
      <c r="AW100" s="277"/>
      <c r="AX100" s="277"/>
      <c r="AY100" s="277"/>
      <c r="AZ100" s="277"/>
      <c r="BA100" s="277"/>
      <c r="BB100" s="277"/>
      <c r="BC100" s="277"/>
      <c r="BD100" s="277"/>
      <c r="BE100" s="277"/>
      <c r="BF100" s="277"/>
      <c r="BG100" s="277"/>
      <c r="BH100" s="277"/>
      <c r="BI100" s="277"/>
      <c r="BJ100" s="277"/>
      <c r="BK100" s="277"/>
      <c r="BL100" s="277"/>
      <c r="BM100" s="277"/>
      <c r="BN100" s="277"/>
      <c r="BO100" s="277"/>
      <c r="BP100" s="277"/>
      <c r="BQ100" s="277"/>
      <c r="BR100" s="277"/>
      <c r="BS100" s="277"/>
      <c r="BT100" s="277"/>
      <c r="BU100" s="277"/>
      <c r="BV100" s="277"/>
      <c r="BW100" s="277"/>
      <c r="BX100" s="277"/>
      <c r="BY100" s="277"/>
      <c r="BZ100" s="277"/>
      <c r="CA100" s="277"/>
      <c r="CB100" s="277"/>
      <c r="CC100" s="277"/>
      <c r="CD100" s="277"/>
      <c r="CE100" s="277"/>
      <c r="CF100" s="277"/>
      <c r="CG100" s="277"/>
      <c r="CH100" s="277"/>
    </row>
    <row r="101" spans="1:86" s="269" customFormat="1" ht="18" customHeight="1">
      <c r="A101" s="148"/>
      <c r="B101" s="148"/>
      <c r="C101" s="148"/>
      <c r="D101" s="148"/>
      <c r="E101" s="148"/>
      <c r="F101" s="270" t="s">
        <v>304</v>
      </c>
      <c r="G101" s="148"/>
      <c r="H101" s="148"/>
      <c r="I101" s="148"/>
      <c r="J101" s="148"/>
      <c r="K101" s="149"/>
      <c r="L101" s="271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7"/>
      <c r="BA101" s="277"/>
      <c r="BB101" s="277"/>
      <c r="BC101" s="277"/>
      <c r="BD101" s="277"/>
      <c r="BE101" s="277"/>
      <c r="BF101" s="277"/>
      <c r="BG101" s="277"/>
      <c r="BH101" s="277"/>
      <c r="BI101" s="277"/>
      <c r="BJ101" s="277"/>
      <c r="BK101" s="277"/>
      <c r="BL101" s="277"/>
      <c r="BM101" s="277"/>
      <c r="BN101" s="277"/>
      <c r="BO101" s="277"/>
      <c r="BP101" s="277"/>
      <c r="BQ101" s="277"/>
      <c r="BR101" s="277"/>
      <c r="BS101" s="277"/>
      <c r="BT101" s="277"/>
      <c r="BU101" s="277"/>
      <c r="BV101" s="277"/>
      <c r="BW101" s="277"/>
      <c r="BX101" s="277"/>
      <c r="BY101" s="277"/>
      <c r="BZ101" s="277"/>
      <c r="CA101" s="277"/>
      <c r="CB101" s="277"/>
      <c r="CC101" s="277"/>
      <c r="CD101" s="277"/>
      <c r="CE101" s="277"/>
      <c r="CF101" s="277"/>
      <c r="CG101" s="277"/>
      <c r="CH101" s="277"/>
    </row>
    <row r="102" spans="1:86" s="237" customFormat="1" ht="27" customHeight="1">
      <c r="A102" s="272" t="s">
        <v>305</v>
      </c>
      <c r="B102" s="273"/>
      <c r="C102" s="273"/>
      <c r="D102" s="273"/>
      <c r="E102" s="148"/>
      <c r="F102" s="273"/>
      <c r="G102" s="275"/>
      <c r="H102" s="273"/>
      <c r="I102" s="273"/>
      <c r="J102" s="273"/>
      <c r="K102" s="274"/>
      <c r="L102" s="271"/>
    </row>
    <row r="103" spans="1:86" s="205" customFormat="1" ht="20.25" customHeight="1">
      <c r="A103" s="272" t="s">
        <v>306</v>
      </c>
      <c r="B103" s="273"/>
      <c r="C103" s="273"/>
      <c r="D103" s="273"/>
      <c r="E103" s="148"/>
      <c r="F103" s="273"/>
      <c r="G103" s="275"/>
      <c r="H103" s="273"/>
      <c r="I103" s="273"/>
      <c r="J103" s="273"/>
      <c r="K103" s="274"/>
      <c r="L103" s="271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  <c r="BD103" s="179"/>
      <c r="BE103" s="179"/>
      <c r="BF103" s="179"/>
      <c r="BG103" s="179"/>
      <c r="BH103" s="179"/>
      <c r="BI103" s="179"/>
      <c r="BJ103" s="179"/>
      <c r="BK103" s="179"/>
      <c r="BL103" s="179"/>
      <c r="BM103" s="179"/>
      <c r="BN103" s="179"/>
      <c r="BO103" s="179"/>
      <c r="BP103" s="179"/>
      <c r="BQ103" s="179"/>
      <c r="BR103" s="179"/>
      <c r="BS103" s="179"/>
      <c r="BT103" s="179"/>
      <c r="BU103" s="179"/>
      <c r="BV103" s="179"/>
      <c r="BW103" s="179"/>
      <c r="BX103" s="179"/>
      <c r="BY103" s="179"/>
      <c r="BZ103" s="179"/>
      <c r="CA103" s="179"/>
      <c r="CB103" s="179"/>
      <c r="CC103" s="179"/>
      <c r="CD103" s="179"/>
      <c r="CE103" s="179"/>
      <c r="CF103" s="179"/>
      <c r="CG103" s="179"/>
      <c r="CH103" s="179"/>
    </row>
    <row r="104" spans="1:86" s="237" customFormat="1" ht="21" customHeight="1">
      <c r="A104" s="272" t="s">
        <v>307</v>
      </c>
      <c r="B104" s="273"/>
      <c r="C104" s="273"/>
      <c r="D104" s="273"/>
      <c r="E104" s="148"/>
      <c r="F104" s="275"/>
      <c r="G104" s="273"/>
      <c r="H104" s="273"/>
      <c r="I104" s="273"/>
      <c r="J104" s="273"/>
      <c r="K104" s="274"/>
      <c r="L104" s="271"/>
    </row>
    <row r="105" spans="1:86" s="237" customFormat="1" ht="27" customHeight="1">
      <c r="A105" s="148"/>
      <c r="B105" s="148"/>
      <c r="C105" s="148"/>
      <c r="D105" s="148"/>
      <c r="E105" s="148"/>
      <c r="F105" s="148"/>
      <c r="G105" s="148"/>
      <c r="H105" s="148"/>
      <c r="I105" s="148"/>
      <c r="J105" s="148"/>
      <c r="K105" s="149"/>
      <c r="L105" s="147"/>
      <c r="M105" s="271"/>
      <c r="N105" s="271"/>
      <c r="O105" s="271"/>
      <c r="P105" s="271"/>
    </row>
    <row r="106" spans="1:86" s="179" customFormat="1" ht="28.5" customHeight="1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9"/>
      <c r="L106" s="147"/>
      <c r="M106" s="271"/>
      <c r="N106" s="271"/>
      <c r="O106" s="271"/>
      <c r="P106" s="271"/>
    </row>
    <row r="107" spans="1:86" s="237" customFormat="1" ht="30" customHeight="1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6"/>
      <c r="L107" s="147"/>
      <c r="M107" s="271"/>
      <c r="N107" s="271"/>
      <c r="O107" s="271"/>
      <c r="P107" s="271"/>
    </row>
    <row r="108" spans="1:86" s="160" customFormat="1" ht="27" customHeight="1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6"/>
      <c r="L108" s="147"/>
      <c r="M108" s="271"/>
      <c r="N108" s="271"/>
      <c r="O108" s="271"/>
      <c r="P108" s="271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70"/>
      <c r="BD108" s="170"/>
      <c r="BE108" s="170"/>
      <c r="BF108" s="170"/>
      <c r="BG108" s="170"/>
      <c r="BH108" s="170"/>
      <c r="BI108" s="170"/>
      <c r="BJ108" s="170"/>
      <c r="BK108" s="170"/>
      <c r="BL108" s="170"/>
      <c r="BM108" s="170"/>
      <c r="BN108" s="170"/>
      <c r="BO108" s="170"/>
      <c r="BP108" s="170"/>
      <c r="BQ108" s="170"/>
      <c r="BR108" s="170"/>
      <c r="BS108" s="170"/>
      <c r="BT108" s="170"/>
      <c r="BU108" s="170"/>
      <c r="BV108" s="170"/>
      <c r="BW108" s="170"/>
      <c r="BX108" s="170"/>
      <c r="BY108" s="170"/>
      <c r="BZ108" s="170"/>
      <c r="CA108" s="170"/>
      <c r="CB108" s="170"/>
      <c r="CC108" s="170"/>
      <c r="CD108" s="170"/>
      <c r="CE108" s="170"/>
      <c r="CF108" s="170"/>
      <c r="CG108" s="170"/>
      <c r="CH108" s="170"/>
    </row>
    <row r="110" spans="1:86" s="276" customFormat="1" ht="12.75" customHeight="1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6"/>
      <c r="L110" s="147"/>
      <c r="M110" s="271"/>
      <c r="N110" s="271"/>
      <c r="O110" s="271"/>
      <c r="P110" s="271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53"/>
      <c r="BN110" s="153"/>
      <c r="BO110" s="153"/>
      <c r="BP110" s="153"/>
      <c r="BQ110" s="153"/>
      <c r="BR110" s="153"/>
      <c r="BS110" s="153"/>
      <c r="BT110" s="153"/>
      <c r="BU110" s="153"/>
      <c r="BV110" s="153"/>
      <c r="BW110" s="153"/>
      <c r="BX110" s="153"/>
      <c r="BY110" s="153"/>
      <c r="BZ110" s="153"/>
      <c r="CA110" s="153"/>
      <c r="CB110" s="153"/>
      <c r="CC110" s="153"/>
      <c r="CD110" s="153"/>
      <c r="CE110" s="153"/>
      <c r="CF110" s="153"/>
      <c r="CG110" s="153"/>
      <c r="CH110" s="153"/>
    </row>
    <row r="111" spans="1:86" s="276" customFormat="1" ht="12.75" customHeight="1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6"/>
      <c r="L111" s="147"/>
      <c r="M111" s="271"/>
      <c r="N111" s="271"/>
      <c r="O111" s="271"/>
      <c r="P111" s="271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</row>
    <row r="112" spans="1:86" s="276" customFormat="1" ht="12.75" customHeight="1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6"/>
      <c r="L112" s="147"/>
      <c r="M112" s="271"/>
      <c r="N112" s="271"/>
      <c r="O112" s="271"/>
      <c r="P112" s="271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/>
      <c r="CF112" s="153"/>
      <c r="CG112" s="153"/>
      <c r="CH112" s="153"/>
    </row>
  </sheetData>
  <sheetProtection algorithmName="SHA-512" hashValue="qTfrYJZ+djnLab4l1V+aM0GvtVAXTCjYOJ5oZ2xYcLXFW2llaQG0G4WE6K2P0dENYI0cYZc0jZ36gjPkvRvubg==" saltValue="bpO/+OcZxxFbazkh+c/Ojg==" spinCount="100000" sheet="1" objects="1" scenarios="1"/>
  <mergeCells count="35"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A72:E72"/>
    <mergeCell ref="A74:E74"/>
    <mergeCell ref="A77:E77"/>
    <mergeCell ref="A79:E79"/>
    <mergeCell ref="L4:L5"/>
    <mergeCell ref="A7:E7"/>
    <mergeCell ref="A12:E12"/>
    <mergeCell ref="A21:E21"/>
    <mergeCell ref="A30:E30"/>
    <mergeCell ref="A41:E41"/>
    <mergeCell ref="A48:E48"/>
    <mergeCell ref="A52:E52"/>
    <mergeCell ref="A56:E56"/>
    <mergeCell ref="A65:E65"/>
    <mergeCell ref="A70:E70"/>
    <mergeCell ref="A67:E67"/>
    <mergeCell ref="A99:E99"/>
    <mergeCell ref="A100:E100"/>
    <mergeCell ref="A81:E81"/>
    <mergeCell ref="A83:E83"/>
    <mergeCell ref="A85:E85"/>
    <mergeCell ref="A87:E87"/>
    <mergeCell ref="A95:E95"/>
    <mergeCell ref="A97:E97"/>
    <mergeCell ref="A89:E89"/>
    <mergeCell ref="A92:E9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1"/>
  <headerFooter differentOddEven="1" differentFirst="1">
    <oddFooter>&amp;C&amp;P</oddFooter>
    <evenFooter>&amp;C&amp;P</evenFoot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50"/>
  </sheetPr>
  <dimension ref="A3:D26"/>
  <sheetViews>
    <sheetView showGridLines="0" workbookViewId="0">
      <selection activeCell="D9" sqref="D9"/>
    </sheetView>
  </sheetViews>
  <sheetFormatPr defaultColWidth="9.33203125" defaultRowHeight="12.75"/>
  <cols>
    <col min="1" max="1" width="5.83203125" style="3" customWidth="1"/>
    <col min="2" max="2" width="62.83203125" style="3" customWidth="1"/>
    <col min="3" max="4" width="18.83203125" style="3" customWidth="1"/>
    <col min="5" max="16384" width="9.33203125" style="3"/>
  </cols>
  <sheetData>
    <row r="3" spans="1:4" s="2" customFormat="1" ht="15" customHeight="1">
      <c r="A3" s="414" t="s">
        <v>155</v>
      </c>
      <c r="B3" s="414"/>
      <c r="C3" s="414"/>
      <c r="D3" s="414"/>
    </row>
    <row r="4" spans="1:4">
      <c r="D4" s="4"/>
    </row>
    <row r="5" spans="1:4" ht="54" customHeight="1">
      <c r="A5" s="5" t="s">
        <v>69</v>
      </c>
      <c r="B5" s="5" t="s">
        <v>75</v>
      </c>
      <c r="C5" s="6" t="s">
        <v>76</v>
      </c>
      <c r="D5" s="6" t="s">
        <v>77</v>
      </c>
    </row>
    <row r="6" spans="1:4" s="32" customFormat="1" ht="16.5" customHeight="1">
      <c r="A6" s="58">
        <v>1</v>
      </c>
      <c r="B6" s="58">
        <v>2</v>
      </c>
      <c r="C6" s="58">
        <v>3</v>
      </c>
      <c r="D6" s="59">
        <v>4</v>
      </c>
    </row>
    <row r="7" spans="1:4" s="10" customFormat="1" ht="24.75" customHeight="1">
      <c r="A7" s="7" t="s">
        <v>70</v>
      </c>
      <c r="B7" s="8" t="s">
        <v>78</v>
      </c>
      <c r="C7" s="7"/>
      <c r="D7" s="9">
        <f>SUM(D8:D9)</f>
        <v>146485462</v>
      </c>
    </row>
    <row r="8" spans="1:4" s="14" customFormat="1" ht="24.75" customHeight="1">
      <c r="A8" s="11"/>
      <c r="B8" s="12" t="s">
        <v>79</v>
      </c>
      <c r="C8" s="11"/>
      <c r="D8" s="13">
        <v>137653965</v>
      </c>
    </row>
    <row r="9" spans="1:4" s="14" customFormat="1" ht="24.75" customHeight="1">
      <c r="A9" s="11"/>
      <c r="B9" s="12" t="s">
        <v>80</v>
      </c>
      <c r="C9" s="11"/>
      <c r="D9" s="15">
        <v>8831497</v>
      </c>
    </row>
    <row r="10" spans="1:4" s="10" customFormat="1" ht="24.75" customHeight="1">
      <c r="A10" s="7" t="s">
        <v>71</v>
      </c>
      <c r="B10" s="8" t="s">
        <v>81</v>
      </c>
      <c r="C10" s="7"/>
      <c r="D10" s="16">
        <f>SUM(D11,D12)</f>
        <v>151531596</v>
      </c>
    </row>
    <row r="11" spans="1:4" s="14" customFormat="1" ht="24.75" customHeight="1">
      <c r="A11" s="11"/>
      <c r="B11" s="12" t="s">
        <v>106</v>
      </c>
      <c r="C11" s="11"/>
      <c r="D11" s="17">
        <v>132099986</v>
      </c>
    </row>
    <row r="12" spans="1:4" s="14" customFormat="1" ht="24.75" customHeight="1">
      <c r="A12" s="11"/>
      <c r="B12" s="12" t="s">
        <v>82</v>
      </c>
      <c r="C12" s="11"/>
      <c r="D12" s="18">
        <v>19431610</v>
      </c>
    </row>
    <row r="13" spans="1:4" s="10" customFormat="1" ht="24.75" customHeight="1">
      <c r="A13" s="7" t="s">
        <v>72</v>
      </c>
      <c r="B13" s="8" t="s">
        <v>83</v>
      </c>
      <c r="C13" s="19"/>
      <c r="D13" s="9">
        <f>D7-D10</f>
        <v>-5046134</v>
      </c>
    </row>
    <row r="14" spans="1:4" ht="24.75" customHeight="1">
      <c r="A14" s="415" t="s">
        <v>84</v>
      </c>
      <c r="B14" s="416"/>
      <c r="C14" s="20"/>
      <c r="D14" s="21">
        <f>SUM(D15:D18)</f>
        <v>10834404</v>
      </c>
    </row>
    <row r="15" spans="1:4" ht="24.75" customHeight="1">
      <c r="A15" s="22" t="s">
        <v>70</v>
      </c>
      <c r="B15" s="27" t="s">
        <v>103</v>
      </c>
      <c r="C15" s="22" t="s">
        <v>86</v>
      </c>
      <c r="D15" s="24">
        <f>3044404</f>
        <v>3044404</v>
      </c>
    </row>
    <row r="16" spans="1:4" ht="32.25" customHeight="1">
      <c r="A16" s="22" t="s">
        <v>71</v>
      </c>
      <c r="B16" s="90" t="s">
        <v>120</v>
      </c>
      <c r="C16" s="22" t="s">
        <v>121</v>
      </c>
      <c r="D16" s="24">
        <v>0</v>
      </c>
    </row>
    <row r="17" spans="1:4" ht="24.75" customHeight="1">
      <c r="A17" s="22" t="s">
        <v>72</v>
      </c>
      <c r="B17" s="23" t="s">
        <v>101</v>
      </c>
      <c r="C17" s="22" t="s">
        <v>85</v>
      </c>
      <c r="D17" s="24">
        <v>7790000</v>
      </c>
    </row>
    <row r="18" spans="1:4" ht="24.75" customHeight="1">
      <c r="A18" s="22" t="s">
        <v>73</v>
      </c>
      <c r="B18" s="25" t="s">
        <v>102</v>
      </c>
      <c r="C18" s="22" t="s">
        <v>85</v>
      </c>
      <c r="D18" s="26">
        <v>0</v>
      </c>
    </row>
    <row r="19" spans="1:4" ht="24.75" customHeight="1">
      <c r="A19" s="415" t="s">
        <v>87</v>
      </c>
      <c r="B19" s="416"/>
      <c r="C19" s="28"/>
      <c r="D19" s="21">
        <f>SUM(D20:D22)</f>
        <v>5788270</v>
      </c>
    </row>
    <row r="20" spans="1:4" s="91" customFormat="1" ht="24.75" customHeight="1">
      <c r="A20" s="22" t="s">
        <v>70</v>
      </c>
      <c r="B20" s="25" t="s">
        <v>123</v>
      </c>
      <c r="C20" s="22" t="s">
        <v>122</v>
      </c>
      <c r="D20" s="24">
        <v>0</v>
      </c>
    </row>
    <row r="21" spans="1:4" ht="24.75" customHeight="1">
      <c r="A21" s="22" t="s">
        <v>71</v>
      </c>
      <c r="B21" s="25" t="s">
        <v>104</v>
      </c>
      <c r="C21" s="22" t="s">
        <v>88</v>
      </c>
      <c r="D21" s="24">
        <v>5788270</v>
      </c>
    </row>
    <row r="22" spans="1:4" ht="24.75" customHeight="1">
      <c r="A22" s="22" t="s">
        <v>72</v>
      </c>
      <c r="B22" s="25" t="s">
        <v>105</v>
      </c>
      <c r="C22" s="22" t="s">
        <v>88</v>
      </c>
      <c r="D22" s="24">
        <v>0</v>
      </c>
    </row>
    <row r="23" spans="1:4" ht="21.75" customHeight="1">
      <c r="A23" s="29"/>
      <c r="B23" s="30"/>
      <c r="C23" s="29"/>
      <c r="D23" s="31"/>
    </row>
    <row r="24" spans="1:4" ht="24.75" customHeight="1"/>
    <row r="25" spans="1:4" ht="24.75" customHeight="1"/>
    <row r="26" spans="1:4" ht="24.75" customHeight="1"/>
  </sheetData>
  <sheetProtection algorithmName="SHA-512" hashValue="LkhPPaWaO64D79xW09Vt3FCfXpFcS28aZXBKon0Zq/TrUSL7e5CDDeaxnxw60Ncd2YZH6GuARosJ3zLCRUkGVg==" saltValue="vV5YyE1gSqWB4FMMb0zx+g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50"/>
    <pageSetUpPr fitToPage="1"/>
  </sheetPr>
  <dimension ref="A1:K91"/>
  <sheetViews>
    <sheetView zoomScaleNormal="100" workbookViewId="0">
      <pane ySplit="5" topLeftCell="A24" activePane="bottomLeft" state="frozen"/>
      <selection activeCell="C11" sqref="C11:I13"/>
      <selection pane="bottomLeft" activeCell="B21" sqref="B21"/>
    </sheetView>
  </sheetViews>
  <sheetFormatPr defaultRowHeight="12"/>
  <cols>
    <col min="1" max="1" width="4.1640625" style="96" customWidth="1"/>
    <col min="2" max="2" width="45.1640625" style="96" customWidth="1"/>
    <col min="3" max="3" width="15" style="97" customWidth="1"/>
    <col min="4" max="4" width="13.6640625" style="96" customWidth="1"/>
    <col min="5" max="5" width="13" style="96" customWidth="1"/>
    <col min="6" max="6" width="11.1640625" style="96" customWidth="1"/>
    <col min="7" max="7" width="12.5" style="96" customWidth="1"/>
    <col min="8" max="8" width="11.6640625" style="96" customWidth="1"/>
    <col min="9" max="9" width="13.6640625" style="96" customWidth="1"/>
    <col min="10" max="243" width="9.33203125" style="96"/>
    <col min="244" max="244" width="4.83203125" style="96" customWidth="1"/>
    <col min="245" max="245" width="27.33203125" style="96" customWidth="1"/>
    <col min="246" max="247" width="15.5" style="96" customWidth="1"/>
    <col min="248" max="248" width="13.6640625" style="96" customWidth="1"/>
    <col min="249" max="249" width="12.33203125" style="96" customWidth="1"/>
    <col min="250" max="250" width="13" style="96" bestFit="1" customWidth="1"/>
    <col min="251" max="251" width="11.33203125" style="96" customWidth="1"/>
    <col min="252" max="252" width="12.33203125" style="96" customWidth="1"/>
    <col min="253" max="253" width="10.33203125" style="96" customWidth="1"/>
    <col min="254" max="254" width="10.1640625" style="96" customWidth="1"/>
    <col min="255" max="255" width="13" style="96" customWidth="1"/>
    <col min="256" max="256" width="12.5" style="96" customWidth="1"/>
    <col min="257" max="257" width="11.6640625" style="96" customWidth="1"/>
    <col min="258" max="258" width="11.33203125" style="96" customWidth="1"/>
    <col min="259" max="259" width="10.33203125" style="96" customWidth="1"/>
    <col min="260" max="260" width="12" style="96" customWidth="1"/>
    <col min="261" max="499" width="9.33203125" style="96"/>
    <col min="500" max="500" width="4.83203125" style="96" customWidth="1"/>
    <col min="501" max="501" width="27.33203125" style="96" customWidth="1"/>
    <col min="502" max="503" width="15.5" style="96" customWidth="1"/>
    <col min="504" max="504" width="13.6640625" style="96" customWidth="1"/>
    <col min="505" max="505" width="12.33203125" style="96" customWidth="1"/>
    <col min="506" max="506" width="13" style="96" bestFit="1" customWidth="1"/>
    <col min="507" max="507" width="11.33203125" style="96" customWidth="1"/>
    <col min="508" max="508" width="12.33203125" style="96" customWidth="1"/>
    <col min="509" max="509" width="10.33203125" style="96" customWidth="1"/>
    <col min="510" max="510" width="10.1640625" style="96" customWidth="1"/>
    <col min="511" max="511" width="13" style="96" customWidth="1"/>
    <col min="512" max="512" width="12.5" style="96" customWidth="1"/>
    <col min="513" max="513" width="11.6640625" style="96" customWidth="1"/>
    <col min="514" max="514" width="11.33203125" style="96" customWidth="1"/>
    <col min="515" max="515" width="10.33203125" style="96" customWidth="1"/>
    <col min="516" max="516" width="12" style="96" customWidth="1"/>
    <col min="517" max="755" width="9.33203125" style="96"/>
    <col min="756" max="756" width="4.83203125" style="96" customWidth="1"/>
    <col min="757" max="757" width="27.33203125" style="96" customWidth="1"/>
    <col min="758" max="759" width="15.5" style="96" customWidth="1"/>
    <col min="760" max="760" width="13.6640625" style="96" customWidth="1"/>
    <col min="761" max="761" width="12.33203125" style="96" customWidth="1"/>
    <col min="762" max="762" width="13" style="96" bestFit="1" customWidth="1"/>
    <col min="763" max="763" width="11.33203125" style="96" customWidth="1"/>
    <col min="764" max="764" width="12.33203125" style="96" customWidth="1"/>
    <col min="765" max="765" width="10.33203125" style="96" customWidth="1"/>
    <col min="766" max="766" width="10.1640625" style="96" customWidth="1"/>
    <col min="767" max="767" width="13" style="96" customWidth="1"/>
    <col min="768" max="768" width="12.5" style="96" customWidth="1"/>
    <col min="769" max="769" width="11.6640625" style="96" customWidth="1"/>
    <col min="770" max="770" width="11.33203125" style="96" customWidth="1"/>
    <col min="771" max="771" width="10.33203125" style="96" customWidth="1"/>
    <col min="772" max="772" width="12" style="96" customWidth="1"/>
    <col min="773" max="1011" width="9.33203125" style="96"/>
    <col min="1012" max="1012" width="4.83203125" style="96" customWidth="1"/>
    <col min="1013" max="1013" width="27.33203125" style="96" customWidth="1"/>
    <col min="1014" max="1015" width="15.5" style="96" customWidth="1"/>
    <col min="1016" max="1016" width="13.6640625" style="96" customWidth="1"/>
    <col min="1017" max="1017" width="12.33203125" style="96" customWidth="1"/>
    <col min="1018" max="1018" width="13" style="96" bestFit="1" customWidth="1"/>
    <col min="1019" max="1019" width="11.33203125" style="96" customWidth="1"/>
    <col min="1020" max="1020" width="12.33203125" style="96" customWidth="1"/>
    <col min="1021" max="1021" width="10.33203125" style="96" customWidth="1"/>
    <col min="1022" max="1022" width="10.1640625" style="96" customWidth="1"/>
    <col min="1023" max="1023" width="13" style="96" customWidth="1"/>
    <col min="1024" max="1024" width="12.5" style="96" customWidth="1"/>
    <col min="1025" max="1025" width="11.6640625" style="96" customWidth="1"/>
    <col min="1026" max="1026" width="11.33203125" style="96" customWidth="1"/>
    <col min="1027" max="1027" width="10.33203125" style="96" customWidth="1"/>
    <col min="1028" max="1028" width="12" style="96" customWidth="1"/>
    <col min="1029" max="1267" width="9.33203125" style="96"/>
    <col min="1268" max="1268" width="4.83203125" style="96" customWidth="1"/>
    <col min="1269" max="1269" width="27.33203125" style="96" customWidth="1"/>
    <col min="1270" max="1271" width="15.5" style="96" customWidth="1"/>
    <col min="1272" max="1272" width="13.6640625" style="96" customWidth="1"/>
    <col min="1273" max="1273" width="12.33203125" style="96" customWidth="1"/>
    <col min="1274" max="1274" width="13" style="96" bestFit="1" customWidth="1"/>
    <col min="1275" max="1275" width="11.33203125" style="96" customWidth="1"/>
    <col min="1276" max="1276" width="12.33203125" style="96" customWidth="1"/>
    <col min="1277" max="1277" width="10.33203125" style="96" customWidth="1"/>
    <col min="1278" max="1278" width="10.1640625" style="96" customWidth="1"/>
    <col min="1279" max="1279" width="13" style="96" customWidth="1"/>
    <col min="1280" max="1280" width="12.5" style="96" customWidth="1"/>
    <col min="1281" max="1281" width="11.6640625" style="96" customWidth="1"/>
    <col min="1282" max="1282" width="11.33203125" style="96" customWidth="1"/>
    <col min="1283" max="1283" width="10.33203125" style="96" customWidth="1"/>
    <col min="1284" max="1284" width="12" style="96" customWidth="1"/>
    <col min="1285" max="1523" width="9.33203125" style="96"/>
    <col min="1524" max="1524" width="4.83203125" style="96" customWidth="1"/>
    <col min="1525" max="1525" width="27.33203125" style="96" customWidth="1"/>
    <col min="1526" max="1527" width="15.5" style="96" customWidth="1"/>
    <col min="1528" max="1528" width="13.6640625" style="96" customWidth="1"/>
    <col min="1529" max="1529" width="12.33203125" style="96" customWidth="1"/>
    <col min="1530" max="1530" width="13" style="96" bestFit="1" customWidth="1"/>
    <col min="1531" max="1531" width="11.33203125" style="96" customWidth="1"/>
    <col min="1532" max="1532" width="12.33203125" style="96" customWidth="1"/>
    <col min="1533" max="1533" width="10.33203125" style="96" customWidth="1"/>
    <col min="1534" max="1534" width="10.1640625" style="96" customWidth="1"/>
    <col min="1535" max="1535" width="13" style="96" customWidth="1"/>
    <col min="1536" max="1536" width="12.5" style="96" customWidth="1"/>
    <col min="1537" max="1537" width="11.6640625" style="96" customWidth="1"/>
    <col min="1538" max="1538" width="11.33203125" style="96" customWidth="1"/>
    <col min="1539" max="1539" width="10.33203125" style="96" customWidth="1"/>
    <col min="1540" max="1540" width="12" style="96" customWidth="1"/>
    <col min="1541" max="1779" width="9.33203125" style="96"/>
    <col min="1780" max="1780" width="4.83203125" style="96" customWidth="1"/>
    <col min="1781" max="1781" width="27.33203125" style="96" customWidth="1"/>
    <col min="1782" max="1783" width="15.5" style="96" customWidth="1"/>
    <col min="1784" max="1784" width="13.6640625" style="96" customWidth="1"/>
    <col min="1785" max="1785" width="12.33203125" style="96" customWidth="1"/>
    <col min="1786" max="1786" width="13" style="96" bestFit="1" customWidth="1"/>
    <col min="1787" max="1787" width="11.33203125" style="96" customWidth="1"/>
    <col min="1788" max="1788" width="12.33203125" style="96" customWidth="1"/>
    <col min="1789" max="1789" width="10.33203125" style="96" customWidth="1"/>
    <col min="1790" max="1790" width="10.1640625" style="96" customWidth="1"/>
    <col min="1791" max="1791" width="13" style="96" customWidth="1"/>
    <col min="1792" max="1792" width="12.5" style="96" customWidth="1"/>
    <col min="1793" max="1793" width="11.6640625" style="96" customWidth="1"/>
    <col min="1794" max="1794" width="11.33203125" style="96" customWidth="1"/>
    <col min="1795" max="1795" width="10.33203125" style="96" customWidth="1"/>
    <col min="1796" max="1796" width="12" style="96" customWidth="1"/>
    <col min="1797" max="2035" width="9.33203125" style="96"/>
    <col min="2036" max="2036" width="4.83203125" style="96" customWidth="1"/>
    <col min="2037" max="2037" width="27.33203125" style="96" customWidth="1"/>
    <col min="2038" max="2039" width="15.5" style="96" customWidth="1"/>
    <col min="2040" max="2040" width="13.6640625" style="96" customWidth="1"/>
    <col min="2041" max="2041" width="12.33203125" style="96" customWidth="1"/>
    <col min="2042" max="2042" width="13" style="96" bestFit="1" customWidth="1"/>
    <col min="2043" max="2043" width="11.33203125" style="96" customWidth="1"/>
    <col min="2044" max="2044" width="12.33203125" style="96" customWidth="1"/>
    <col min="2045" max="2045" width="10.33203125" style="96" customWidth="1"/>
    <col min="2046" max="2046" width="10.1640625" style="96" customWidth="1"/>
    <col min="2047" max="2047" width="13" style="96" customWidth="1"/>
    <col min="2048" max="2048" width="12.5" style="96" customWidth="1"/>
    <col min="2049" max="2049" width="11.6640625" style="96" customWidth="1"/>
    <col min="2050" max="2050" width="11.33203125" style="96" customWidth="1"/>
    <col min="2051" max="2051" width="10.33203125" style="96" customWidth="1"/>
    <col min="2052" max="2052" width="12" style="96" customWidth="1"/>
    <col min="2053" max="2291" width="9.33203125" style="96"/>
    <col min="2292" max="2292" width="4.83203125" style="96" customWidth="1"/>
    <col min="2293" max="2293" width="27.33203125" style="96" customWidth="1"/>
    <col min="2294" max="2295" width="15.5" style="96" customWidth="1"/>
    <col min="2296" max="2296" width="13.6640625" style="96" customWidth="1"/>
    <col min="2297" max="2297" width="12.33203125" style="96" customWidth="1"/>
    <col min="2298" max="2298" width="13" style="96" bestFit="1" customWidth="1"/>
    <col min="2299" max="2299" width="11.33203125" style="96" customWidth="1"/>
    <col min="2300" max="2300" width="12.33203125" style="96" customWidth="1"/>
    <col min="2301" max="2301" width="10.33203125" style="96" customWidth="1"/>
    <col min="2302" max="2302" width="10.1640625" style="96" customWidth="1"/>
    <col min="2303" max="2303" width="13" style="96" customWidth="1"/>
    <col min="2304" max="2304" width="12.5" style="96" customWidth="1"/>
    <col min="2305" max="2305" width="11.6640625" style="96" customWidth="1"/>
    <col min="2306" max="2306" width="11.33203125" style="96" customWidth="1"/>
    <col min="2307" max="2307" width="10.33203125" style="96" customWidth="1"/>
    <col min="2308" max="2308" width="12" style="96" customWidth="1"/>
    <col min="2309" max="2547" width="9.33203125" style="96"/>
    <col min="2548" max="2548" width="4.83203125" style="96" customWidth="1"/>
    <col min="2549" max="2549" width="27.33203125" style="96" customWidth="1"/>
    <col min="2550" max="2551" width="15.5" style="96" customWidth="1"/>
    <col min="2552" max="2552" width="13.6640625" style="96" customWidth="1"/>
    <col min="2553" max="2553" width="12.33203125" style="96" customWidth="1"/>
    <col min="2554" max="2554" width="13" style="96" bestFit="1" customWidth="1"/>
    <col min="2555" max="2555" width="11.33203125" style="96" customWidth="1"/>
    <col min="2556" max="2556" width="12.33203125" style="96" customWidth="1"/>
    <col min="2557" max="2557" width="10.33203125" style="96" customWidth="1"/>
    <col min="2558" max="2558" width="10.1640625" style="96" customWidth="1"/>
    <col min="2559" max="2559" width="13" style="96" customWidth="1"/>
    <col min="2560" max="2560" width="12.5" style="96" customWidth="1"/>
    <col min="2561" max="2561" width="11.6640625" style="96" customWidth="1"/>
    <col min="2562" max="2562" width="11.33203125" style="96" customWidth="1"/>
    <col min="2563" max="2563" width="10.33203125" style="96" customWidth="1"/>
    <col min="2564" max="2564" width="12" style="96" customWidth="1"/>
    <col min="2565" max="2803" width="9.33203125" style="96"/>
    <col min="2804" max="2804" width="4.83203125" style="96" customWidth="1"/>
    <col min="2805" max="2805" width="27.33203125" style="96" customWidth="1"/>
    <col min="2806" max="2807" width="15.5" style="96" customWidth="1"/>
    <col min="2808" max="2808" width="13.6640625" style="96" customWidth="1"/>
    <col min="2809" max="2809" width="12.33203125" style="96" customWidth="1"/>
    <col min="2810" max="2810" width="13" style="96" bestFit="1" customWidth="1"/>
    <col min="2811" max="2811" width="11.33203125" style="96" customWidth="1"/>
    <col min="2812" max="2812" width="12.33203125" style="96" customWidth="1"/>
    <col min="2813" max="2813" width="10.33203125" style="96" customWidth="1"/>
    <col min="2814" max="2814" width="10.1640625" style="96" customWidth="1"/>
    <col min="2815" max="2815" width="13" style="96" customWidth="1"/>
    <col min="2816" max="2816" width="12.5" style="96" customWidth="1"/>
    <col min="2817" max="2817" width="11.6640625" style="96" customWidth="1"/>
    <col min="2818" max="2818" width="11.33203125" style="96" customWidth="1"/>
    <col min="2819" max="2819" width="10.33203125" style="96" customWidth="1"/>
    <col min="2820" max="2820" width="12" style="96" customWidth="1"/>
    <col min="2821" max="3059" width="9.33203125" style="96"/>
    <col min="3060" max="3060" width="4.83203125" style="96" customWidth="1"/>
    <col min="3061" max="3061" width="27.33203125" style="96" customWidth="1"/>
    <col min="3062" max="3063" width="15.5" style="96" customWidth="1"/>
    <col min="3064" max="3064" width="13.6640625" style="96" customWidth="1"/>
    <col min="3065" max="3065" width="12.33203125" style="96" customWidth="1"/>
    <col min="3066" max="3066" width="13" style="96" bestFit="1" customWidth="1"/>
    <col min="3067" max="3067" width="11.33203125" style="96" customWidth="1"/>
    <col min="3068" max="3068" width="12.33203125" style="96" customWidth="1"/>
    <col min="3069" max="3069" width="10.33203125" style="96" customWidth="1"/>
    <col min="3070" max="3070" width="10.1640625" style="96" customWidth="1"/>
    <col min="3071" max="3071" width="13" style="96" customWidth="1"/>
    <col min="3072" max="3072" width="12.5" style="96" customWidth="1"/>
    <col min="3073" max="3073" width="11.6640625" style="96" customWidth="1"/>
    <col min="3074" max="3074" width="11.33203125" style="96" customWidth="1"/>
    <col min="3075" max="3075" width="10.33203125" style="96" customWidth="1"/>
    <col min="3076" max="3076" width="12" style="96" customWidth="1"/>
    <col min="3077" max="3315" width="9.33203125" style="96"/>
    <col min="3316" max="3316" width="4.83203125" style="96" customWidth="1"/>
    <col min="3317" max="3317" width="27.33203125" style="96" customWidth="1"/>
    <col min="3318" max="3319" width="15.5" style="96" customWidth="1"/>
    <col min="3320" max="3320" width="13.6640625" style="96" customWidth="1"/>
    <col min="3321" max="3321" width="12.33203125" style="96" customWidth="1"/>
    <col min="3322" max="3322" width="13" style="96" bestFit="1" customWidth="1"/>
    <col min="3323" max="3323" width="11.33203125" style="96" customWidth="1"/>
    <col min="3324" max="3324" width="12.33203125" style="96" customWidth="1"/>
    <col min="3325" max="3325" width="10.33203125" style="96" customWidth="1"/>
    <col min="3326" max="3326" width="10.1640625" style="96" customWidth="1"/>
    <col min="3327" max="3327" width="13" style="96" customWidth="1"/>
    <col min="3328" max="3328" width="12.5" style="96" customWidth="1"/>
    <col min="3329" max="3329" width="11.6640625" style="96" customWidth="1"/>
    <col min="3330" max="3330" width="11.33203125" style="96" customWidth="1"/>
    <col min="3331" max="3331" width="10.33203125" style="96" customWidth="1"/>
    <col min="3332" max="3332" width="12" style="96" customWidth="1"/>
    <col min="3333" max="3571" width="9.33203125" style="96"/>
    <col min="3572" max="3572" width="4.83203125" style="96" customWidth="1"/>
    <col min="3573" max="3573" width="27.33203125" style="96" customWidth="1"/>
    <col min="3574" max="3575" width="15.5" style="96" customWidth="1"/>
    <col min="3576" max="3576" width="13.6640625" style="96" customWidth="1"/>
    <col min="3577" max="3577" width="12.33203125" style="96" customWidth="1"/>
    <col min="3578" max="3578" width="13" style="96" bestFit="1" customWidth="1"/>
    <col min="3579" max="3579" width="11.33203125" style="96" customWidth="1"/>
    <col min="3580" max="3580" width="12.33203125" style="96" customWidth="1"/>
    <col min="3581" max="3581" width="10.33203125" style="96" customWidth="1"/>
    <col min="3582" max="3582" width="10.1640625" style="96" customWidth="1"/>
    <col min="3583" max="3583" width="13" style="96" customWidth="1"/>
    <col min="3584" max="3584" width="12.5" style="96" customWidth="1"/>
    <col min="3585" max="3585" width="11.6640625" style="96" customWidth="1"/>
    <col min="3586" max="3586" width="11.33203125" style="96" customWidth="1"/>
    <col min="3587" max="3587" width="10.33203125" style="96" customWidth="1"/>
    <col min="3588" max="3588" width="12" style="96" customWidth="1"/>
    <col min="3589" max="3827" width="9.33203125" style="96"/>
    <col min="3828" max="3828" width="4.83203125" style="96" customWidth="1"/>
    <col min="3829" max="3829" width="27.33203125" style="96" customWidth="1"/>
    <col min="3830" max="3831" width="15.5" style="96" customWidth="1"/>
    <col min="3832" max="3832" width="13.6640625" style="96" customWidth="1"/>
    <col min="3833" max="3833" width="12.33203125" style="96" customWidth="1"/>
    <col min="3834" max="3834" width="13" style="96" bestFit="1" customWidth="1"/>
    <col min="3835" max="3835" width="11.33203125" style="96" customWidth="1"/>
    <col min="3836" max="3836" width="12.33203125" style="96" customWidth="1"/>
    <col min="3837" max="3837" width="10.33203125" style="96" customWidth="1"/>
    <col min="3838" max="3838" width="10.1640625" style="96" customWidth="1"/>
    <col min="3839" max="3839" width="13" style="96" customWidth="1"/>
    <col min="3840" max="3840" width="12.5" style="96" customWidth="1"/>
    <col min="3841" max="3841" width="11.6640625" style="96" customWidth="1"/>
    <col min="3842" max="3842" width="11.33203125" style="96" customWidth="1"/>
    <col min="3843" max="3843" width="10.33203125" style="96" customWidth="1"/>
    <col min="3844" max="3844" width="12" style="96" customWidth="1"/>
    <col min="3845" max="4083" width="9.33203125" style="96"/>
    <col min="4084" max="4084" width="4.83203125" style="96" customWidth="1"/>
    <col min="4085" max="4085" width="27.33203125" style="96" customWidth="1"/>
    <col min="4086" max="4087" width="15.5" style="96" customWidth="1"/>
    <col min="4088" max="4088" width="13.6640625" style="96" customWidth="1"/>
    <col min="4089" max="4089" width="12.33203125" style="96" customWidth="1"/>
    <col min="4090" max="4090" width="13" style="96" bestFit="1" customWidth="1"/>
    <col min="4091" max="4091" width="11.33203125" style="96" customWidth="1"/>
    <col min="4092" max="4092" width="12.33203125" style="96" customWidth="1"/>
    <col min="4093" max="4093" width="10.33203125" style="96" customWidth="1"/>
    <col min="4094" max="4094" width="10.1640625" style="96" customWidth="1"/>
    <col min="4095" max="4095" width="13" style="96" customWidth="1"/>
    <col min="4096" max="4096" width="12.5" style="96" customWidth="1"/>
    <col min="4097" max="4097" width="11.6640625" style="96" customWidth="1"/>
    <col min="4098" max="4098" width="11.33203125" style="96" customWidth="1"/>
    <col min="4099" max="4099" width="10.33203125" style="96" customWidth="1"/>
    <col min="4100" max="4100" width="12" style="96" customWidth="1"/>
    <col min="4101" max="4339" width="9.33203125" style="96"/>
    <col min="4340" max="4340" width="4.83203125" style="96" customWidth="1"/>
    <col min="4341" max="4341" width="27.33203125" style="96" customWidth="1"/>
    <col min="4342" max="4343" width="15.5" style="96" customWidth="1"/>
    <col min="4344" max="4344" width="13.6640625" style="96" customWidth="1"/>
    <col min="4345" max="4345" width="12.33203125" style="96" customWidth="1"/>
    <col min="4346" max="4346" width="13" style="96" bestFit="1" customWidth="1"/>
    <col min="4347" max="4347" width="11.33203125" style="96" customWidth="1"/>
    <col min="4348" max="4348" width="12.33203125" style="96" customWidth="1"/>
    <col min="4349" max="4349" width="10.33203125" style="96" customWidth="1"/>
    <col min="4350" max="4350" width="10.1640625" style="96" customWidth="1"/>
    <col min="4351" max="4351" width="13" style="96" customWidth="1"/>
    <col min="4352" max="4352" width="12.5" style="96" customWidth="1"/>
    <col min="4353" max="4353" width="11.6640625" style="96" customWidth="1"/>
    <col min="4354" max="4354" width="11.33203125" style="96" customWidth="1"/>
    <col min="4355" max="4355" width="10.33203125" style="96" customWidth="1"/>
    <col min="4356" max="4356" width="12" style="96" customWidth="1"/>
    <col min="4357" max="4595" width="9.33203125" style="96"/>
    <col min="4596" max="4596" width="4.83203125" style="96" customWidth="1"/>
    <col min="4597" max="4597" width="27.33203125" style="96" customWidth="1"/>
    <col min="4598" max="4599" width="15.5" style="96" customWidth="1"/>
    <col min="4600" max="4600" width="13.6640625" style="96" customWidth="1"/>
    <col min="4601" max="4601" width="12.33203125" style="96" customWidth="1"/>
    <col min="4602" max="4602" width="13" style="96" bestFit="1" customWidth="1"/>
    <col min="4603" max="4603" width="11.33203125" style="96" customWidth="1"/>
    <col min="4604" max="4604" width="12.33203125" style="96" customWidth="1"/>
    <col min="4605" max="4605" width="10.33203125" style="96" customWidth="1"/>
    <col min="4606" max="4606" width="10.1640625" style="96" customWidth="1"/>
    <col min="4607" max="4607" width="13" style="96" customWidth="1"/>
    <col min="4608" max="4608" width="12.5" style="96" customWidth="1"/>
    <col min="4609" max="4609" width="11.6640625" style="96" customWidth="1"/>
    <col min="4610" max="4610" width="11.33203125" style="96" customWidth="1"/>
    <col min="4611" max="4611" width="10.33203125" style="96" customWidth="1"/>
    <col min="4612" max="4612" width="12" style="96" customWidth="1"/>
    <col min="4613" max="4851" width="9.33203125" style="96"/>
    <col min="4852" max="4852" width="4.83203125" style="96" customWidth="1"/>
    <col min="4853" max="4853" width="27.33203125" style="96" customWidth="1"/>
    <col min="4854" max="4855" width="15.5" style="96" customWidth="1"/>
    <col min="4856" max="4856" width="13.6640625" style="96" customWidth="1"/>
    <col min="4857" max="4857" width="12.33203125" style="96" customWidth="1"/>
    <col min="4858" max="4858" width="13" style="96" bestFit="1" customWidth="1"/>
    <col min="4859" max="4859" width="11.33203125" style="96" customWidth="1"/>
    <col min="4860" max="4860" width="12.33203125" style="96" customWidth="1"/>
    <col min="4861" max="4861" width="10.33203125" style="96" customWidth="1"/>
    <col min="4862" max="4862" width="10.1640625" style="96" customWidth="1"/>
    <col min="4863" max="4863" width="13" style="96" customWidth="1"/>
    <col min="4864" max="4864" width="12.5" style="96" customWidth="1"/>
    <col min="4865" max="4865" width="11.6640625" style="96" customWidth="1"/>
    <col min="4866" max="4866" width="11.33203125" style="96" customWidth="1"/>
    <col min="4867" max="4867" width="10.33203125" style="96" customWidth="1"/>
    <col min="4868" max="4868" width="12" style="96" customWidth="1"/>
    <col min="4869" max="5107" width="9.33203125" style="96"/>
    <col min="5108" max="5108" width="4.83203125" style="96" customWidth="1"/>
    <col min="5109" max="5109" width="27.33203125" style="96" customWidth="1"/>
    <col min="5110" max="5111" width="15.5" style="96" customWidth="1"/>
    <col min="5112" max="5112" width="13.6640625" style="96" customWidth="1"/>
    <col min="5113" max="5113" width="12.33203125" style="96" customWidth="1"/>
    <col min="5114" max="5114" width="13" style="96" bestFit="1" customWidth="1"/>
    <col min="5115" max="5115" width="11.33203125" style="96" customWidth="1"/>
    <col min="5116" max="5116" width="12.33203125" style="96" customWidth="1"/>
    <col min="5117" max="5117" width="10.33203125" style="96" customWidth="1"/>
    <col min="5118" max="5118" width="10.1640625" style="96" customWidth="1"/>
    <col min="5119" max="5119" width="13" style="96" customWidth="1"/>
    <col min="5120" max="5120" width="12.5" style="96" customWidth="1"/>
    <col min="5121" max="5121" width="11.6640625" style="96" customWidth="1"/>
    <col min="5122" max="5122" width="11.33203125" style="96" customWidth="1"/>
    <col min="5123" max="5123" width="10.33203125" style="96" customWidth="1"/>
    <col min="5124" max="5124" width="12" style="96" customWidth="1"/>
    <col min="5125" max="5363" width="9.33203125" style="96"/>
    <col min="5364" max="5364" width="4.83203125" style="96" customWidth="1"/>
    <col min="5365" max="5365" width="27.33203125" style="96" customWidth="1"/>
    <col min="5366" max="5367" width="15.5" style="96" customWidth="1"/>
    <col min="5368" max="5368" width="13.6640625" style="96" customWidth="1"/>
    <col min="5369" max="5369" width="12.33203125" style="96" customWidth="1"/>
    <col min="5370" max="5370" width="13" style="96" bestFit="1" customWidth="1"/>
    <col min="5371" max="5371" width="11.33203125" style="96" customWidth="1"/>
    <col min="5372" max="5372" width="12.33203125" style="96" customWidth="1"/>
    <col min="5373" max="5373" width="10.33203125" style="96" customWidth="1"/>
    <col min="5374" max="5374" width="10.1640625" style="96" customWidth="1"/>
    <col min="5375" max="5375" width="13" style="96" customWidth="1"/>
    <col min="5376" max="5376" width="12.5" style="96" customWidth="1"/>
    <col min="5377" max="5377" width="11.6640625" style="96" customWidth="1"/>
    <col min="5378" max="5378" width="11.33203125" style="96" customWidth="1"/>
    <col min="5379" max="5379" width="10.33203125" style="96" customWidth="1"/>
    <col min="5380" max="5380" width="12" style="96" customWidth="1"/>
    <col min="5381" max="5619" width="9.33203125" style="96"/>
    <col min="5620" max="5620" width="4.83203125" style="96" customWidth="1"/>
    <col min="5621" max="5621" width="27.33203125" style="96" customWidth="1"/>
    <col min="5622" max="5623" width="15.5" style="96" customWidth="1"/>
    <col min="5624" max="5624" width="13.6640625" style="96" customWidth="1"/>
    <col min="5625" max="5625" width="12.33203125" style="96" customWidth="1"/>
    <col min="5626" max="5626" width="13" style="96" bestFit="1" customWidth="1"/>
    <col min="5627" max="5627" width="11.33203125" style="96" customWidth="1"/>
    <col min="5628" max="5628" width="12.33203125" style="96" customWidth="1"/>
    <col min="5629" max="5629" width="10.33203125" style="96" customWidth="1"/>
    <col min="5630" max="5630" width="10.1640625" style="96" customWidth="1"/>
    <col min="5631" max="5631" width="13" style="96" customWidth="1"/>
    <col min="5632" max="5632" width="12.5" style="96" customWidth="1"/>
    <col min="5633" max="5633" width="11.6640625" style="96" customWidth="1"/>
    <col min="5634" max="5634" width="11.33203125" style="96" customWidth="1"/>
    <col min="5635" max="5635" width="10.33203125" style="96" customWidth="1"/>
    <col min="5636" max="5636" width="12" style="96" customWidth="1"/>
    <col min="5637" max="5875" width="9.33203125" style="96"/>
    <col min="5876" max="5876" width="4.83203125" style="96" customWidth="1"/>
    <col min="5877" max="5877" width="27.33203125" style="96" customWidth="1"/>
    <col min="5878" max="5879" width="15.5" style="96" customWidth="1"/>
    <col min="5880" max="5880" width="13.6640625" style="96" customWidth="1"/>
    <col min="5881" max="5881" width="12.33203125" style="96" customWidth="1"/>
    <col min="5882" max="5882" width="13" style="96" bestFit="1" customWidth="1"/>
    <col min="5883" max="5883" width="11.33203125" style="96" customWidth="1"/>
    <col min="5884" max="5884" width="12.33203125" style="96" customWidth="1"/>
    <col min="5885" max="5885" width="10.33203125" style="96" customWidth="1"/>
    <col min="5886" max="5886" width="10.1640625" style="96" customWidth="1"/>
    <col min="5887" max="5887" width="13" style="96" customWidth="1"/>
    <col min="5888" max="5888" width="12.5" style="96" customWidth="1"/>
    <col min="5889" max="5889" width="11.6640625" style="96" customWidth="1"/>
    <col min="5890" max="5890" width="11.33203125" style="96" customWidth="1"/>
    <col min="5891" max="5891" width="10.33203125" style="96" customWidth="1"/>
    <col min="5892" max="5892" width="12" style="96" customWidth="1"/>
    <col min="5893" max="6131" width="9.33203125" style="96"/>
    <col min="6132" max="6132" width="4.83203125" style="96" customWidth="1"/>
    <col min="6133" max="6133" width="27.33203125" style="96" customWidth="1"/>
    <col min="6134" max="6135" width="15.5" style="96" customWidth="1"/>
    <col min="6136" max="6136" width="13.6640625" style="96" customWidth="1"/>
    <col min="6137" max="6137" width="12.33203125" style="96" customWidth="1"/>
    <col min="6138" max="6138" width="13" style="96" bestFit="1" customWidth="1"/>
    <col min="6139" max="6139" width="11.33203125" style="96" customWidth="1"/>
    <col min="6140" max="6140" width="12.33203125" style="96" customWidth="1"/>
    <col min="6141" max="6141" width="10.33203125" style="96" customWidth="1"/>
    <col min="6142" max="6142" width="10.1640625" style="96" customWidth="1"/>
    <col min="6143" max="6143" width="13" style="96" customWidth="1"/>
    <col min="6144" max="6144" width="12.5" style="96" customWidth="1"/>
    <col min="6145" max="6145" width="11.6640625" style="96" customWidth="1"/>
    <col min="6146" max="6146" width="11.33203125" style="96" customWidth="1"/>
    <col min="6147" max="6147" width="10.33203125" style="96" customWidth="1"/>
    <col min="6148" max="6148" width="12" style="96" customWidth="1"/>
    <col min="6149" max="6387" width="9.33203125" style="96"/>
    <col min="6388" max="6388" width="4.83203125" style="96" customWidth="1"/>
    <col min="6389" max="6389" width="27.33203125" style="96" customWidth="1"/>
    <col min="6390" max="6391" width="15.5" style="96" customWidth="1"/>
    <col min="6392" max="6392" width="13.6640625" style="96" customWidth="1"/>
    <col min="6393" max="6393" width="12.33203125" style="96" customWidth="1"/>
    <col min="6394" max="6394" width="13" style="96" bestFit="1" customWidth="1"/>
    <col min="6395" max="6395" width="11.33203125" style="96" customWidth="1"/>
    <col min="6396" max="6396" width="12.33203125" style="96" customWidth="1"/>
    <col min="6397" max="6397" width="10.33203125" style="96" customWidth="1"/>
    <col min="6398" max="6398" width="10.1640625" style="96" customWidth="1"/>
    <col min="6399" max="6399" width="13" style="96" customWidth="1"/>
    <col min="6400" max="6400" width="12.5" style="96" customWidth="1"/>
    <col min="6401" max="6401" width="11.6640625" style="96" customWidth="1"/>
    <col min="6402" max="6402" width="11.33203125" style="96" customWidth="1"/>
    <col min="6403" max="6403" width="10.33203125" style="96" customWidth="1"/>
    <col min="6404" max="6404" width="12" style="96" customWidth="1"/>
    <col min="6405" max="6643" width="9.33203125" style="96"/>
    <col min="6644" max="6644" width="4.83203125" style="96" customWidth="1"/>
    <col min="6645" max="6645" width="27.33203125" style="96" customWidth="1"/>
    <col min="6646" max="6647" width="15.5" style="96" customWidth="1"/>
    <col min="6648" max="6648" width="13.6640625" style="96" customWidth="1"/>
    <col min="6649" max="6649" width="12.33203125" style="96" customWidth="1"/>
    <col min="6650" max="6650" width="13" style="96" bestFit="1" customWidth="1"/>
    <col min="6651" max="6651" width="11.33203125" style="96" customWidth="1"/>
    <col min="6652" max="6652" width="12.33203125" style="96" customWidth="1"/>
    <col min="6653" max="6653" width="10.33203125" style="96" customWidth="1"/>
    <col min="6654" max="6654" width="10.1640625" style="96" customWidth="1"/>
    <col min="6655" max="6655" width="13" style="96" customWidth="1"/>
    <col min="6656" max="6656" width="12.5" style="96" customWidth="1"/>
    <col min="6657" max="6657" width="11.6640625" style="96" customWidth="1"/>
    <col min="6658" max="6658" width="11.33203125" style="96" customWidth="1"/>
    <col min="6659" max="6659" width="10.33203125" style="96" customWidth="1"/>
    <col min="6660" max="6660" width="12" style="96" customWidth="1"/>
    <col min="6661" max="6899" width="9.33203125" style="96"/>
    <col min="6900" max="6900" width="4.83203125" style="96" customWidth="1"/>
    <col min="6901" max="6901" width="27.33203125" style="96" customWidth="1"/>
    <col min="6902" max="6903" width="15.5" style="96" customWidth="1"/>
    <col min="6904" max="6904" width="13.6640625" style="96" customWidth="1"/>
    <col min="6905" max="6905" width="12.33203125" style="96" customWidth="1"/>
    <col min="6906" max="6906" width="13" style="96" bestFit="1" customWidth="1"/>
    <col min="6907" max="6907" width="11.33203125" style="96" customWidth="1"/>
    <col min="6908" max="6908" width="12.33203125" style="96" customWidth="1"/>
    <col min="6909" max="6909" width="10.33203125" style="96" customWidth="1"/>
    <col min="6910" max="6910" width="10.1640625" style="96" customWidth="1"/>
    <col min="6911" max="6911" width="13" style="96" customWidth="1"/>
    <col min="6912" max="6912" width="12.5" style="96" customWidth="1"/>
    <col min="6913" max="6913" width="11.6640625" style="96" customWidth="1"/>
    <col min="6914" max="6914" width="11.33203125" style="96" customWidth="1"/>
    <col min="6915" max="6915" width="10.33203125" style="96" customWidth="1"/>
    <col min="6916" max="6916" width="12" style="96" customWidth="1"/>
    <col min="6917" max="7155" width="9.33203125" style="96"/>
    <col min="7156" max="7156" width="4.83203125" style="96" customWidth="1"/>
    <col min="7157" max="7157" width="27.33203125" style="96" customWidth="1"/>
    <col min="7158" max="7159" width="15.5" style="96" customWidth="1"/>
    <col min="7160" max="7160" width="13.6640625" style="96" customWidth="1"/>
    <col min="7161" max="7161" width="12.33203125" style="96" customWidth="1"/>
    <col min="7162" max="7162" width="13" style="96" bestFit="1" customWidth="1"/>
    <col min="7163" max="7163" width="11.33203125" style="96" customWidth="1"/>
    <col min="7164" max="7164" width="12.33203125" style="96" customWidth="1"/>
    <col min="7165" max="7165" width="10.33203125" style="96" customWidth="1"/>
    <col min="7166" max="7166" width="10.1640625" style="96" customWidth="1"/>
    <col min="7167" max="7167" width="13" style="96" customWidth="1"/>
    <col min="7168" max="7168" width="12.5" style="96" customWidth="1"/>
    <col min="7169" max="7169" width="11.6640625" style="96" customWidth="1"/>
    <col min="7170" max="7170" width="11.33203125" style="96" customWidth="1"/>
    <col min="7171" max="7171" width="10.33203125" style="96" customWidth="1"/>
    <col min="7172" max="7172" width="12" style="96" customWidth="1"/>
    <col min="7173" max="7411" width="9.33203125" style="96"/>
    <col min="7412" max="7412" width="4.83203125" style="96" customWidth="1"/>
    <col min="7413" max="7413" width="27.33203125" style="96" customWidth="1"/>
    <col min="7414" max="7415" width="15.5" style="96" customWidth="1"/>
    <col min="7416" max="7416" width="13.6640625" style="96" customWidth="1"/>
    <col min="7417" max="7417" width="12.33203125" style="96" customWidth="1"/>
    <col min="7418" max="7418" width="13" style="96" bestFit="1" customWidth="1"/>
    <col min="7419" max="7419" width="11.33203125" style="96" customWidth="1"/>
    <col min="7420" max="7420" width="12.33203125" style="96" customWidth="1"/>
    <col min="7421" max="7421" width="10.33203125" style="96" customWidth="1"/>
    <col min="7422" max="7422" width="10.1640625" style="96" customWidth="1"/>
    <col min="7423" max="7423" width="13" style="96" customWidth="1"/>
    <col min="7424" max="7424" width="12.5" style="96" customWidth="1"/>
    <col min="7425" max="7425" width="11.6640625" style="96" customWidth="1"/>
    <col min="7426" max="7426" width="11.33203125" style="96" customWidth="1"/>
    <col min="7427" max="7427" width="10.33203125" style="96" customWidth="1"/>
    <col min="7428" max="7428" width="12" style="96" customWidth="1"/>
    <col min="7429" max="7667" width="9.33203125" style="96"/>
    <col min="7668" max="7668" width="4.83203125" style="96" customWidth="1"/>
    <col min="7669" max="7669" width="27.33203125" style="96" customWidth="1"/>
    <col min="7670" max="7671" width="15.5" style="96" customWidth="1"/>
    <col min="7672" max="7672" width="13.6640625" style="96" customWidth="1"/>
    <col min="7673" max="7673" width="12.33203125" style="96" customWidth="1"/>
    <col min="7674" max="7674" width="13" style="96" bestFit="1" customWidth="1"/>
    <col min="7675" max="7675" width="11.33203125" style="96" customWidth="1"/>
    <col min="7676" max="7676" width="12.33203125" style="96" customWidth="1"/>
    <col min="7677" max="7677" width="10.33203125" style="96" customWidth="1"/>
    <col min="7678" max="7678" width="10.1640625" style="96" customWidth="1"/>
    <col min="7679" max="7679" width="13" style="96" customWidth="1"/>
    <col min="7680" max="7680" width="12.5" style="96" customWidth="1"/>
    <col min="7681" max="7681" width="11.6640625" style="96" customWidth="1"/>
    <col min="7682" max="7682" width="11.33203125" style="96" customWidth="1"/>
    <col min="7683" max="7683" width="10.33203125" style="96" customWidth="1"/>
    <col min="7684" max="7684" width="12" style="96" customWidth="1"/>
    <col min="7685" max="7923" width="9.33203125" style="96"/>
    <col min="7924" max="7924" width="4.83203125" style="96" customWidth="1"/>
    <col min="7925" max="7925" width="27.33203125" style="96" customWidth="1"/>
    <col min="7926" max="7927" width="15.5" style="96" customWidth="1"/>
    <col min="7928" max="7928" width="13.6640625" style="96" customWidth="1"/>
    <col min="7929" max="7929" width="12.33203125" style="96" customWidth="1"/>
    <col min="7930" max="7930" width="13" style="96" bestFit="1" customWidth="1"/>
    <col min="7931" max="7931" width="11.33203125" style="96" customWidth="1"/>
    <col min="7932" max="7932" width="12.33203125" style="96" customWidth="1"/>
    <col min="7933" max="7933" width="10.33203125" style="96" customWidth="1"/>
    <col min="7934" max="7934" width="10.1640625" style="96" customWidth="1"/>
    <col min="7935" max="7935" width="13" style="96" customWidth="1"/>
    <col min="7936" max="7936" width="12.5" style="96" customWidth="1"/>
    <col min="7937" max="7937" width="11.6640625" style="96" customWidth="1"/>
    <col min="7938" max="7938" width="11.33203125" style="96" customWidth="1"/>
    <col min="7939" max="7939" width="10.33203125" style="96" customWidth="1"/>
    <col min="7940" max="7940" width="12" style="96" customWidth="1"/>
    <col min="7941" max="8179" width="9.33203125" style="96"/>
    <col min="8180" max="8180" width="4.83203125" style="96" customWidth="1"/>
    <col min="8181" max="8181" width="27.33203125" style="96" customWidth="1"/>
    <col min="8182" max="8183" width="15.5" style="96" customWidth="1"/>
    <col min="8184" max="8184" width="13.6640625" style="96" customWidth="1"/>
    <col min="8185" max="8185" width="12.33203125" style="96" customWidth="1"/>
    <col min="8186" max="8186" width="13" style="96" bestFit="1" customWidth="1"/>
    <col min="8187" max="8187" width="11.33203125" style="96" customWidth="1"/>
    <col min="8188" max="8188" width="12.33203125" style="96" customWidth="1"/>
    <col min="8189" max="8189" width="10.33203125" style="96" customWidth="1"/>
    <col min="8190" max="8190" width="10.1640625" style="96" customWidth="1"/>
    <col min="8191" max="8191" width="13" style="96" customWidth="1"/>
    <col min="8192" max="8192" width="12.5" style="96" customWidth="1"/>
    <col min="8193" max="8193" width="11.6640625" style="96" customWidth="1"/>
    <col min="8194" max="8194" width="11.33203125" style="96" customWidth="1"/>
    <col min="8195" max="8195" width="10.33203125" style="96" customWidth="1"/>
    <col min="8196" max="8196" width="12" style="96" customWidth="1"/>
    <col min="8197" max="8435" width="9.33203125" style="96"/>
    <col min="8436" max="8436" width="4.83203125" style="96" customWidth="1"/>
    <col min="8437" max="8437" width="27.33203125" style="96" customWidth="1"/>
    <col min="8438" max="8439" width="15.5" style="96" customWidth="1"/>
    <col min="8440" max="8440" width="13.6640625" style="96" customWidth="1"/>
    <col min="8441" max="8441" width="12.33203125" style="96" customWidth="1"/>
    <col min="8442" max="8442" width="13" style="96" bestFit="1" customWidth="1"/>
    <col min="8443" max="8443" width="11.33203125" style="96" customWidth="1"/>
    <col min="8444" max="8444" width="12.33203125" style="96" customWidth="1"/>
    <col min="8445" max="8445" width="10.33203125" style="96" customWidth="1"/>
    <col min="8446" max="8446" width="10.1640625" style="96" customWidth="1"/>
    <col min="8447" max="8447" width="13" style="96" customWidth="1"/>
    <col min="8448" max="8448" width="12.5" style="96" customWidth="1"/>
    <col min="8449" max="8449" width="11.6640625" style="96" customWidth="1"/>
    <col min="8450" max="8450" width="11.33203125" style="96" customWidth="1"/>
    <col min="8451" max="8451" width="10.33203125" style="96" customWidth="1"/>
    <col min="8452" max="8452" width="12" style="96" customWidth="1"/>
    <col min="8453" max="8691" width="9.33203125" style="96"/>
    <col min="8692" max="8692" width="4.83203125" style="96" customWidth="1"/>
    <col min="8693" max="8693" width="27.33203125" style="96" customWidth="1"/>
    <col min="8694" max="8695" width="15.5" style="96" customWidth="1"/>
    <col min="8696" max="8696" width="13.6640625" style="96" customWidth="1"/>
    <col min="8697" max="8697" width="12.33203125" style="96" customWidth="1"/>
    <col min="8698" max="8698" width="13" style="96" bestFit="1" customWidth="1"/>
    <col min="8699" max="8699" width="11.33203125" style="96" customWidth="1"/>
    <col min="8700" max="8700" width="12.33203125" style="96" customWidth="1"/>
    <col min="8701" max="8701" width="10.33203125" style="96" customWidth="1"/>
    <col min="8702" max="8702" width="10.1640625" style="96" customWidth="1"/>
    <col min="8703" max="8703" width="13" style="96" customWidth="1"/>
    <col min="8704" max="8704" width="12.5" style="96" customWidth="1"/>
    <col min="8705" max="8705" width="11.6640625" style="96" customWidth="1"/>
    <col min="8706" max="8706" width="11.33203125" style="96" customWidth="1"/>
    <col min="8707" max="8707" width="10.33203125" style="96" customWidth="1"/>
    <col min="8708" max="8708" width="12" style="96" customWidth="1"/>
    <col min="8709" max="8947" width="9.33203125" style="96"/>
    <col min="8948" max="8948" width="4.83203125" style="96" customWidth="1"/>
    <col min="8949" max="8949" width="27.33203125" style="96" customWidth="1"/>
    <col min="8950" max="8951" width="15.5" style="96" customWidth="1"/>
    <col min="8952" max="8952" width="13.6640625" style="96" customWidth="1"/>
    <col min="8953" max="8953" width="12.33203125" style="96" customWidth="1"/>
    <col min="8954" max="8954" width="13" style="96" bestFit="1" customWidth="1"/>
    <col min="8955" max="8955" width="11.33203125" style="96" customWidth="1"/>
    <col min="8956" max="8956" width="12.33203125" style="96" customWidth="1"/>
    <col min="8957" max="8957" width="10.33203125" style="96" customWidth="1"/>
    <col min="8958" max="8958" width="10.1640625" style="96" customWidth="1"/>
    <col min="8959" max="8959" width="13" style="96" customWidth="1"/>
    <col min="8960" max="8960" width="12.5" style="96" customWidth="1"/>
    <col min="8961" max="8961" width="11.6640625" style="96" customWidth="1"/>
    <col min="8962" max="8962" width="11.33203125" style="96" customWidth="1"/>
    <col min="8963" max="8963" width="10.33203125" style="96" customWidth="1"/>
    <col min="8964" max="8964" width="12" style="96" customWidth="1"/>
    <col min="8965" max="9203" width="9.33203125" style="96"/>
    <col min="9204" max="9204" width="4.83203125" style="96" customWidth="1"/>
    <col min="9205" max="9205" width="27.33203125" style="96" customWidth="1"/>
    <col min="9206" max="9207" width="15.5" style="96" customWidth="1"/>
    <col min="9208" max="9208" width="13.6640625" style="96" customWidth="1"/>
    <col min="9209" max="9209" width="12.33203125" style="96" customWidth="1"/>
    <col min="9210" max="9210" width="13" style="96" bestFit="1" customWidth="1"/>
    <col min="9211" max="9211" width="11.33203125" style="96" customWidth="1"/>
    <col min="9212" max="9212" width="12.33203125" style="96" customWidth="1"/>
    <col min="9213" max="9213" width="10.33203125" style="96" customWidth="1"/>
    <col min="9214" max="9214" width="10.1640625" style="96" customWidth="1"/>
    <col min="9215" max="9215" width="13" style="96" customWidth="1"/>
    <col min="9216" max="9216" width="12.5" style="96" customWidth="1"/>
    <col min="9217" max="9217" width="11.6640625" style="96" customWidth="1"/>
    <col min="9218" max="9218" width="11.33203125" style="96" customWidth="1"/>
    <col min="9219" max="9219" width="10.33203125" style="96" customWidth="1"/>
    <col min="9220" max="9220" width="12" style="96" customWidth="1"/>
    <col min="9221" max="9459" width="9.33203125" style="96"/>
    <col min="9460" max="9460" width="4.83203125" style="96" customWidth="1"/>
    <col min="9461" max="9461" width="27.33203125" style="96" customWidth="1"/>
    <col min="9462" max="9463" width="15.5" style="96" customWidth="1"/>
    <col min="9464" max="9464" width="13.6640625" style="96" customWidth="1"/>
    <col min="9465" max="9465" width="12.33203125" style="96" customWidth="1"/>
    <col min="9466" max="9466" width="13" style="96" bestFit="1" customWidth="1"/>
    <col min="9467" max="9467" width="11.33203125" style="96" customWidth="1"/>
    <col min="9468" max="9468" width="12.33203125" style="96" customWidth="1"/>
    <col min="9469" max="9469" width="10.33203125" style="96" customWidth="1"/>
    <col min="9470" max="9470" width="10.1640625" style="96" customWidth="1"/>
    <col min="9471" max="9471" width="13" style="96" customWidth="1"/>
    <col min="9472" max="9472" width="12.5" style="96" customWidth="1"/>
    <col min="9473" max="9473" width="11.6640625" style="96" customWidth="1"/>
    <col min="9474" max="9474" width="11.33203125" style="96" customWidth="1"/>
    <col min="9475" max="9475" width="10.33203125" style="96" customWidth="1"/>
    <col min="9476" max="9476" width="12" style="96" customWidth="1"/>
    <col min="9477" max="9715" width="9.33203125" style="96"/>
    <col min="9716" max="9716" width="4.83203125" style="96" customWidth="1"/>
    <col min="9717" max="9717" width="27.33203125" style="96" customWidth="1"/>
    <col min="9718" max="9719" width="15.5" style="96" customWidth="1"/>
    <col min="9720" max="9720" width="13.6640625" style="96" customWidth="1"/>
    <col min="9721" max="9721" width="12.33203125" style="96" customWidth="1"/>
    <col min="9722" max="9722" width="13" style="96" bestFit="1" customWidth="1"/>
    <col min="9723" max="9723" width="11.33203125" style="96" customWidth="1"/>
    <col min="9724" max="9724" width="12.33203125" style="96" customWidth="1"/>
    <col min="9725" max="9725" width="10.33203125" style="96" customWidth="1"/>
    <col min="9726" max="9726" width="10.1640625" style="96" customWidth="1"/>
    <col min="9727" max="9727" width="13" style="96" customWidth="1"/>
    <col min="9728" max="9728" width="12.5" style="96" customWidth="1"/>
    <col min="9729" max="9729" width="11.6640625" style="96" customWidth="1"/>
    <col min="9730" max="9730" width="11.33203125" style="96" customWidth="1"/>
    <col min="9731" max="9731" width="10.33203125" style="96" customWidth="1"/>
    <col min="9732" max="9732" width="12" style="96" customWidth="1"/>
    <col min="9733" max="9971" width="9.33203125" style="96"/>
    <col min="9972" max="9972" width="4.83203125" style="96" customWidth="1"/>
    <col min="9973" max="9973" width="27.33203125" style="96" customWidth="1"/>
    <col min="9974" max="9975" width="15.5" style="96" customWidth="1"/>
    <col min="9976" max="9976" width="13.6640625" style="96" customWidth="1"/>
    <col min="9977" max="9977" width="12.33203125" style="96" customWidth="1"/>
    <col min="9978" max="9978" width="13" style="96" bestFit="1" customWidth="1"/>
    <col min="9979" max="9979" width="11.33203125" style="96" customWidth="1"/>
    <col min="9980" max="9980" width="12.33203125" style="96" customWidth="1"/>
    <col min="9981" max="9981" width="10.33203125" style="96" customWidth="1"/>
    <col min="9982" max="9982" width="10.1640625" style="96" customWidth="1"/>
    <col min="9983" max="9983" width="13" style="96" customWidth="1"/>
    <col min="9984" max="9984" width="12.5" style="96" customWidth="1"/>
    <col min="9985" max="9985" width="11.6640625" style="96" customWidth="1"/>
    <col min="9986" max="9986" width="11.33203125" style="96" customWidth="1"/>
    <col min="9987" max="9987" width="10.33203125" style="96" customWidth="1"/>
    <col min="9988" max="9988" width="12" style="96" customWidth="1"/>
    <col min="9989" max="10227" width="9.33203125" style="96"/>
    <col min="10228" max="10228" width="4.83203125" style="96" customWidth="1"/>
    <col min="10229" max="10229" width="27.33203125" style="96" customWidth="1"/>
    <col min="10230" max="10231" width="15.5" style="96" customWidth="1"/>
    <col min="10232" max="10232" width="13.6640625" style="96" customWidth="1"/>
    <col min="10233" max="10233" width="12.33203125" style="96" customWidth="1"/>
    <col min="10234" max="10234" width="13" style="96" bestFit="1" customWidth="1"/>
    <col min="10235" max="10235" width="11.33203125" style="96" customWidth="1"/>
    <col min="10236" max="10236" width="12.33203125" style="96" customWidth="1"/>
    <col min="10237" max="10237" width="10.33203125" style="96" customWidth="1"/>
    <col min="10238" max="10238" width="10.1640625" style="96" customWidth="1"/>
    <col min="10239" max="10239" width="13" style="96" customWidth="1"/>
    <col min="10240" max="10240" width="12.5" style="96" customWidth="1"/>
    <col min="10241" max="10241" width="11.6640625" style="96" customWidth="1"/>
    <col min="10242" max="10242" width="11.33203125" style="96" customWidth="1"/>
    <col min="10243" max="10243" width="10.33203125" style="96" customWidth="1"/>
    <col min="10244" max="10244" width="12" style="96" customWidth="1"/>
    <col min="10245" max="10483" width="9.33203125" style="96"/>
    <col min="10484" max="10484" width="4.83203125" style="96" customWidth="1"/>
    <col min="10485" max="10485" width="27.33203125" style="96" customWidth="1"/>
    <col min="10486" max="10487" width="15.5" style="96" customWidth="1"/>
    <col min="10488" max="10488" width="13.6640625" style="96" customWidth="1"/>
    <col min="10489" max="10489" width="12.33203125" style="96" customWidth="1"/>
    <col min="10490" max="10490" width="13" style="96" bestFit="1" customWidth="1"/>
    <col min="10491" max="10491" width="11.33203125" style="96" customWidth="1"/>
    <col min="10492" max="10492" width="12.33203125" style="96" customWidth="1"/>
    <col min="10493" max="10493" width="10.33203125" style="96" customWidth="1"/>
    <col min="10494" max="10494" width="10.1640625" style="96" customWidth="1"/>
    <col min="10495" max="10495" width="13" style="96" customWidth="1"/>
    <col min="10496" max="10496" width="12.5" style="96" customWidth="1"/>
    <col min="10497" max="10497" width="11.6640625" style="96" customWidth="1"/>
    <col min="10498" max="10498" width="11.33203125" style="96" customWidth="1"/>
    <col min="10499" max="10499" width="10.33203125" style="96" customWidth="1"/>
    <col min="10500" max="10500" width="12" style="96" customWidth="1"/>
    <col min="10501" max="10739" width="9.33203125" style="96"/>
    <col min="10740" max="10740" width="4.83203125" style="96" customWidth="1"/>
    <col min="10741" max="10741" width="27.33203125" style="96" customWidth="1"/>
    <col min="10742" max="10743" width="15.5" style="96" customWidth="1"/>
    <col min="10744" max="10744" width="13.6640625" style="96" customWidth="1"/>
    <col min="10745" max="10745" width="12.33203125" style="96" customWidth="1"/>
    <col min="10746" max="10746" width="13" style="96" bestFit="1" customWidth="1"/>
    <col min="10747" max="10747" width="11.33203125" style="96" customWidth="1"/>
    <col min="10748" max="10748" width="12.33203125" style="96" customWidth="1"/>
    <col min="10749" max="10749" width="10.33203125" style="96" customWidth="1"/>
    <col min="10750" max="10750" width="10.1640625" style="96" customWidth="1"/>
    <col min="10751" max="10751" width="13" style="96" customWidth="1"/>
    <col min="10752" max="10752" width="12.5" style="96" customWidth="1"/>
    <col min="10753" max="10753" width="11.6640625" style="96" customWidth="1"/>
    <col min="10754" max="10754" width="11.33203125" style="96" customWidth="1"/>
    <col min="10755" max="10755" width="10.33203125" style="96" customWidth="1"/>
    <col min="10756" max="10756" width="12" style="96" customWidth="1"/>
    <col min="10757" max="10995" width="9.33203125" style="96"/>
    <col min="10996" max="10996" width="4.83203125" style="96" customWidth="1"/>
    <col min="10997" max="10997" width="27.33203125" style="96" customWidth="1"/>
    <col min="10998" max="10999" width="15.5" style="96" customWidth="1"/>
    <col min="11000" max="11000" width="13.6640625" style="96" customWidth="1"/>
    <col min="11001" max="11001" width="12.33203125" style="96" customWidth="1"/>
    <col min="11002" max="11002" width="13" style="96" bestFit="1" customWidth="1"/>
    <col min="11003" max="11003" width="11.33203125" style="96" customWidth="1"/>
    <col min="11004" max="11004" width="12.33203125" style="96" customWidth="1"/>
    <col min="11005" max="11005" width="10.33203125" style="96" customWidth="1"/>
    <col min="11006" max="11006" width="10.1640625" style="96" customWidth="1"/>
    <col min="11007" max="11007" width="13" style="96" customWidth="1"/>
    <col min="11008" max="11008" width="12.5" style="96" customWidth="1"/>
    <col min="11009" max="11009" width="11.6640625" style="96" customWidth="1"/>
    <col min="11010" max="11010" width="11.33203125" style="96" customWidth="1"/>
    <col min="11011" max="11011" width="10.33203125" style="96" customWidth="1"/>
    <col min="11012" max="11012" width="12" style="96" customWidth="1"/>
    <col min="11013" max="11251" width="9.33203125" style="96"/>
    <col min="11252" max="11252" width="4.83203125" style="96" customWidth="1"/>
    <col min="11253" max="11253" width="27.33203125" style="96" customWidth="1"/>
    <col min="11254" max="11255" width="15.5" style="96" customWidth="1"/>
    <col min="11256" max="11256" width="13.6640625" style="96" customWidth="1"/>
    <col min="11257" max="11257" width="12.33203125" style="96" customWidth="1"/>
    <col min="11258" max="11258" width="13" style="96" bestFit="1" customWidth="1"/>
    <col min="11259" max="11259" width="11.33203125" style="96" customWidth="1"/>
    <col min="11260" max="11260" width="12.33203125" style="96" customWidth="1"/>
    <col min="11261" max="11261" width="10.33203125" style="96" customWidth="1"/>
    <col min="11262" max="11262" width="10.1640625" style="96" customWidth="1"/>
    <col min="11263" max="11263" width="13" style="96" customWidth="1"/>
    <col min="11264" max="11264" width="12.5" style="96" customWidth="1"/>
    <col min="11265" max="11265" width="11.6640625" style="96" customWidth="1"/>
    <col min="11266" max="11266" width="11.33203125" style="96" customWidth="1"/>
    <col min="11267" max="11267" width="10.33203125" style="96" customWidth="1"/>
    <col min="11268" max="11268" width="12" style="96" customWidth="1"/>
    <col min="11269" max="11507" width="9.33203125" style="96"/>
    <col min="11508" max="11508" width="4.83203125" style="96" customWidth="1"/>
    <col min="11509" max="11509" width="27.33203125" style="96" customWidth="1"/>
    <col min="11510" max="11511" width="15.5" style="96" customWidth="1"/>
    <col min="11512" max="11512" width="13.6640625" style="96" customWidth="1"/>
    <col min="11513" max="11513" width="12.33203125" style="96" customWidth="1"/>
    <col min="11514" max="11514" width="13" style="96" bestFit="1" customWidth="1"/>
    <col min="11515" max="11515" width="11.33203125" style="96" customWidth="1"/>
    <col min="11516" max="11516" width="12.33203125" style="96" customWidth="1"/>
    <col min="11517" max="11517" width="10.33203125" style="96" customWidth="1"/>
    <col min="11518" max="11518" width="10.1640625" style="96" customWidth="1"/>
    <col min="11519" max="11519" width="13" style="96" customWidth="1"/>
    <col min="11520" max="11520" width="12.5" style="96" customWidth="1"/>
    <col min="11521" max="11521" width="11.6640625" style="96" customWidth="1"/>
    <col min="11522" max="11522" width="11.33203125" style="96" customWidth="1"/>
    <col min="11523" max="11523" width="10.33203125" style="96" customWidth="1"/>
    <col min="11524" max="11524" width="12" style="96" customWidth="1"/>
    <col min="11525" max="11763" width="9.33203125" style="96"/>
    <col min="11764" max="11764" width="4.83203125" style="96" customWidth="1"/>
    <col min="11765" max="11765" width="27.33203125" style="96" customWidth="1"/>
    <col min="11766" max="11767" width="15.5" style="96" customWidth="1"/>
    <col min="11768" max="11768" width="13.6640625" style="96" customWidth="1"/>
    <col min="11769" max="11769" width="12.33203125" style="96" customWidth="1"/>
    <col min="11770" max="11770" width="13" style="96" bestFit="1" customWidth="1"/>
    <col min="11771" max="11771" width="11.33203125" style="96" customWidth="1"/>
    <col min="11772" max="11772" width="12.33203125" style="96" customWidth="1"/>
    <col min="11773" max="11773" width="10.33203125" style="96" customWidth="1"/>
    <col min="11774" max="11774" width="10.1640625" style="96" customWidth="1"/>
    <col min="11775" max="11775" width="13" style="96" customWidth="1"/>
    <col min="11776" max="11776" width="12.5" style="96" customWidth="1"/>
    <col min="11777" max="11777" width="11.6640625" style="96" customWidth="1"/>
    <col min="11778" max="11778" width="11.33203125" style="96" customWidth="1"/>
    <col min="11779" max="11779" width="10.33203125" style="96" customWidth="1"/>
    <col min="11780" max="11780" width="12" style="96" customWidth="1"/>
    <col min="11781" max="12019" width="9.33203125" style="96"/>
    <col min="12020" max="12020" width="4.83203125" style="96" customWidth="1"/>
    <col min="12021" max="12021" width="27.33203125" style="96" customWidth="1"/>
    <col min="12022" max="12023" width="15.5" style="96" customWidth="1"/>
    <col min="12024" max="12024" width="13.6640625" style="96" customWidth="1"/>
    <col min="12025" max="12025" width="12.33203125" style="96" customWidth="1"/>
    <col min="12026" max="12026" width="13" style="96" bestFit="1" customWidth="1"/>
    <col min="12027" max="12027" width="11.33203125" style="96" customWidth="1"/>
    <col min="12028" max="12028" width="12.33203125" style="96" customWidth="1"/>
    <col min="12029" max="12029" width="10.33203125" style="96" customWidth="1"/>
    <col min="12030" max="12030" width="10.1640625" style="96" customWidth="1"/>
    <col min="12031" max="12031" width="13" style="96" customWidth="1"/>
    <col min="12032" max="12032" width="12.5" style="96" customWidth="1"/>
    <col min="12033" max="12033" width="11.6640625" style="96" customWidth="1"/>
    <col min="12034" max="12034" width="11.33203125" style="96" customWidth="1"/>
    <col min="12035" max="12035" width="10.33203125" style="96" customWidth="1"/>
    <col min="12036" max="12036" width="12" style="96" customWidth="1"/>
    <col min="12037" max="12275" width="9.33203125" style="96"/>
    <col min="12276" max="12276" width="4.83203125" style="96" customWidth="1"/>
    <col min="12277" max="12277" width="27.33203125" style="96" customWidth="1"/>
    <col min="12278" max="12279" width="15.5" style="96" customWidth="1"/>
    <col min="12280" max="12280" width="13.6640625" style="96" customWidth="1"/>
    <col min="12281" max="12281" width="12.33203125" style="96" customWidth="1"/>
    <col min="12282" max="12282" width="13" style="96" bestFit="1" customWidth="1"/>
    <col min="12283" max="12283" width="11.33203125" style="96" customWidth="1"/>
    <col min="12284" max="12284" width="12.33203125" style="96" customWidth="1"/>
    <col min="12285" max="12285" width="10.33203125" style="96" customWidth="1"/>
    <col min="12286" max="12286" width="10.1640625" style="96" customWidth="1"/>
    <col min="12287" max="12287" width="13" style="96" customWidth="1"/>
    <col min="12288" max="12288" width="12.5" style="96" customWidth="1"/>
    <col min="12289" max="12289" width="11.6640625" style="96" customWidth="1"/>
    <col min="12290" max="12290" width="11.33203125" style="96" customWidth="1"/>
    <col min="12291" max="12291" width="10.33203125" style="96" customWidth="1"/>
    <col min="12292" max="12292" width="12" style="96" customWidth="1"/>
    <col min="12293" max="12531" width="9.33203125" style="96"/>
    <col min="12532" max="12532" width="4.83203125" style="96" customWidth="1"/>
    <col min="12533" max="12533" width="27.33203125" style="96" customWidth="1"/>
    <col min="12534" max="12535" width="15.5" style="96" customWidth="1"/>
    <col min="12536" max="12536" width="13.6640625" style="96" customWidth="1"/>
    <col min="12537" max="12537" width="12.33203125" style="96" customWidth="1"/>
    <col min="12538" max="12538" width="13" style="96" bestFit="1" customWidth="1"/>
    <col min="12539" max="12539" width="11.33203125" style="96" customWidth="1"/>
    <col min="12540" max="12540" width="12.33203125" style="96" customWidth="1"/>
    <col min="12541" max="12541" width="10.33203125" style="96" customWidth="1"/>
    <col min="12542" max="12542" width="10.1640625" style="96" customWidth="1"/>
    <col min="12543" max="12543" width="13" style="96" customWidth="1"/>
    <col min="12544" max="12544" width="12.5" style="96" customWidth="1"/>
    <col min="12545" max="12545" width="11.6640625" style="96" customWidth="1"/>
    <col min="12546" max="12546" width="11.33203125" style="96" customWidth="1"/>
    <col min="12547" max="12547" width="10.33203125" style="96" customWidth="1"/>
    <col min="12548" max="12548" width="12" style="96" customWidth="1"/>
    <col min="12549" max="12787" width="9.33203125" style="96"/>
    <col min="12788" max="12788" width="4.83203125" style="96" customWidth="1"/>
    <col min="12789" max="12789" width="27.33203125" style="96" customWidth="1"/>
    <col min="12790" max="12791" width="15.5" style="96" customWidth="1"/>
    <col min="12792" max="12792" width="13.6640625" style="96" customWidth="1"/>
    <col min="12793" max="12793" width="12.33203125" style="96" customWidth="1"/>
    <col min="12794" max="12794" width="13" style="96" bestFit="1" customWidth="1"/>
    <col min="12795" max="12795" width="11.33203125" style="96" customWidth="1"/>
    <col min="12796" max="12796" width="12.33203125" style="96" customWidth="1"/>
    <col min="12797" max="12797" width="10.33203125" style="96" customWidth="1"/>
    <col min="12798" max="12798" width="10.1640625" style="96" customWidth="1"/>
    <col min="12799" max="12799" width="13" style="96" customWidth="1"/>
    <col min="12800" max="12800" width="12.5" style="96" customWidth="1"/>
    <col min="12801" max="12801" width="11.6640625" style="96" customWidth="1"/>
    <col min="12802" max="12802" width="11.33203125" style="96" customWidth="1"/>
    <col min="12803" max="12803" width="10.33203125" style="96" customWidth="1"/>
    <col min="12804" max="12804" width="12" style="96" customWidth="1"/>
    <col min="12805" max="13043" width="9.33203125" style="96"/>
    <col min="13044" max="13044" width="4.83203125" style="96" customWidth="1"/>
    <col min="13045" max="13045" width="27.33203125" style="96" customWidth="1"/>
    <col min="13046" max="13047" width="15.5" style="96" customWidth="1"/>
    <col min="13048" max="13048" width="13.6640625" style="96" customWidth="1"/>
    <col min="13049" max="13049" width="12.33203125" style="96" customWidth="1"/>
    <col min="13050" max="13050" width="13" style="96" bestFit="1" customWidth="1"/>
    <col min="13051" max="13051" width="11.33203125" style="96" customWidth="1"/>
    <col min="13052" max="13052" width="12.33203125" style="96" customWidth="1"/>
    <col min="13053" max="13053" width="10.33203125" style="96" customWidth="1"/>
    <col min="13054" max="13054" width="10.1640625" style="96" customWidth="1"/>
    <col min="13055" max="13055" width="13" style="96" customWidth="1"/>
    <col min="13056" max="13056" width="12.5" style="96" customWidth="1"/>
    <col min="13057" max="13057" width="11.6640625" style="96" customWidth="1"/>
    <col min="13058" max="13058" width="11.33203125" style="96" customWidth="1"/>
    <col min="13059" max="13059" width="10.33203125" style="96" customWidth="1"/>
    <col min="13060" max="13060" width="12" style="96" customWidth="1"/>
    <col min="13061" max="13299" width="9.33203125" style="96"/>
    <col min="13300" max="13300" width="4.83203125" style="96" customWidth="1"/>
    <col min="13301" max="13301" width="27.33203125" style="96" customWidth="1"/>
    <col min="13302" max="13303" width="15.5" style="96" customWidth="1"/>
    <col min="13304" max="13304" width="13.6640625" style="96" customWidth="1"/>
    <col min="13305" max="13305" width="12.33203125" style="96" customWidth="1"/>
    <col min="13306" max="13306" width="13" style="96" bestFit="1" customWidth="1"/>
    <col min="13307" max="13307" width="11.33203125" style="96" customWidth="1"/>
    <col min="13308" max="13308" width="12.33203125" style="96" customWidth="1"/>
    <col min="13309" max="13309" width="10.33203125" style="96" customWidth="1"/>
    <col min="13310" max="13310" width="10.1640625" style="96" customWidth="1"/>
    <col min="13311" max="13311" width="13" style="96" customWidth="1"/>
    <col min="13312" max="13312" width="12.5" style="96" customWidth="1"/>
    <col min="13313" max="13313" width="11.6640625" style="96" customWidth="1"/>
    <col min="13314" max="13314" width="11.33203125" style="96" customWidth="1"/>
    <col min="13315" max="13315" width="10.33203125" style="96" customWidth="1"/>
    <col min="13316" max="13316" width="12" style="96" customWidth="1"/>
    <col min="13317" max="13555" width="9.33203125" style="96"/>
    <col min="13556" max="13556" width="4.83203125" style="96" customWidth="1"/>
    <col min="13557" max="13557" width="27.33203125" style="96" customWidth="1"/>
    <col min="13558" max="13559" width="15.5" style="96" customWidth="1"/>
    <col min="13560" max="13560" width="13.6640625" style="96" customWidth="1"/>
    <col min="13561" max="13561" width="12.33203125" style="96" customWidth="1"/>
    <col min="13562" max="13562" width="13" style="96" bestFit="1" customWidth="1"/>
    <col min="13563" max="13563" width="11.33203125" style="96" customWidth="1"/>
    <col min="13564" max="13564" width="12.33203125" style="96" customWidth="1"/>
    <col min="13565" max="13565" width="10.33203125" style="96" customWidth="1"/>
    <col min="13566" max="13566" width="10.1640625" style="96" customWidth="1"/>
    <col min="13567" max="13567" width="13" style="96" customWidth="1"/>
    <col min="13568" max="13568" width="12.5" style="96" customWidth="1"/>
    <col min="13569" max="13569" width="11.6640625" style="96" customWidth="1"/>
    <col min="13570" max="13570" width="11.33203125" style="96" customWidth="1"/>
    <col min="13571" max="13571" width="10.33203125" style="96" customWidth="1"/>
    <col min="13572" max="13572" width="12" style="96" customWidth="1"/>
    <col min="13573" max="13811" width="9.33203125" style="96"/>
    <col min="13812" max="13812" width="4.83203125" style="96" customWidth="1"/>
    <col min="13813" max="13813" width="27.33203125" style="96" customWidth="1"/>
    <col min="13814" max="13815" width="15.5" style="96" customWidth="1"/>
    <col min="13816" max="13816" width="13.6640625" style="96" customWidth="1"/>
    <col min="13817" max="13817" width="12.33203125" style="96" customWidth="1"/>
    <col min="13818" max="13818" width="13" style="96" bestFit="1" customWidth="1"/>
    <col min="13819" max="13819" width="11.33203125" style="96" customWidth="1"/>
    <col min="13820" max="13820" width="12.33203125" style="96" customWidth="1"/>
    <col min="13821" max="13821" width="10.33203125" style="96" customWidth="1"/>
    <col min="13822" max="13822" width="10.1640625" style="96" customWidth="1"/>
    <col min="13823" max="13823" width="13" style="96" customWidth="1"/>
    <col min="13824" max="13824" width="12.5" style="96" customWidth="1"/>
    <col min="13825" max="13825" width="11.6640625" style="96" customWidth="1"/>
    <col min="13826" max="13826" width="11.33203125" style="96" customWidth="1"/>
    <col min="13827" max="13827" width="10.33203125" style="96" customWidth="1"/>
    <col min="13828" max="13828" width="12" style="96" customWidth="1"/>
    <col min="13829" max="14067" width="9.33203125" style="96"/>
    <col min="14068" max="14068" width="4.83203125" style="96" customWidth="1"/>
    <col min="14069" max="14069" width="27.33203125" style="96" customWidth="1"/>
    <col min="14070" max="14071" width="15.5" style="96" customWidth="1"/>
    <col min="14072" max="14072" width="13.6640625" style="96" customWidth="1"/>
    <col min="14073" max="14073" width="12.33203125" style="96" customWidth="1"/>
    <col min="14074" max="14074" width="13" style="96" bestFit="1" customWidth="1"/>
    <col min="14075" max="14075" width="11.33203125" style="96" customWidth="1"/>
    <col min="14076" max="14076" width="12.33203125" style="96" customWidth="1"/>
    <col min="14077" max="14077" width="10.33203125" style="96" customWidth="1"/>
    <col min="14078" max="14078" width="10.1640625" style="96" customWidth="1"/>
    <col min="14079" max="14079" width="13" style="96" customWidth="1"/>
    <col min="14080" max="14080" width="12.5" style="96" customWidth="1"/>
    <col min="14081" max="14081" width="11.6640625" style="96" customWidth="1"/>
    <col min="14082" max="14082" width="11.33203125" style="96" customWidth="1"/>
    <col min="14083" max="14083" width="10.33203125" style="96" customWidth="1"/>
    <col min="14084" max="14084" width="12" style="96" customWidth="1"/>
    <col min="14085" max="14323" width="9.33203125" style="96"/>
    <col min="14324" max="14324" width="4.83203125" style="96" customWidth="1"/>
    <col min="14325" max="14325" width="27.33203125" style="96" customWidth="1"/>
    <col min="14326" max="14327" width="15.5" style="96" customWidth="1"/>
    <col min="14328" max="14328" width="13.6640625" style="96" customWidth="1"/>
    <col min="14329" max="14329" width="12.33203125" style="96" customWidth="1"/>
    <col min="14330" max="14330" width="13" style="96" bestFit="1" customWidth="1"/>
    <col min="14331" max="14331" width="11.33203125" style="96" customWidth="1"/>
    <col min="14332" max="14332" width="12.33203125" style="96" customWidth="1"/>
    <col min="14333" max="14333" width="10.33203125" style="96" customWidth="1"/>
    <col min="14334" max="14334" width="10.1640625" style="96" customWidth="1"/>
    <col min="14335" max="14335" width="13" style="96" customWidth="1"/>
    <col min="14336" max="14336" width="12.5" style="96" customWidth="1"/>
    <col min="14337" max="14337" width="11.6640625" style="96" customWidth="1"/>
    <col min="14338" max="14338" width="11.33203125" style="96" customWidth="1"/>
    <col min="14339" max="14339" width="10.33203125" style="96" customWidth="1"/>
    <col min="14340" max="14340" width="12" style="96" customWidth="1"/>
    <col min="14341" max="14579" width="9.33203125" style="96"/>
    <col min="14580" max="14580" width="4.83203125" style="96" customWidth="1"/>
    <col min="14581" max="14581" width="27.33203125" style="96" customWidth="1"/>
    <col min="14582" max="14583" width="15.5" style="96" customWidth="1"/>
    <col min="14584" max="14584" width="13.6640625" style="96" customWidth="1"/>
    <col min="14585" max="14585" width="12.33203125" style="96" customWidth="1"/>
    <col min="14586" max="14586" width="13" style="96" bestFit="1" customWidth="1"/>
    <col min="14587" max="14587" width="11.33203125" style="96" customWidth="1"/>
    <col min="14588" max="14588" width="12.33203125" style="96" customWidth="1"/>
    <col min="14589" max="14589" width="10.33203125" style="96" customWidth="1"/>
    <col min="14590" max="14590" width="10.1640625" style="96" customWidth="1"/>
    <col min="14591" max="14591" width="13" style="96" customWidth="1"/>
    <col min="14592" max="14592" width="12.5" style="96" customWidth="1"/>
    <col min="14593" max="14593" width="11.6640625" style="96" customWidth="1"/>
    <col min="14594" max="14594" width="11.33203125" style="96" customWidth="1"/>
    <col min="14595" max="14595" width="10.33203125" style="96" customWidth="1"/>
    <col min="14596" max="14596" width="12" style="96" customWidth="1"/>
    <col min="14597" max="14835" width="9.33203125" style="96"/>
    <col min="14836" max="14836" width="4.83203125" style="96" customWidth="1"/>
    <col min="14837" max="14837" width="27.33203125" style="96" customWidth="1"/>
    <col min="14838" max="14839" width="15.5" style="96" customWidth="1"/>
    <col min="14840" max="14840" width="13.6640625" style="96" customWidth="1"/>
    <col min="14841" max="14841" width="12.33203125" style="96" customWidth="1"/>
    <col min="14842" max="14842" width="13" style="96" bestFit="1" customWidth="1"/>
    <col min="14843" max="14843" width="11.33203125" style="96" customWidth="1"/>
    <col min="14844" max="14844" width="12.33203125" style="96" customWidth="1"/>
    <col min="14845" max="14845" width="10.33203125" style="96" customWidth="1"/>
    <col min="14846" max="14846" width="10.1640625" style="96" customWidth="1"/>
    <col min="14847" max="14847" width="13" style="96" customWidth="1"/>
    <col min="14848" max="14848" width="12.5" style="96" customWidth="1"/>
    <col min="14849" max="14849" width="11.6640625" style="96" customWidth="1"/>
    <col min="14850" max="14850" width="11.33203125" style="96" customWidth="1"/>
    <col min="14851" max="14851" width="10.33203125" style="96" customWidth="1"/>
    <col min="14852" max="14852" width="12" style="96" customWidth="1"/>
    <col min="14853" max="15091" width="9.33203125" style="96"/>
    <col min="15092" max="15092" width="4.83203125" style="96" customWidth="1"/>
    <col min="15093" max="15093" width="27.33203125" style="96" customWidth="1"/>
    <col min="15094" max="15095" width="15.5" style="96" customWidth="1"/>
    <col min="15096" max="15096" width="13.6640625" style="96" customWidth="1"/>
    <col min="15097" max="15097" width="12.33203125" style="96" customWidth="1"/>
    <col min="15098" max="15098" width="13" style="96" bestFit="1" customWidth="1"/>
    <col min="15099" max="15099" width="11.33203125" style="96" customWidth="1"/>
    <col min="15100" max="15100" width="12.33203125" style="96" customWidth="1"/>
    <col min="15101" max="15101" width="10.33203125" style="96" customWidth="1"/>
    <col min="15102" max="15102" width="10.1640625" style="96" customWidth="1"/>
    <col min="15103" max="15103" width="13" style="96" customWidth="1"/>
    <col min="15104" max="15104" width="12.5" style="96" customWidth="1"/>
    <col min="15105" max="15105" width="11.6640625" style="96" customWidth="1"/>
    <col min="15106" max="15106" width="11.33203125" style="96" customWidth="1"/>
    <col min="15107" max="15107" width="10.33203125" style="96" customWidth="1"/>
    <col min="15108" max="15108" width="12" style="96" customWidth="1"/>
    <col min="15109" max="15347" width="9.33203125" style="96"/>
    <col min="15348" max="15348" width="4.83203125" style="96" customWidth="1"/>
    <col min="15349" max="15349" width="27.33203125" style="96" customWidth="1"/>
    <col min="15350" max="15351" width="15.5" style="96" customWidth="1"/>
    <col min="15352" max="15352" width="13.6640625" style="96" customWidth="1"/>
    <col min="15353" max="15353" width="12.33203125" style="96" customWidth="1"/>
    <col min="15354" max="15354" width="13" style="96" bestFit="1" customWidth="1"/>
    <col min="15355" max="15355" width="11.33203125" style="96" customWidth="1"/>
    <col min="15356" max="15356" width="12.33203125" style="96" customWidth="1"/>
    <col min="15357" max="15357" width="10.33203125" style="96" customWidth="1"/>
    <col min="15358" max="15358" width="10.1640625" style="96" customWidth="1"/>
    <col min="15359" max="15359" width="13" style="96" customWidth="1"/>
    <col min="15360" max="15360" width="12.5" style="96" customWidth="1"/>
    <col min="15361" max="15361" width="11.6640625" style="96" customWidth="1"/>
    <col min="15362" max="15362" width="11.33203125" style="96" customWidth="1"/>
    <col min="15363" max="15363" width="10.33203125" style="96" customWidth="1"/>
    <col min="15364" max="15364" width="12" style="96" customWidth="1"/>
    <col min="15365" max="15603" width="9.33203125" style="96"/>
    <col min="15604" max="15604" width="4.83203125" style="96" customWidth="1"/>
    <col min="15605" max="15605" width="27.33203125" style="96" customWidth="1"/>
    <col min="15606" max="15607" width="15.5" style="96" customWidth="1"/>
    <col min="15608" max="15608" width="13.6640625" style="96" customWidth="1"/>
    <col min="15609" max="15609" width="12.33203125" style="96" customWidth="1"/>
    <col min="15610" max="15610" width="13" style="96" bestFit="1" customWidth="1"/>
    <col min="15611" max="15611" width="11.33203125" style="96" customWidth="1"/>
    <col min="15612" max="15612" width="12.33203125" style="96" customWidth="1"/>
    <col min="15613" max="15613" width="10.33203125" style="96" customWidth="1"/>
    <col min="15614" max="15614" width="10.1640625" style="96" customWidth="1"/>
    <col min="15615" max="15615" width="13" style="96" customWidth="1"/>
    <col min="15616" max="15616" width="12.5" style="96" customWidth="1"/>
    <col min="15617" max="15617" width="11.6640625" style="96" customWidth="1"/>
    <col min="15618" max="15618" width="11.33203125" style="96" customWidth="1"/>
    <col min="15619" max="15619" width="10.33203125" style="96" customWidth="1"/>
    <col min="15620" max="15620" width="12" style="96" customWidth="1"/>
    <col min="15621" max="15859" width="9.33203125" style="96"/>
    <col min="15860" max="15860" width="4.83203125" style="96" customWidth="1"/>
    <col min="15861" max="15861" width="27.33203125" style="96" customWidth="1"/>
    <col min="15862" max="15863" width="15.5" style="96" customWidth="1"/>
    <col min="15864" max="15864" width="13.6640625" style="96" customWidth="1"/>
    <col min="15865" max="15865" width="12.33203125" style="96" customWidth="1"/>
    <col min="15866" max="15866" width="13" style="96" bestFit="1" customWidth="1"/>
    <col min="15867" max="15867" width="11.33203125" style="96" customWidth="1"/>
    <col min="15868" max="15868" width="12.33203125" style="96" customWidth="1"/>
    <col min="15869" max="15869" width="10.33203125" style="96" customWidth="1"/>
    <col min="15870" max="15870" width="10.1640625" style="96" customWidth="1"/>
    <col min="15871" max="15871" width="13" style="96" customWidth="1"/>
    <col min="15872" max="15872" width="12.5" style="96" customWidth="1"/>
    <col min="15873" max="15873" width="11.6640625" style="96" customWidth="1"/>
    <col min="15874" max="15874" width="11.33203125" style="96" customWidth="1"/>
    <col min="15875" max="15875" width="10.33203125" style="96" customWidth="1"/>
    <col min="15876" max="15876" width="12" style="96" customWidth="1"/>
    <col min="15877" max="16115" width="9.33203125" style="96"/>
    <col min="16116" max="16116" width="4.83203125" style="96" customWidth="1"/>
    <col min="16117" max="16117" width="27.33203125" style="96" customWidth="1"/>
    <col min="16118" max="16119" width="15.5" style="96" customWidth="1"/>
    <col min="16120" max="16120" width="13.6640625" style="96" customWidth="1"/>
    <col min="16121" max="16121" width="12.33203125" style="96" customWidth="1"/>
    <col min="16122" max="16122" width="13" style="96" bestFit="1" customWidth="1"/>
    <col min="16123" max="16123" width="11.33203125" style="96" customWidth="1"/>
    <col min="16124" max="16124" width="12.33203125" style="96" customWidth="1"/>
    <col min="16125" max="16125" width="10.33203125" style="96" customWidth="1"/>
    <col min="16126" max="16126" width="10.1640625" style="96" customWidth="1"/>
    <col min="16127" max="16127" width="13" style="96" customWidth="1"/>
    <col min="16128" max="16128" width="12.5" style="96" customWidth="1"/>
    <col min="16129" max="16129" width="11.6640625" style="96" customWidth="1"/>
    <col min="16130" max="16130" width="11.33203125" style="96" customWidth="1"/>
    <col min="16131" max="16131" width="10.33203125" style="96" customWidth="1"/>
    <col min="16132" max="16132" width="12" style="96" customWidth="1"/>
    <col min="16133" max="16384" width="9.33203125" style="96"/>
  </cols>
  <sheetData>
    <row r="1" spans="1:11" ht="11.25" customHeight="1"/>
    <row r="2" spans="1:11" ht="35.25" customHeight="1">
      <c r="A2" s="423" t="s">
        <v>156</v>
      </c>
      <c r="B2" s="423"/>
      <c r="C2" s="423"/>
      <c r="D2" s="423"/>
      <c r="E2" s="423"/>
      <c r="F2" s="423"/>
      <c r="G2" s="423"/>
      <c r="H2" s="423"/>
      <c r="I2" s="423"/>
      <c r="K2" s="98"/>
    </row>
    <row r="3" spans="1:11" ht="9.75" customHeight="1">
      <c r="A3" s="99"/>
      <c r="B3" s="99"/>
      <c r="C3" s="99"/>
      <c r="D3" s="99"/>
      <c r="E3" s="99"/>
      <c r="F3" s="99"/>
      <c r="G3" s="99"/>
      <c r="H3" s="99"/>
    </row>
    <row r="4" spans="1:11" s="100" customFormat="1" ht="19.5" customHeight="1">
      <c r="A4" s="424" t="s">
        <v>69</v>
      </c>
      <c r="B4" s="426" t="s">
        <v>128</v>
      </c>
      <c r="C4" s="426" t="s">
        <v>76</v>
      </c>
      <c r="D4" s="426" t="s">
        <v>129</v>
      </c>
      <c r="E4" s="427" t="s">
        <v>130</v>
      </c>
      <c r="F4" s="427"/>
      <c r="G4" s="427"/>
      <c r="H4" s="426" t="s">
        <v>131</v>
      </c>
      <c r="I4" s="426" t="s">
        <v>132</v>
      </c>
    </row>
    <row r="5" spans="1:11" ht="51" customHeight="1">
      <c r="A5" s="425"/>
      <c r="B5" s="426"/>
      <c r="C5" s="426"/>
      <c r="D5" s="426"/>
      <c r="E5" s="108" t="s">
        <v>133</v>
      </c>
      <c r="F5" s="108" t="s">
        <v>134</v>
      </c>
      <c r="G5" s="108" t="s">
        <v>135</v>
      </c>
      <c r="H5" s="426"/>
      <c r="I5" s="426"/>
    </row>
    <row r="6" spans="1:11" s="32" customFormat="1" ht="14.25" customHeight="1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</row>
    <row r="7" spans="1:11" s="100" customFormat="1" ht="36" customHeight="1">
      <c r="A7" s="418" t="s">
        <v>70</v>
      </c>
      <c r="B7" s="102" t="s">
        <v>136</v>
      </c>
      <c r="C7" s="417" t="s">
        <v>137</v>
      </c>
      <c r="D7" s="417"/>
      <c r="E7" s="417"/>
      <c r="F7" s="417"/>
      <c r="G7" s="417"/>
      <c r="H7" s="417"/>
      <c r="I7" s="417"/>
    </row>
    <row r="8" spans="1:11" s="100" customFormat="1" ht="51" customHeight="1">
      <c r="A8" s="419"/>
      <c r="B8" s="102" t="s">
        <v>99</v>
      </c>
      <c r="C8" s="417"/>
      <c r="D8" s="417"/>
      <c r="E8" s="417"/>
      <c r="F8" s="417"/>
      <c r="G8" s="417"/>
      <c r="H8" s="417"/>
      <c r="I8" s="417"/>
    </row>
    <row r="9" spans="1:11" s="100" customFormat="1" ht="18.95" customHeight="1">
      <c r="A9" s="419"/>
      <c r="B9" s="103" t="s">
        <v>157</v>
      </c>
      <c r="C9" s="421">
        <v>71095</v>
      </c>
      <c r="D9" s="104">
        <f>SUM(E9:I9)</f>
        <v>204170.41</v>
      </c>
      <c r="E9" s="105">
        <v>204170.41</v>
      </c>
      <c r="F9" s="105">
        <v>0</v>
      </c>
      <c r="G9" s="105">
        <v>0</v>
      </c>
      <c r="H9" s="105">
        <v>0</v>
      </c>
      <c r="I9" s="105">
        <v>0</v>
      </c>
    </row>
    <row r="10" spans="1:11" s="130" customFormat="1" ht="18.95" customHeight="1">
      <c r="A10" s="419"/>
      <c r="B10" s="131" t="s">
        <v>147</v>
      </c>
      <c r="C10" s="422"/>
      <c r="D10" s="133">
        <f>SUM(E10:I10)</f>
        <v>70572</v>
      </c>
      <c r="E10" s="134">
        <f>80330-9758</f>
        <v>70572</v>
      </c>
      <c r="F10" s="134">
        <v>0</v>
      </c>
      <c r="G10" s="134">
        <v>0</v>
      </c>
      <c r="H10" s="134">
        <v>0</v>
      </c>
      <c r="I10" s="134">
        <v>0</v>
      </c>
    </row>
    <row r="11" spans="1:11" s="100" customFormat="1" ht="21.75" customHeight="1">
      <c r="A11" s="417" t="s">
        <v>71</v>
      </c>
      <c r="B11" s="102" t="s">
        <v>138</v>
      </c>
      <c r="C11" s="417" t="s">
        <v>139</v>
      </c>
      <c r="D11" s="417"/>
      <c r="E11" s="417"/>
      <c r="F11" s="417"/>
      <c r="G11" s="417"/>
      <c r="H11" s="417"/>
      <c r="I11" s="417"/>
    </row>
    <row r="12" spans="1:11" s="100" customFormat="1" ht="18.95" customHeight="1">
      <c r="A12" s="417"/>
      <c r="B12" s="102" t="s">
        <v>148</v>
      </c>
      <c r="C12" s="417"/>
      <c r="D12" s="417"/>
      <c r="E12" s="417"/>
      <c r="F12" s="417"/>
      <c r="G12" s="417"/>
      <c r="H12" s="417"/>
      <c r="I12" s="417"/>
    </row>
    <row r="13" spans="1:11" s="100" customFormat="1" ht="18.95" customHeight="1">
      <c r="A13" s="417"/>
      <c r="B13" s="102" t="s">
        <v>149</v>
      </c>
      <c r="C13" s="417"/>
      <c r="D13" s="417"/>
      <c r="E13" s="417"/>
      <c r="F13" s="417"/>
      <c r="G13" s="417"/>
      <c r="H13" s="417"/>
      <c r="I13" s="417"/>
    </row>
    <row r="14" spans="1:11" s="130" customFormat="1" ht="18.95" customHeight="1">
      <c r="A14" s="417"/>
      <c r="B14" s="131" t="s">
        <v>147</v>
      </c>
      <c r="C14" s="132">
        <v>80115</v>
      </c>
      <c r="D14" s="133">
        <f>SUM(E14:I14)</f>
        <v>508745</v>
      </c>
      <c r="E14" s="134">
        <v>0</v>
      </c>
      <c r="F14" s="134">
        <v>0</v>
      </c>
      <c r="G14" s="134">
        <v>0</v>
      </c>
      <c r="H14" s="134">
        <v>0</v>
      </c>
      <c r="I14" s="134">
        <v>508745</v>
      </c>
    </row>
    <row r="15" spans="1:11" s="321" customFormat="1" ht="22.5" customHeight="1">
      <c r="A15" s="418" t="s">
        <v>72</v>
      </c>
      <c r="B15" s="102" t="s">
        <v>138</v>
      </c>
      <c r="C15" s="417" t="s">
        <v>154</v>
      </c>
      <c r="D15" s="417"/>
      <c r="E15" s="417"/>
      <c r="F15" s="417"/>
      <c r="G15" s="417"/>
      <c r="H15" s="417"/>
      <c r="I15" s="417"/>
    </row>
    <row r="16" spans="1:11" s="321" customFormat="1" ht="36" customHeight="1">
      <c r="A16" s="419"/>
      <c r="B16" s="102" t="s">
        <v>153</v>
      </c>
      <c r="C16" s="417"/>
      <c r="D16" s="417"/>
      <c r="E16" s="417"/>
      <c r="F16" s="417"/>
      <c r="G16" s="417"/>
      <c r="H16" s="417"/>
      <c r="I16" s="417"/>
    </row>
    <row r="17" spans="1:9" s="321" customFormat="1" ht="25.5" customHeight="1">
      <c r="A17" s="419"/>
      <c r="B17" s="385" t="s">
        <v>152</v>
      </c>
      <c r="C17" s="417"/>
      <c r="D17" s="417"/>
      <c r="E17" s="417"/>
      <c r="F17" s="417"/>
      <c r="G17" s="417"/>
      <c r="H17" s="417"/>
      <c r="I17" s="417"/>
    </row>
    <row r="18" spans="1:9" s="321" customFormat="1" ht="18.95" customHeight="1">
      <c r="A18" s="420"/>
      <c r="B18" s="318" t="s">
        <v>147</v>
      </c>
      <c r="C18" s="386">
        <v>80120</v>
      </c>
      <c r="D18" s="319">
        <f>SUM(E18:I18)</f>
        <v>96210</v>
      </c>
      <c r="E18" s="320">
        <v>0</v>
      </c>
      <c r="F18" s="320">
        <v>0</v>
      </c>
      <c r="G18" s="320">
        <v>0</v>
      </c>
      <c r="H18" s="320">
        <f>4395+1099</f>
        <v>5494</v>
      </c>
      <c r="I18" s="320">
        <f>72573+18143</f>
        <v>90716</v>
      </c>
    </row>
    <row r="19" spans="1:9" s="387" customFormat="1" ht="18.95" customHeight="1">
      <c r="A19" s="428" t="s">
        <v>73</v>
      </c>
      <c r="B19" s="143" t="s">
        <v>138</v>
      </c>
      <c r="C19" s="428" t="s">
        <v>142</v>
      </c>
      <c r="D19" s="428"/>
      <c r="E19" s="428"/>
      <c r="F19" s="428"/>
      <c r="G19" s="428"/>
      <c r="H19" s="428"/>
      <c r="I19" s="428"/>
    </row>
    <row r="20" spans="1:9" s="387" customFormat="1" ht="40.5" customHeight="1">
      <c r="A20" s="428"/>
      <c r="B20" s="143" t="s">
        <v>141</v>
      </c>
      <c r="C20" s="428"/>
      <c r="D20" s="428"/>
      <c r="E20" s="428"/>
      <c r="F20" s="428"/>
      <c r="G20" s="428"/>
      <c r="H20" s="428"/>
      <c r="I20" s="428"/>
    </row>
    <row r="21" spans="1:9" s="387" customFormat="1" ht="66.75" customHeight="1">
      <c r="A21" s="428"/>
      <c r="B21" s="143" t="s">
        <v>150</v>
      </c>
      <c r="C21" s="428"/>
      <c r="D21" s="428"/>
      <c r="E21" s="428"/>
      <c r="F21" s="428"/>
      <c r="G21" s="428"/>
      <c r="H21" s="428"/>
      <c r="I21" s="428"/>
    </row>
    <row r="22" spans="1:9" s="391" customFormat="1" ht="18.95" customHeight="1">
      <c r="A22" s="428"/>
      <c r="B22" s="388" t="s">
        <v>157</v>
      </c>
      <c r="C22" s="432">
        <v>85295</v>
      </c>
      <c r="D22" s="389">
        <f>SUM(E22:I22)</f>
        <v>298639.65000000002</v>
      </c>
      <c r="E22" s="390">
        <v>70481.91</v>
      </c>
      <c r="F22" s="390">
        <v>0</v>
      </c>
      <c r="G22" s="390">
        <v>0</v>
      </c>
      <c r="H22" s="390">
        <v>31154.93</v>
      </c>
      <c r="I22" s="390">
        <v>197002.81</v>
      </c>
    </row>
    <row r="23" spans="1:9" s="135" customFormat="1" ht="18.95" customHeight="1">
      <c r="A23" s="428"/>
      <c r="B23" s="140" t="s">
        <v>147</v>
      </c>
      <c r="C23" s="433"/>
      <c r="D23" s="141">
        <f>SUM(E23:I23)</f>
        <v>1300894</v>
      </c>
      <c r="E23" s="142">
        <f>70591+109</f>
        <v>70700</v>
      </c>
      <c r="F23" s="142">
        <v>0</v>
      </c>
      <c r="G23" s="142">
        <v>0</v>
      </c>
      <c r="H23" s="142">
        <f>151879+13433-16641</f>
        <v>148671</v>
      </c>
      <c r="I23" s="142">
        <f>960362+85008+36153</f>
        <v>1081523</v>
      </c>
    </row>
    <row r="24" spans="1:9" s="100" customFormat="1" ht="18.95" customHeight="1">
      <c r="A24" s="418" t="s">
        <v>74</v>
      </c>
      <c r="B24" s="102" t="s">
        <v>138</v>
      </c>
      <c r="C24" s="417" t="s">
        <v>142</v>
      </c>
      <c r="D24" s="417"/>
      <c r="E24" s="417"/>
      <c r="F24" s="417"/>
      <c r="G24" s="417"/>
      <c r="H24" s="417"/>
      <c r="I24" s="417"/>
    </row>
    <row r="25" spans="1:9" s="100" customFormat="1" ht="42.75" customHeight="1">
      <c r="A25" s="419"/>
      <c r="B25" s="102" t="s">
        <v>141</v>
      </c>
      <c r="C25" s="417"/>
      <c r="D25" s="417"/>
      <c r="E25" s="417"/>
      <c r="F25" s="417"/>
      <c r="G25" s="417"/>
      <c r="H25" s="417"/>
      <c r="I25" s="417"/>
    </row>
    <row r="26" spans="1:9" s="100" customFormat="1" ht="28.9" customHeight="1">
      <c r="A26" s="419"/>
      <c r="B26" s="102" t="s">
        <v>143</v>
      </c>
      <c r="C26" s="417"/>
      <c r="D26" s="417"/>
      <c r="E26" s="417"/>
      <c r="F26" s="417"/>
      <c r="G26" s="417"/>
      <c r="H26" s="417"/>
      <c r="I26" s="417"/>
    </row>
    <row r="27" spans="1:9" s="100" customFormat="1" ht="18.95" customHeight="1">
      <c r="A27" s="419"/>
      <c r="B27" s="322" t="s">
        <v>157</v>
      </c>
      <c r="C27" s="429">
        <v>85295</v>
      </c>
      <c r="D27" s="104">
        <f>SUM(E27:I27)</f>
        <v>236559.01</v>
      </c>
      <c r="E27" s="105">
        <v>0</v>
      </c>
      <c r="F27" s="105">
        <v>0</v>
      </c>
      <c r="G27" s="105">
        <v>0</v>
      </c>
      <c r="H27" s="105">
        <v>0</v>
      </c>
      <c r="I27" s="105">
        <v>236559.01</v>
      </c>
    </row>
    <row r="28" spans="1:9" s="321" customFormat="1" ht="18.95" customHeight="1">
      <c r="A28" s="419"/>
      <c r="B28" s="318" t="s">
        <v>147</v>
      </c>
      <c r="C28" s="429"/>
      <c r="D28" s="319">
        <f>SUM(E28:I28)</f>
        <v>262755</v>
      </c>
      <c r="E28" s="320">
        <v>0</v>
      </c>
      <c r="F28" s="320">
        <v>0</v>
      </c>
      <c r="G28" s="320">
        <v>0</v>
      </c>
      <c r="H28" s="320">
        <v>0</v>
      </c>
      <c r="I28" s="320">
        <f>239726+23029</f>
        <v>262755</v>
      </c>
    </row>
    <row r="29" spans="1:9" s="100" customFormat="1" ht="18.95" customHeight="1">
      <c r="A29" s="418" t="s">
        <v>171</v>
      </c>
      <c r="B29" s="102" t="s">
        <v>138</v>
      </c>
      <c r="C29" s="417" t="s">
        <v>139</v>
      </c>
      <c r="D29" s="417"/>
      <c r="E29" s="417"/>
      <c r="F29" s="417"/>
      <c r="G29" s="417"/>
      <c r="H29" s="417"/>
      <c r="I29" s="417"/>
    </row>
    <row r="30" spans="1:9" s="100" customFormat="1" ht="30.75" customHeight="1">
      <c r="A30" s="419"/>
      <c r="B30" s="102" t="s">
        <v>140</v>
      </c>
      <c r="C30" s="417"/>
      <c r="D30" s="417"/>
      <c r="E30" s="417"/>
      <c r="F30" s="417"/>
      <c r="G30" s="417"/>
      <c r="H30" s="417"/>
      <c r="I30" s="417"/>
    </row>
    <row r="31" spans="1:9" s="100" customFormat="1" ht="35.25" customHeight="1">
      <c r="A31" s="419"/>
      <c r="B31" s="102" t="s">
        <v>144</v>
      </c>
      <c r="C31" s="417"/>
      <c r="D31" s="417"/>
      <c r="E31" s="417"/>
      <c r="F31" s="417"/>
      <c r="G31" s="417"/>
      <c r="H31" s="417"/>
      <c r="I31" s="417"/>
    </row>
    <row r="32" spans="1:9" s="100" customFormat="1" ht="20.25" customHeight="1">
      <c r="A32" s="419"/>
      <c r="B32" s="323" t="s">
        <v>157</v>
      </c>
      <c r="C32" s="430">
        <v>80115</v>
      </c>
      <c r="D32" s="324">
        <v>516739</v>
      </c>
      <c r="E32" s="317"/>
      <c r="F32" s="317"/>
      <c r="G32" s="317"/>
      <c r="H32" s="317"/>
      <c r="I32" s="324">
        <v>516736.72</v>
      </c>
    </row>
    <row r="33" spans="1:9" s="321" customFormat="1" ht="19.5" customHeight="1">
      <c r="A33" s="419"/>
      <c r="B33" s="325" t="s">
        <v>147</v>
      </c>
      <c r="C33" s="431"/>
      <c r="D33" s="326">
        <f>SUM(E33:I33)</f>
        <v>129187</v>
      </c>
      <c r="E33" s="327">
        <v>0</v>
      </c>
      <c r="F33" s="327">
        <v>0</v>
      </c>
      <c r="G33" s="327">
        <v>0</v>
      </c>
      <c r="H33" s="327">
        <v>0</v>
      </c>
      <c r="I33" s="327">
        <f>129185+2</f>
        <v>129187</v>
      </c>
    </row>
    <row r="34" spans="1:9" s="321" customFormat="1" ht="18.95" customHeight="1">
      <c r="A34" s="418" t="s">
        <v>172</v>
      </c>
      <c r="B34" s="102" t="s">
        <v>138</v>
      </c>
      <c r="C34" s="417" t="s">
        <v>139</v>
      </c>
      <c r="D34" s="417"/>
      <c r="E34" s="417"/>
      <c r="F34" s="417"/>
      <c r="G34" s="417"/>
      <c r="H34" s="417"/>
      <c r="I34" s="417"/>
    </row>
    <row r="35" spans="1:9" s="321" customFormat="1" ht="39.75" customHeight="1">
      <c r="A35" s="419"/>
      <c r="B35" s="382" t="s">
        <v>141</v>
      </c>
      <c r="C35" s="417"/>
      <c r="D35" s="417"/>
      <c r="E35" s="417"/>
      <c r="F35" s="417"/>
      <c r="G35" s="417"/>
      <c r="H35" s="417"/>
      <c r="I35" s="417"/>
    </row>
    <row r="36" spans="1:9" s="321" customFormat="1" ht="54.75" customHeight="1">
      <c r="A36" s="419"/>
      <c r="B36" s="383" t="s">
        <v>334</v>
      </c>
      <c r="C36" s="417"/>
      <c r="D36" s="417"/>
      <c r="E36" s="417"/>
      <c r="F36" s="417"/>
      <c r="G36" s="417"/>
      <c r="H36" s="417"/>
      <c r="I36" s="417"/>
    </row>
    <row r="37" spans="1:9" s="321" customFormat="1" ht="18.75" customHeight="1">
      <c r="A37" s="420"/>
      <c r="B37" s="325" t="s">
        <v>147</v>
      </c>
      <c r="C37" s="355">
        <v>80195</v>
      </c>
      <c r="D37" s="326">
        <f>SUM(E37:I37)</f>
        <v>402872</v>
      </c>
      <c r="E37" s="327"/>
      <c r="F37" s="327"/>
      <c r="G37" s="327"/>
      <c r="H37" s="327">
        <v>43998</v>
      </c>
      <c r="I37" s="327">
        <v>358874</v>
      </c>
    </row>
    <row r="38" spans="1:9" s="321" customFormat="1" ht="18.75" customHeight="1">
      <c r="A38" s="418" t="s">
        <v>173</v>
      </c>
      <c r="B38" s="102" t="s">
        <v>138</v>
      </c>
      <c r="C38" s="417" t="s">
        <v>333</v>
      </c>
      <c r="D38" s="417"/>
      <c r="E38" s="417"/>
      <c r="F38" s="417"/>
      <c r="G38" s="417"/>
      <c r="H38" s="417"/>
      <c r="I38" s="417"/>
    </row>
    <row r="39" spans="1:9" s="321" customFormat="1" ht="38.25" customHeight="1">
      <c r="A39" s="419"/>
      <c r="B39" s="102" t="s">
        <v>141</v>
      </c>
      <c r="C39" s="417"/>
      <c r="D39" s="417"/>
      <c r="E39" s="417"/>
      <c r="F39" s="417"/>
      <c r="G39" s="417"/>
      <c r="H39" s="417"/>
      <c r="I39" s="417"/>
    </row>
    <row r="40" spans="1:9" s="321" customFormat="1" ht="33" customHeight="1">
      <c r="A40" s="419"/>
      <c r="B40" s="384" t="s">
        <v>335</v>
      </c>
      <c r="C40" s="417"/>
      <c r="D40" s="417"/>
      <c r="E40" s="417"/>
      <c r="F40" s="417"/>
      <c r="G40" s="417"/>
      <c r="H40" s="417"/>
      <c r="I40" s="417"/>
    </row>
    <row r="41" spans="1:9" s="321" customFormat="1" ht="18.75" customHeight="1">
      <c r="A41" s="420"/>
      <c r="B41" s="325" t="s">
        <v>147</v>
      </c>
      <c r="C41" s="355">
        <v>80195</v>
      </c>
      <c r="D41" s="326">
        <f>SUM(E41:I41)</f>
        <v>526911</v>
      </c>
      <c r="E41" s="327"/>
      <c r="F41" s="327"/>
      <c r="G41" s="327"/>
      <c r="H41" s="327">
        <v>56050</v>
      </c>
      <c r="I41" s="327">
        <v>470861</v>
      </c>
    </row>
    <row r="42" spans="1:9" s="107" customFormat="1" ht="23.25" customHeight="1">
      <c r="A42" s="427" t="s">
        <v>151</v>
      </c>
      <c r="B42" s="427"/>
      <c r="C42" s="427"/>
      <c r="D42" s="106">
        <f>SUM(D10,D14,D18,D23,D28,D33,D37,D41)</f>
        <v>3298146</v>
      </c>
      <c r="E42" s="106">
        <f t="shared" ref="E42:G42" si="0">SUM(E10,E14,E18,E23,E28,E33,E37,E41)</f>
        <v>141272</v>
      </c>
      <c r="F42" s="106">
        <f t="shared" si="0"/>
        <v>0</v>
      </c>
      <c r="G42" s="106">
        <f t="shared" si="0"/>
        <v>0</v>
      </c>
      <c r="H42" s="106">
        <f>SUM(H10,H14,H18,H23,H28,H33,H37,H41)</f>
        <v>254213</v>
      </c>
      <c r="I42" s="106">
        <f>SUM(I10,I14,I18,I23,I28,I33,I37,I41)</f>
        <v>2902661</v>
      </c>
    </row>
    <row r="43" spans="1:9" ht="15.75" customHeight="1"/>
    <row r="44" spans="1:9" ht="15.75" customHeight="1"/>
    <row r="45" spans="1:9" ht="15.75" customHeight="1">
      <c r="E45" s="144"/>
      <c r="G45" s="144"/>
    </row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</sheetData>
  <sheetProtection algorithmName="SHA-512" hashValue="Xceg+/wXoFc+q5iak17Awnz0eiGZxA9ZlpIBlN1FhXtWS9cONcCbY1dS0xi92XHbXymQSfYwhgKV7+vatRgdjg==" saltValue="wHYiwtLZLlfDR7OcF6QUYQ==" spinCount="100000" sheet="1" objects="1" scenarios="1" formatColumns="0" formatRows="0"/>
  <mergeCells count="29">
    <mergeCell ref="A42:C42"/>
    <mergeCell ref="A11:A14"/>
    <mergeCell ref="C11:I13"/>
    <mergeCell ref="A19:A23"/>
    <mergeCell ref="C19:I21"/>
    <mergeCell ref="A24:A28"/>
    <mergeCell ref="C24:I26"/>
    <mergeCell ref="C27:C28"/>
    <mergeCell ref="A29:A33"/>
    <mergeCell ref="C29:I31"/>
    <mergeCell ref="C32:C33"/>
    <mergeCell ref="C22:C23"/>
    <mergeCell ref="C15:I17"/>
    <mergeCell ref="A15:A18"/>
    <mergeCell ref="A34:A37"/>
    <mergeCell ref="C34:I36"/>
    <mergeCell ref="A2:I2"/>
    <mergeCell ref="A4:A5"/>
    <mergeCell ref="B4:B5"/>
    <mergeCell ref="C4:C5"/>
    <mergeCell ref="D4:D5"/>
    <mergeCell ref="E4:G4"/>
    <mergeCell ref="H4:H5"/>
    <mergeCell ref="I4:I5"/>
    <mergeCell ref="C38:I40"/>
    <mergeCell ref="A38:A41"/>
    <mergeCell ref="A7:A10"/>
    <mergeCell ref="C7:I8"/>
    <mergeCell ref="C9:C10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  <rowBreaks count="1" manualBreakCount="1">
    <brk id="3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50"/>
  </sheetPr>
  <dimension ref="A1:F196"/>
  <sheetViews>
    <sheetView zoomScaleNormal="100" workbookViewId="0">
      <pane ySplit="4" topLeftCell="A149" activePane="bottomLeft" state="frozen"/>
      <selection activeCell="C11" sqref="C11:I13"/>
      <selection pane="bottomLeft" activeCell="B198" sqref="B198"/>
    </sheetView>
  </sheetViews>
  <sheetFormatPr defaultColWidth="9.33203125" defaultRowHeight="12"/>
  <cols>
    <col min="1" max="1" width="6.33203125" style="33" customWidth="1"/>
    <col min="2" max="2" width="9.5" style="33" customWidth="1"/>
    <col min="3" max="3" width="10.1640625" style="34" customWidth="1"/>
    <col min="4" max="4" width="61.5" style="35" customWidth="1"/>
    <col min="5" max="6" width="17" style="36" customWidth="1"/>
    <col min="7" max="16384" width="9.33203125" style="37"/>
  </cols>
  <sheetData>
    <row r="1" spans="1:6" ht="12.75" customHeight="1"/>
    <row r="2" spans="1:6" ht="30.75" customHeight="1">
      <c r="A2" s="434" t="s">
        <v>159</v>
      </c>
      <c r="B2" s="434"/>
      <c r="C2" s="434"/>
      <c r="D2" s="434"/>
      <c r="E2" s="434"/>
      <c r="F2" s="434"/>
    </row>
    <row r="3" spans="1:6" ht="9.75" customHeight="1"/>
    <row r="4" spans="1:6" s="34" customFormat="1" ht="25.5" customHeight="1">
      <c r="A4" s="63" t="s">
        <v>0</v>
      </c>
      <c r="B4" s="63" t="s">
        <v>1</v>
      </c>
      <c r="C4" s="64" t="s">
        <v>89</v>
      </c>
      <c r="D4" s="65" t="s">
        <v>90</v>
      </c>
      <c r="E4" s="66" t="s">
        <v>91</v>
      </c>
      <c r="F4" s="66" t="s">
        <v>92</v>
      </c>
    </row>
    <row r="5" spans="1:6" s="38" customFormat="1" ht="17.25" customHeight="1">
      <c r="A5" s="68" t="s">
        <v>2</v>
      </c>
      <c r="B5" s="68"/>
      <c r="C5" s="69"/>
      <c r="D5" s="70" t="s">
        <v>24</v>
      </c>
      <c r="E5" s="71">
        <f>SUM(E6)</f>
        <v>12000</v>
      </c>
      <c r="F5" s="71">
        <f>SUM(F6)</f>
        <v>12000</v>
      </c>
    </row>
    <row r="6" spans="1:6" s="38" customFormat="1" ht="17.25" customHeight="1">
      <c r="A6" s="54"/>
      <c r="B6" s="54" t="s">
        <v>3</v>
      </c>
      <c r="C6" s="55"/>
      <c r="D6" s="56" t="s">
        <v>4</v>
      </c>
      <c r="E6" s="57">
        <f>SUM(E7)</f>
        <v>12000</v>
      </c>
      <c r="F6" s="57">
        <f>SUM(F8)</f>
        <v>12000</v>
      </c>
    </row>
    <row r="7" spans="1:6" s="38" customFormat="1" ht="42" customHeight="1">
      <c r="A7" s="39"/>
      <c r="B7" s="39"/>
      <c r="C7" s="40">
        <v>2110</v>
      </c>
      <c r="D7" s="41" t="s">
        <v>5</v>
      </c>
      <c r="E7" s="42">
        <v>12000</v>
      </c>
      <c r="F7" s="42"/>
    </row>
    <row r="8" spans="1:6" s="38" customFormat="1" ht="15.75" customHeight="1">
      <c r="A8" s="39"/>
      <c r="B8" s="39"/>
      <c r="C8" s="40">
        <v>4300</v>
      </c>
      <c r="D8" s="41" t="s">
        <v>25</v>
      </c>
      <c r="E8" s="42"/>
      <c r="F8" s="42">
        <v>12000</v>
      </c>
    </row>
    <row r="9" spans="1:6" s="38" customFormat="1" ht="17.25" customHeight="1">
      <c r="A9" s="68">
        <v>700</v>
      </c>
      <c r="B9" s="68"/>
      <c r="C9" s="69"/>
      <c r="D9" s="70" t="s">
        <v>43</v>
      </c>
      <c r="E9" s="71">
        <f>SUM(E10)</f>
        <v>280000</v>
      </c>
      <c r="F9" s="71">
        <f>SUM(F10)</f>
        <v>280000</v>
      </c>
    </row>
    <row r="10" spans="1:6" s="38" customFormat="1" ht="17.25" customHeight="1">
      <c r="A10" s="54"/>
      <c r="B10" s="54">
        <v>70005</v>
      </c>
      <c r="C10" s="55"/>
      <c r="D10" s="56" t="s">
        <v>44</v>
      </c>
      <c r="E10" s="57">
        <f>SUM(E11)</f>
        <v>280000</v>
      </c>
      <c r="F10" s="57">
        <f>SUM(F11:F26)</f>
        <v>280000</v>
      </c>
    </row>
    <row r="11" spans="1:6" s="38" customFormat="1" ht="42.75" customHeight="1">
      <c r="A11" s="39"/>
      <c r="B11" s="39"/>
      <c r="C11" s="40">
        <v>2110</v>
      </c>
      <c r="D11" s="41" t="s">
        <v>5</v>
      </c>
      <c r="E11" s="42">
        <v>280000</v>
      </c>
      <c r="F11" s="42"/>
    </row>
    <row r="12" spans="1:6" s="89" customFormat="1" ht="15.75" customHeight="1">
      <c r="A12" s="86"/>
      <c r="B12" s="86"/>
      <c r="C12" s="87">
        <v>4010</v>
      </c>
      <c r="D12" s="92" t="s">
        <v>32</v>
      </c>
      <c r="E12" s="88"/>
      <c r="F12" s="88">
        <v>43900</v>
      </c>
    </row>
    <row r="13" spans="1:6" s="89" customFormat="1" ht="15.75" customHeight="1">
      <c r="A13" s="86"/>
      <c r="B13" s="86"/>
      <c r="C13" s="87">
        <v>4110</v>
      </c>
      <c r="D13" s="92" t="s">
        <v>34</v>
      </c>
      <c r="E13" s="88"/>
      <c r="F13" s="88">
        <v>7540</v>
      </c>
    </row>
    <row r="14" spans="1:6" s="89" customFormat="1" ht="26.25" customHeight="1">
      <c r="A14" s="86"/>
      <c r="B14" s="86"/>
      <c r="C14" s="87">
        <v>4120</v>
      </c>
      <c r="D14" s="92" t="s">
        <v>386</v>
      </c>
      <c r="E14" s="88"/>
      <c r="F14" s="88">
        <v>1070</v>
      </c>
    </row>
    <row r="15" spans="1:6" s="89" customFormat="1" ht="15.75" customHeight="1">
      <c r="A15" s="86"/>
      <c r="B15" s="86"/>
      <c r="C15" s="87">
        <v>4170</v>
      </c>
      <c r="D15" s="92" t="s">
        <v>35</v>
      </c>
      <c r="E15" s="88"/>
      <c r="F15" s="88">
        <v>2000</v>
      </c>
    </row>
    <row r="16" spans="1:6" s="89" customFormat="1" ht="15.75" customHeight="1">
      <c r="A16" s="86"/>
      <c r="B16" s="86"/>
      <c r="C16" s="87">
        <v>4210</v>
      </c>
      <c r="D16" s="92" t="s">
        <v>26</v>
      </c>
      <c r="E16" s="88"/>
      <c r="F16" s="88">
        <v>435</v>
      </c>
    </row>
    <row r="17" spans="1:6" s="89" customFormat="1" ht="15.75" customHeight="1">
      <c r="A17" s="86"/>
      <c r="B17" s="86"/>
      <c r="C17" s="87">
        <v>4260</v>
      </c>
      <c r="D17" s="92" t="s">
        <v>36</v>
      </c>
      <c r="E17" s="88"/>
      <c r="F17" s="88">
        <v>0</v>
      </c>
    </row>
    <row r="18" spans="1:6" s="89" customFormat="1" ht="15.75" customHeight="1">
      <c r="A18" s="86"/>
      <c r="B18" s="86"/>
      <c r="C18" s="87">
        <v>4270</v>
      </c>
      <c r="D18" s="92" t="s">
        <v>37</v>
      </c>
      <c r="E18" s="88"/>
      <c r="F18" s="88">
        <v>15000</v>
      </c>
    </row>
    <row r="19" spans="1:6" s="89" customFormat="1" ht="15.75" customHeight="1">
      <c r="A19" s="86"/>
      <c r="B19" s="86"/>
      <c r="C19" s="87">
        <v>4300</v>
      </c>
      <c r="D19" s="92" t="s">
        <v>25</v>
      </c>
      <c r="E19" s="88"/>
      <c r="F19" s="88">
        <v>49000</v>
      </c>
    </row>
    <row r="20" spans="1:6" s="89" customFormat="1" ht="15.75" customHeight="1">
      <c r="A20" s="86"/>
      <c r="B20" s="86"/>
      <c r="C20" s="87">
        <v>4390</v>
      </c>
      <c r="D20" s="92" t="s">
        <v>45</v>
      </c>
      <c r="E20" s="88"/>
      <c r="F20" s="88">
        <v>30000</v>
      </c>
    </row>
    <row r="21" spans="1:6" s="89" customFormat="1" ht="15.75" customHeight="1">
      <c r="A21" s="86"/>
      <c r="B21" s="86"/>
      <c r="C21" s="87">
        <v>4430</v>
      </c>
      <c r="D21" s="92" t="s">
        <v>39</v>
      </c>
      <c r="E21" s="88"/>
      <c r="F21" s="88">
        <v>4100</v>
      </c>
    </row>
    <row r="22" spans="1:6" s="89" customFormat="1" ht="15.75" customHeight="1">
      <c r="A22" s="86"/>
      <c r="B22" s="86"/>
      <c r="C22" s="87">
        <v>4480</v>
      </c>
      <c r="D22" s="92" t="s">
        <v>41</v>
      </c>
      <c r="E22" s="88"/>
      <c r="F22" s="88">
        <v>94000</v>
      </c>
    </row>
    <row r="23" spans="1:6" s="89" customFormat="1" ht="15.75" customHeight="1">
      <c r="A23" s="86"/>
      <c r="B23" s="86"/>
      <c r="C23" s="87">
        <v>4520</v>
      </c>
      <c r="D23" s="92" t="s">
        <v>42</v>
      </c>
      <c r="E23" s="88"/>
      <c r="F23" s="88">
        <v>10000</v>
      </c>
    </row>
    <row r="24" spans="1:6" s="89" customFormat="1" ht="15.75" customHeight="1">
      <c r="A24" s="86"/>
      <c r="B24" s="86"/>
      <c r="C24" s="87">
        <v>4580</v>
      </c>
      <c r="D24" s="92" t="s">
        <v>46</v>
      </c>
      <c r="E24" s="88"/>
      <c r="F24" s="88">
        <v>3955</v>
      </c>
    </row>
    <row r="25" spans="1:6" s="89" customFormat="1" ht="15.75" customHeight="1">
      <c r="A25" s="86"/>
      <c r="B25" s="86"/>
      <c r="C25" s="87">
        <v>4590</v>
      </c>
      <c r="D25" s="92" t="s">
        <v>47</v>
      </c>
      <c r="E25" s="88"/>
      <c r="F25" s="88">
        <v>9000</v>
      </c>
    </row>
    <row r="26" spans="1:6" s="89" customFormat="1" ht="15.75" customHeight="1">
      <c r="A26" s="86"/>
      <c r="B26" s="86"/>
      <c r="C26" s="87">
        <v>4610</v>
      </c>
      <c r="D26" s="92" t="s">
        <v>48</v>
      </c>
      <c r="E26" s="88"/>
      <c r="F26" s="88">
        <v>10000</v>
      </c>
    </row>
    <row r="27" spans="1:6" s="38" customFormat="1" ht="17.25" customHeight="1">
      <c r="A27" s="68">
        <v>710</v>
      </c>
      <c r="B27" s="68"/>
      <c r="C27" s="69"/>
      <c r="D27" s="70" t="s">
        <v>49</v>
      </c>
      <c r="E27" s="71">
        <f>SUM(E28,E34)</f>
        <v>1152000</v>
      </c>
      <c r="F27" s="71">
        <f>SUM(F28,F34)</f>
        <v>1152000</v>
      </c>
    </row>
    <row r="28" spans="1:6" s="38" customFormat="1" ht="17.25" customHeight="1">
      <c r="A28" s="54"/>
      <c r="B28" s="54" t="s">
        <v>100</v>
      </c>
      <c r="C28" s="55"/>
      <c r="D28" s="1" t="s">
        <v>98</v>
      </c>
      <c r="E28" s="57">
        <f>SUM(E29)</f>
        <v>344000</v>
      </c>
      <c r="F28" s="57">
        <f>SUM(F30:F33)</f>
        <v>344000</v>
      </c>
    </row>
    <row r="29" spans="1:6" s="38" customFormat="1" ht="42.75" customHeight="1">
      <c r="A29" s="39"/>
      <c r="B29" s="39"/>
      <c r="C29" s="40">
        <v>2110</v>
      </c>
      <c r="D29" s="41" t="s">
        <v>5</v>
      </c>
      <c r="E29" s="42">
        <v>344000</v>
      </c>
      <c r="F29" s="42"/>
    </row>
    <row r="30" spans="1:6" s="89" customFormat="1" ht="15.75" customHeight="1">
      <c r="A30" s="86"/>
      <c r="B30" s="86"/>
      <c r="C30" s="87">
        <v>4010</v>
      </c>
      <c r="D30" s="92" t="s">
        <v>32</v>
      </c>
      <c r="E30" s="88"/>
      <c r="F30" s="125">
        <v>210300</v>
      </c>
    </row>
    <row r="31" spans="1:6" s="89" customFormat="1" ht="15.75" customHeight="1">
      <c r="A31" s="86"/>
      <c r="B31" s="86"/>
      <c r="C31" s="87">
        <v>4110</v>
      </c>
      <c r="D31" s="92" t="s">
        <v>34</v>
      </c>
      <c r="E31" s="88"/>
      <c r="F31" s="125">
        <v>39004</v>
      </c>
    </row>
    <row r="32" spans="1:6" s="89" customFormat="1" ht="29.25" customHeight="1">
      <c r="A32" s="86"/>
      <c r="B32" s="86"/>
      <c r="C32" s="87">
        <v>4120</v>
      </c>
      <c r="D32" s="92" t="s">
        <v>386</v>
      </c>
      <c r="E32" s="88"/>
      <c r="F32" s="125">
        <v>5600</v>
      </c>
    </row>
    <row r="33" spans="1:6" s="89" customFormat="1" ht="15.75" customHeight="1">
      <c r="A33" s="86"/>
      <c r="B33" s="86"/>
      <c r="C33" s="87">
        <v>4300</v>
      </c>
      <c r="D33" s="92" t="s">
        <v>25</v>
      </c>
      <c r="E33" s="88"/>
      <c r="F33" s="88">
        <v>89096</v>
      </c>
    </row>
    <row r="34" spans="1:6" s="38" customFormat="1" ht="17.25" customHeight="1">
      <c r="A34" s="54"/>
      <c r="B34" s="54">
        <v>71015</v>
      </c>
      <c r="C34" s="55"/>
      <c r="D34" s="56" t="s">
        <v>51</v>
      </c>
      <c r="E34" s="57">
        <f>SUM(E35:E35)</f>
        <v>808000</v>
      </c>
      <c r="F34" s="57">
        <f>SUM(F36:F55)</f>
        <v>808000</v>
      </c>
    </row>
    <row r="35" spans="1:6" s="38" customFormat="1" ht="42.75" customHeight="1">
      <c r="A35" s="39"/>
      <c r="B35" s="39"/>
      <c r="C35" s="40">
        <v>2110</v>
      </c>
      <c r="D35" s="41" t="s">
        <v>5</v>
      </c>
      <c r="E35" s="42">
        <v>808000</v>
      </c>
      <c r="F35" s="42"/>
    </row>
    <row r="36" spans="1:6" s="38" customFormat="1" ht="15.75" customHeight="1">
      <c r="A36" s="39"/>
      <c r="B36" s="39"/>
      <c r="C36" s="40">
        <v>3020</v>
      </c>
      <c r="D36" s="41" t="s">
        <v>31</v>
      </c>
      <c r="E36" s="42"/>
      <c r="F36" s="42">
        <v>450</v>
      </c>
    </row>
    <row r="37" spans="1:6" s="38" customFormat="1" ht="15.75" customHeight="1">
      <c r="A37" s="39"/>
      <c r="B37" s="39"/>
      <c r="C37" s="40">
        <v>4010</v>
      </c>
      <c r="D37" s="41" t="s">
        <v>32</v>
      </c>
      <c r="E37" s="42"/>
      <c r="F37" s="42">
        <v>111305</v>
      </c>
    </row>
    <row r="38" spans="1:6" s="38" customFormat="1" ht="15.75" customHeight="1">
      <c r="A38" s="39"/>
      <c r="B38" s="39"/>
      <c r="C38" s="40">
        <v>4020</v>
      </c>
      <c r="D38" s="41" t="s">
        <v>52</v>
      </c>
      <c r="E38" s="42"/>
      <c r="F38" s="42">
        <v>401462</v>
      </c>
    </row>
    <row r="39" spans="1:6" s="38" customFormat="1" ht="15.75" customHeight="1">
      <c r="A39" s="39"/>
      <c r="B39" s="39"/>
      <c r="C39" s="40">
        <v>4040</v>
      </c>
      <c r="D39" s="41" t="s">
        <v>33</v>
      </c>
      <c r="E39" s="42"/>
      <c r="F39" s="42">
        <v>33372</v>
      </c>
    </row>
    <row r="40" spans="1:6" s="38" customFormat="1" ht="15.75" customHeight="1">
      <c r="A40" s="39"/>
      <c r="B40" s="39"/>
      <c r="C40" s="40">
        <v>4110</v>
      </c>
      <c r="D40" s="41" t="s">
        <v>34</v>
      </c>
      <c r="E40" s="42"/>
      <c r="F40" s="42">
        <v>94460</v>
      </c>
    </row>
    <row r="41" spans="1:6" s="38" customFormat="1" ht="27.75" customHeight="1">
      <c r="A41" s="39"/>
      <c r="B41" s="39"/>
      <c r="C41" s="40">
        <v>4120</v>
      </c>
      <c r="D41" s="41" t="s">
        <v>386</v>
      </c>
      <c r="E41" s="42"/>
      <c r="F41" s="42">
        <v>13534</v>
      </c>
    </row>
    <row r="42" spans="1:6" s="38" customFormat="1" ht="15.75" customHeight="1">
      <c r="A42" s="39"/>
      <c r="B42" s="39"/>
      <c r="C42" s="40">
        <v>4170</v>
      </c>
      <c r="D42" s="41" t="s">
        <v>35</v>
      </c>
      <c r="E42" s="42"/>
      <c r="F42" s="42">
        <v>7770</v>
      </c>
    </row>
    <row r="43" spans="1:6" s="38" customFormat="1" ht="15.75" customHeight="1">
      <c r="A43" s="39"/>
      <c r="B43" s="39"/>
      <c r="C43" s="40">
        <v>4210</v>
      </c>
      <c r="D43" s="41" t="s">
        <v>26</v>
      </c>
      <c r="E43" s="42"/>
      <c r="F43" s="42">
        <v>21978</v>
      </c>
    </row>
    <row r="44" spans="1:6" s="38" customFormat="1" ht="15.75" customHeight="1">
      <c r="A44" s="39"/>
      <c r="B44" s="39"/>
      <c r="C44" s="40">
        <v>4260</v>
      </c>
      <c r="D44" s="41" t="s">
        <v>36</v>
      </c>
      <c r="E44" s="42"/>
      <c r="F44" s="42">
        <v>14548</v>
      </c>
    </row>
    <row r="45" spans="1:6" s="38" customFormat="1" ht="15.75" customHeight="1">
      <c r="A45" s="39"/>
      <c r="B45" s="39"/>
      <c r="C45" s="40">
        <v>4270</v>
      </c>
      <c r="D45" s="41" t="s">
        <v>37</v>
      </c>
      <c r="E45" s="42"/>
      <c r="F45" s="42">
        <v>5708</v>
      </c>
    </row>
    <row r="46" spans="1:6" s="38" customFormat="1" ht="15.75" customHeight="1">
      <c r="A46" s="39"/>
      <c r="B46" s="39"/>
      <c r="C46" s="40">
        <v>4280</v>
      </c>
      <c r="D46" s="41" t="s">
        <v>50</v>
      </c>
      <c r="E46" s="42"/>
      <c r="F46" s="42">
        <v>906</v>
      </c>
    </row>
    <row r="47" spans="1:6" s="38" customFormat="1" ht="15.75" customHeight="1">
      <c r="A47" s="39"/>
      <c r="B47" s="39"/>
      <c r="C47" s="40">
        <v>4300</v>
      </c>
      <c r="D47" s="41" t="s">
        <v>25</v>
      </c>
      <c r="E47" s="42"/>
      <c r="F47" s="42">
        <v>70429</v>
      </c>
    </row>
    <row r="48" spans="1:6" s="38" customFormat="1" ht="15.75" customHeight="1">
      <c r="A48" s="39"/>
      <c r="B48" s="39"/>
      <c r="C48" s="40">
        <v>4360</v>
      </c>
      <c r="D48" s="41" t="s">
        <v>93</v>
      </c>
      <c r="E48" s="42"/>
      <c r="F48" s="42">
        <v>3224</v>
      </c>
    </row>
    <row r="49" spans="1:6" s="38" customFormat="1" ht="15.75" customHeight="1">
      <c r="A49" s="39"/>
      <c r="B49" s="39"/>
      <c r="C49" s="40">
        <v>4410</v>
      </c>
      <c r="D49" s="41" t="s">
        <v>38</v>
      </c>
      <c r="E49" s="42"/>
      <c r="F49" s="42">
        <v>3190</v>
      </c>
    </row>
    <row r="50" spans="1:6" s="38" customFormat="1" ht="15.75" customHeight="1">
      <c r="A50" s="39"/>
      <c r="B50" s="39"/>
      <c r="C50" s="40">
        <v>4430</v>
      </c>
      <c r="D50" s="41" t="s">
        <v>39</v>
      </c>
      <c r="E50" s="42"/>
      <c r="F50" s="42">
        <v>4506</v>
      </c>
    </row>
    <row r="51" spans="1:6" s="38" customFormat="1" ht="15.75" customHeight="1">
      <c r="A51" s="39"/>
      <c r="B51" s="39"/>
      <c r="C51" s="40">
        <v>4440</v>
      </c>
      <c r="D51" s="41" t="s">
        <v>40</v>
      </c>
      <c r="E51" s="42"/>
      <c r="F51" s="42">
        <v>12549</v>
      </c>
    </row>
    <row r="52" spans="1:6" s="38" customFormat="1" ht="15.75" customHeight="1">
      <c r="A52" s="39"/>
      <c r="B52" s="39"/>
      <c r="C52" s="40">
        <v>4480</v>
      </c>
      <c r="D52" s="41" t="s">
        <v>41</v>
      </c>
      <c r="E52" s="42"/>
      <c r="F52" s="42">
        <v>1409</v>
      </c>
    </row>
    <row r="53" spans="1:6" s="38" customFormat="1" ht="15.75" customHeight="1">
      <c r="A53" s="39"/>
      <c r="B53" s="39"/>
      <c r="C53" s="40">
        <v>4550</v>
      </c>
      <c r="D53" s="41" t="s">
        <v>53</v>
      </c>
      <c r="E53" s="42"/>
      <c r="F53" s="42">
        <v>1100</v>
      </c>
    </row>
    <row r="54" spans="1:6" s="38" customFormat="1" ht="15.75" customHeight="1">
      <c r="A54" s="39"/>
      <c r="B54" s="39"/>
      <c r="C54" s="40">
        <v>4610</v>
      </c>
      <c r="D54" s="41" t="s">
        <v>48</v>
      </c>
      <c r="E54" s="42"/>
      <c r="F54" s="42">
        <v>5000</v>
      </c>
    </row>
    <row r="55" spans="1:6" s="38" customFormat="1" ht="27.75" customHeight="1">
      <c r="A55" s="39"/>
      <c r="B55" s="39"/>
      <c r="C55" s="40">
        <v>4700</v>
      </c>
      <c r="D55" s="41" t="s">
        <v>94</v>
      </c>
      <c r="E55" s="42"/>
      <c r="F55" s="42">
        <v>1100</v>
      </c>
    </row>
    <row r="56" spans="1:6" s="38" customFormat="1" ht="16.5" customHeight="1">
      <c r="A56" s="68">
        <v>750</v>
      </c>
      <c r="B56" s="68"/>
      <c r="C56" s="69"/>
      <c r="D56" s="70" t="s">
        <v>54</v>
      </c>
      <c r="E56" s="71">
        <f>SUM(E57,E62)</f>
        <v>72120</v>
      </c>
      <c r="F56" s="71">
        <f>SUM(F57,F62)</f>
        <v>72120</v>
      </c>
    </row>
    <row r="57" spans="1:6" s="38" customFormat="1" ht="17.25" customHeight="1">
      <c r="A57" s="54"/>
      <c r="B57" s="54">
        <v>75011</v>
      </c>
      <c r="C57" s="55"/>
      <c r="D57" s="56" t="s">
        <v>55</v>
      </c>
      <c r="E57" s="57">
        <f>SUM(E58)</f>
        <v>37460</v>
      </c>
      <c r="F57" s="57">
        <f>SUM(F59:F61)</f>
        <v>37460</v>
      </c>
    </row>
    <row r="58" spans="1:6" s="38" customFormat="1" ht="42.75" customHeight="1">
      <c r="A58" s="39"/>
      <c r="B58" s="39"/>
      <c r="C58" s="40">
        <v>2110</v>
      </c>
      <c r="D58" s="41" t="s">
        <v>5</v>
      </c>
      <c r="E58" s="42">
        <v>37460</v>
      </c>
      <c r="F58" s="42"/>
    </row>
    <row r="59" spans="1:6" s="89" customFormat="1" ht="15.75" customHeight="1">
      <c r="A59" s="86"/>
      <c r="B59" s="86"/>
      <c r="C59" s="87">
        <v>4010</v>
      </c>
      <c r="D59" s="92" t="s">
        <v>32</v>
      </c>
      <c r="E59" s="88"/>
      <c r="F59" s="88">
        <v>30720</v>
      </c>
    </row>
    <row r="60" spans="1:6" s="89" customFormat="1" ht="15.75" customHeight="1">
      <c r="A60" s="86"/>
      <c r="B60" s="86"/>
      <c r="C60" s="87">
        <v>4110</v>
      </c>
      <c r="D60" s="92" t="s">
        <v>34</v>
      </c>
      <c r="E60" s="88"/>
      <c r="F60" s="88">
        <v>5900</v>
      </c>
    </row>
    <row r="61" spans="1:6" s="89" customFormat="1" ht="29.25" customHeight="1">
      <c r="A61" s="86"/>
      <c r="B61" s="86"/>
      <c r="C61" s="87">
        <v>4120</v>
      </c>
      <c r="D61" s="92" t="s">
        <v>386</v>
      </c>
      <c r="E61" s="88"/>
      <c r="F61" s="88">
        <v>840</v>
      </c>
    </row>
    <row r="62" spans="1:6" s="38" customFormat="1" ht="17.25" customHeight="1">
      <c r="A62" s="54"/>
      <c r="B62" s="54">
        <v>75045</v>
      </c>
      <c r="C62" s="55"/>
      <c r="D62" s="56" t="s">
        <v>10</v>
      </c>
      <c r="E62" s="57">
        <f>SUM(E63)</f>
        <v>34660</v>
      </c>
      <c r="F62" s="57">
        <f>SUM(F64:F68)</f>
        <v>34660</v>
      </c>
    </row>
    <row r="63" spans="1:6" s="38" customFormat="1" ht="42.75" customHeight="1">
      <c r="A63" s="39"/>
      <c r="B63" s="39"/>
      <c r="C63" s="40">
        <v>2110</v>
      </c>
      <c r="D63" s="41" t="s">
        <v>5</v>
      </c>
      <c r="E63" s="42">
        <f>25000+9660</f>
        <v>34660</v>
      </c>
      <c r="F63" s="42"/>
    </row>
    <row r="64" spans="1:6" s="89" customFormat="1" ht="15.75" customHeight="1">
      <c r="A64" s="86"/>
      <c r="B64" s="86"/>
      <c r="C64" s="87">
        <v>4110</v>
      </c>
      <c r="D64" s="92" t="s">
        <v>34</v>
      </c>
      <c r="E64" s="88"/>
      <c r="F64" s="88">
        <v>1599</v>
      </c>
    </row>
    <row r="65" spans="1:6" s="89" customFormat="1" ht="24.75" customHeight="1">
      <c r="A65" s="86"/>
      <c r="B65" s="86"/>
      <c r="C65" s="87">
        <v>4120</v>
      </c>
      <c r="D65" s="92" t="s">
        <v>386</v>
      </c>
      <c r="E65" s="88"/>
      <c r="F65" s="88">
        <v>187</v>
      </c>
    </row>
    <row r="66" spans="1:6" s="89" customFormat="1" ht="15.75" customHeight="1">
      <c r="A66" s="86"/>
      <c r="B66" s="86"/>
      <c r="C66" s="87">
        <v>4170</v>
      </c>
      <c r="D66" s="92" t="s">
        <v>35</v>
      </c>
      <c r="E66" s="88"/>
      <c r="F66" s="88">
        <f>21300+9420</f>
        <v>30720</v>
      </c>
    </row>
    <row r="67" spans="1:6" s="89" customFormat="1" ht="15.75" customHeight="1">
      <c r="A67" s="86"/>
      <c r="B67" s="86"/>
      <c r="C67" s="87">
        <v>4210</v>
      </c>
      <c r="D67" s="92" t="s">
        <v>26</v>
      </c>
      <c r="E67" s="88"/>
      <c r="F67" s="88">
        <f>1739+240</f>
        <v>1979</v>
      </c>
    </row>
    <row r="68" spans="1:6" s="89" customFormat="1" ht="15.75" customHeight="1">
      <c r="A68" s="86"/>
      <c r="B68" s="86"/>
      <c r="C68" s="87">
        <v>4300</v>
      </c>
      <c r="D68" s="92" t="s">
        <v>25</v>
      </c>
      <c r="E68" s="88"/>
      <c r="F68" s="88">
        <v>175</v>
      </c>
    </row>
    <row r="69" spans="1:6" s="89" customFormat="1" ht="15.75" customHeight="1">
      <c r="A69" s="344" t="s">
        <v>369</v>
      </c>
      <c r="B69" s="344"/>
      <c r="C69" s="345"/>
      <c r="D69" s="346" t="s">
        <v>370</v>
      </c>
      <c r="E69" s="347">
        <f>E70</f>
        <v>70885</v>
      </c>
      <c r="F69" s="347">
        <f>F70</f>
        <v>70885</v>
      </c>
    </row>
    <row r="70" spans="1:6" s="89" customFormat="1" ht="15.75" customHeight="1">
      <c r="A70" s="114"/>
      <c r="B70" s="114" t="s">
        <v>373</v>
      </c>
      <c r="C70" s="115"/>
      <c r="D70" s="116" t="s">
        <v>6</v>
      </c>
      <c r="E70" s="117">
        <f>SUM(E71:E72)</f>
        <v>70885</v>
      </c>
      <c r="F70" s="117">
        <f>SUM(F73:F74)</f>
        <v>70885</v>
      </c>
    </row>
    <row r="71" spans="1:6" s="89" customFormat="1" ht="40.5" customHeight="1">
      <c r="A71" s="86"/>
      <c r="B71" s="86"/>
      <c r="C71" s="87">
        <v>2110</v>
      </c>
      <c r="D71" s="41" t="s">
        <v>5</v>
      </c>
      <c r="E71" s="88">
        <v>53200</v>
      </c>
      <c r="F71" s="88"/>
    </row>
    <row r="72" spans="1:6" s="89" customFormat="1" ht="43.5" customHeight="1">
      <c r="A72" s="86"/>
      <c r="B72" s="86"/>
      <c r="C72" s="87">
        <v>6410</v>
      </c>
      <c r="D72" s="348" t="s">
        <v>371</v>
      </c>
      <c r="E72" s="88">
        <v>17685</v>
      </c>
      <c r="F72" s="88"/>
    </row>
    <row r="73" spans="1:6" s="89" customFormat="1" ht="15.75" customHeight="1">
      <c r="A73" s="86"/>
      <c r="B73" s="86"/>
      <c r="C73" s="87">
        <v>4210</v>
      </c>
      <c r="D73" s="92" t="s">
        <v>26</v>
      </c>
      <c r="E73" s="88"/>
      <c r="F73" s="88">
        <v>53200</v>
      </c>
    </row>
    <row r="74" spans="1:6" s="89" customFormat="1" ht="15.75" customHeight="1">
      <c r="A74" s="86"/>
      <c r="B74" s="86"/>
      <c r="C74" s="87">
        <v>6060</v>
      </c>
      <c r="D74" s="349" t="s">
        <v>372</v>
      </c>
      <c r="E74" s="88"/>
      <c r="F74" s="88">
        <v>17685</v>
      </c>
    </row>
    <row r="75" spans="1:6" s="38" customFormat="1" ht="18" customHeight="1">
      <c r="A75" s="68">
        <v>754</v>
      </c>
      <c r="B75" s="68"/>
      <c r="C75" s="69"/>
      <c r="D75" s="70" t="s">
        <v>11</v>
      </c>
      <c r="E75" s="71">
        <f>SUM(E76,E107)</f>
        <v>7203314</v>
      </c>
      <c r="F75" s="71">
        <f>SUM(F76,F107)</f>
        <v>7203314</v>
      </c>
    </row>
    <row r="76" spans="1:6" s="38" customFormat="1" ht="17.25" customHeight="1">
      <c r="A76" s="54"/>
      <c r="B76" s="54">
        <v>75411</v>
      </c>
      <c r="C76" s="55"/>
      <c r="D76" s="56" t="s">
        <v>12</v>
      </c>
      <c r="E76" s="57">
        <f>SUM(E77,J80)</f>
        <v>7197314</v>
      </c>
      <c r="F76" s="57">
        <f>SUM(F78:F106)</f>
        <v>7197314</v>
      </c>
    </row>
    <row r="77" spans="1:6" s="38" customFormat="1" ht="42.75" customHeight="1">
      <c r="A77" s="39"/>
      <c r="B77" s="39"/>
      <c r="C77" s="40">
        <v>2110</v>
      </c>
      <c r="D77" s="41" t="s">
        <v>5</v>
      </c>
      <c r="E77" s="42">
        <f>6834638+355491+7185</f>
        <v>7197314</v>
      </c>
      <c r="F77" s="42"/>
    </row>
    <row r="78" spans="1:6" s="38" customFormat="1" ht="21.75" customHeight="1">
      <c r="A78" s="39"/>
      <c r="B78" s="39"/>
      <c r="C78" s="40">
        <v>3030</v>
      </c>
      <c r="D78" s="41" t="s">
        <v>376</v>
      </c>
      <c r="E78" s="42"/>
      <c r="F78" s="42">
        <v>5000</v>
      </c>
    </row>
    <row r="79" spans="1:6" s="38" customFormat="1" ht="28.5" customHeight="1">
      <c r="A79" s="39"/>
      <c r="B79" s="39"/>
      <c r="C79" s="40">
        <v>3070</v>
      </c>
      <c r="D79" s="41" t="s">
        <v>56</v>
      </c>
      <c r="E79" s="42"/>
      <c r="F79" s="42">
        <v>270029</v>
      </c>
    </row>
    <row r="80" spans="1:6" s="38" customFormat="1" ht="15.75" customHeight="1">
      <c r="A80" s="39"/>
      <c r="B80" s="39"/>
      <c r="C80" s="40">
        <v>4010</v>
      </c>
      <c r="D80" s="41" t="s">
        <v>32</v>
      </c>
      <c r="E80" s="42"/>
      <c r="F80" s="112">
        <f>27724+3600+1500</f>
        <v>32824</v>
      </c>
    </row>
    <row r="81" spans="1:6" s="38" customFormat="1" ht="15.75" customHeight="1">
      <c r="A81" s="39"/>
      <c r="B81" s="39"/>
      <c r="C81" s="40">
        <v>4020</v>
      </c>
      <c r="D81" s="41" t="s">
        <v>52</v>
      </c>
      <c r="E81" s="42"/>
      <c r="F81" s="112">
        <f>101447+10800+4500</f>
        <v>116747</v>
      </c>
    </row>
    <row r="82" spans="1:6" s="38" customFormat="1" ht="15.75" customHeight="1">
      <c r="A82" s="39"/>
      <c r="B82" s="39"/>
      <c r="C82" s="40">
        <v>4040</v>
      </c>
      <c r="D82" s="41" t="s">
        <v>33</v>
      </c>
      <c r="E82" s="42"/>
      <c r="F82" s="112">
        <v>10980</v>
      </c>
    </row>
    <row r="83" spans="1:6" s="38" customFormat="1" ht="15.75" customHeight="1">
      <c r="A83" s="39"/>
      <c r="B83" s="39"/>
      <c r="C83" s="40">
        <v>4050</v>
      </c>
      <c r="D83" s="41" t="s">
        <v>57</v>
      </c>
      <c r="E83" s="42"/>
      <c r="F83" s="112">
        <f>5009604+326681-5542</f>
        <v>5330743</v>
      </c>
    </row>
    <row r="84" spans="1:6" s="38" customFormat="1" ht="29.25" customHeight="1">
      <c r="A84" s="39"/>
      <c r="B84" s="39"/>
      <c r="C84" s="40">
        <v>4060</v>
      </c>
      <c r="D84" s="41" t="s">
        <v>107</v>
      </c>
      <c r="E84" s="42"/>
      <c r="F84" s="112">
        <f>117640+7341+5542</f>
        <v>130523</v>
      </c>
    </row>
    <row r="85" spans="1:6" s="38" customFormat="1" ht="29.25" customHeight="1">
      <c r="A85" s="39"/>
      <c r="B85" s="39"/>
      <c r="C85" s="40">
        <v>4070</v>
      </c>
      <c r="D85" s="41" t="s">
        <v>58</v>
      </c>
      <c r="E85" s="42"/>
      <c r="F85" s="112">
        <v>396331</v>
      </c>
    </row>
    <row r="86" spans="1:6" s="38" customFormat="1" ht="29.25" customHeight="1">
      <c r="A86" s="39"/>
      <c r="B86" s="39"/>
      <c r="C86" s="40">
        <v>4080</v>
      </c>
      <c r="D86" s="41" t="s">
        <v>124</v>
      </c>
      <c r="E86" s="42"/>
      <c r="F86" s="112">
        <v>44215</v>
      </c>
    </row>
    <row r="87" spans="1:6" s="38" customFormat="1" ht="15.75" customHeight="1">
      <c r="A87" s="39"/>
      <c r="B87" s="39"/>
      <c r="C87" s="40">
        <v>4110</v>
      </c>
      <c r="D87" s="41" t="s">
        <v>34</v>
      </c>
      <c r="E87" s="42"/>
      <c r="F87" s="112">
        <f>26895+2495+1038</f>
        <v>30428</v>
      </c>
    </row>
    <row r="88" spans="1:6" s="38" customFormat="1" ht="25.5" customHeight="1">
      <c r="A88" s="39"/>
      <c r="B88" s="39"/>
      <c r="C88" s="40">
        <v>4120</v>
      </c>
      <c r="D88" s="41" t="s">
        <v>386</v>
      </c>
      <c r="E88" s="42"/>
      <c r="F88" s="112">
        <f>3434+362+147</f>
        <v>3943</v>
      </c>
    </row>
    <row r="89" spans="1:6" s="38" customFormat="1" ht="15.75" customHeight="1">
      <c r="A89" s="39"/>
      <c r="B89" s="39"/>
      <c r="C89" s="40">
        <v>4170</v>
      </c>
      <c r="D89" s="41" t="s">
        <v>35</v>
      </c>
      <c r="E89" s="42"/>
      <c r="F89" s="112">
        <v>19000</v>
      </c>
    </row>
    <row r="90" spans="1:6" s="38" customFormat="1" ht="29.25" customHeight="1">
      <c r="A90" s="39"/>
      <c r="B90" s="39"/>
      <c r="C90" s="40">
        <v>4180</v>
      </c>
      <c r="D90" s="41" t="s">
        <v>108</v>
      </c>
      <c r="E90" s="42"/>
      <c r="F90" s="112">
        <f>370648+4212</f>
        <v>374860</v>
      </c>
    </row>
    <row r="91" spans="1:6" s="38" customFormat="1" ht="15.75" customHeight="1">
      <c r="A91" s="39"/>
      <c r="B91" s="39"/>
      <c r="C91" s="40">
        <v>4210</v>
      </c>
      <c r="D91" s="41" t="s">
        <v>26</v>
      </c>
      <c r="E91" s="42"/>
      <c r="F91" s="42">
        <v>119592</v>
      </c>
    </row>
    <row r="92" spans="1:6" s="38" customFormat="1" ht="15.75" customHeight="1">
      <c r="A92" s="39"/>
      <c r="B92" s="39"/>
      <c r="C92" s="40">
        <v>4220</v>
      </c>
      <c r="D92" s="41" t="s">
        <v>59</v>
      </c>
      <c r="E92" s="42"/>
      <c r="F92" s="42">
        <v>9000</v>
      </c>
    </row>
    <row r="93" spans="1:6" s="38" customFormat="1" ht="15.75" customHeight="1">
      <c r="A93" s="39"/>
      <c r="B93" s="39"/>
      <c r="C93" s="40">
        <v>4230</v>
      </c>
      <c r="D93" s="41" t="s">
        <v>60</v>
      </c>
      <c r="E93" s="42"/>
      <c r="F93" s="42">
        <v>8000</v>
      </c>
    </row>
    <row r="94" spans="1:6" s="38" customFormat="1" ht="15.75" customHeight="1">
      <c r="A94" s="39"/>
      <c r="B94" s="39"/>
      <c r="C94" s="40">
        <v>4250</v>
      </c>
      <c r="D94" s="41" t="s">
        <v>61</v>
      </c>
      <c r="E94" s="42"/>
      <c r="F94" s="42">
        <v>16000</v>
      </c>
    </row>
    <row r="95" spans="1:6" s="38" customFormat="1" ht="15.75" customHeight="1">
      <c r="A95" s="39"/>
      <c r="B95" s="39"/>
      <c r="C95" s="40">
        <v>4260</v>
      </c>
      <c r="D95" s="41" t="s">
        <v>36</v>
      </c>
      <c r="E95" s="42"/>
      <c r="F95" s="42">
        <v>78086</v>
      </c>
    </row>
    <row r="96" spans="1:6" s="38" customFormat="1" ht="15.75" customHeight="1">
      <c r="A96" s="39"/>
      <c r="B96" s="39"/>
      <c r="C96" s="40">
        <v>4270</v>
      </c>
      <c r="D96" s="41" t="s">
        <v>37</v>
      </c>
      <c r="E96" s="42"/>
      <c r="F96" s="42">
        <v>61809</v>
      </c>
    </row>
    <row r="97" spans="1:6" s="38" customFormat="1" ht="15.75" customHeight="1">
      <c r="A97" s="39"/>
      <c r="B97" s="39"/>
      <c r="C97" s="40">
        <v>4280</v>
      </c>
      <c r="D97" s="41" t="s">
        <v>50</v>
      </c>
      <c r="E97" s="42"/>
      <c r="F97" s="42">
        <v>29300</v>
      </c>
    </row>
    <row r="98" spans="1:6" s="38" customFormat="1" ht="15.75" customHeight="1">
      <c r="A98" s="39"/>
      <c r="B98" s="39"/>
      <c r="C98" s="40">
        <v>4300</v>
      </c>
      <c r="D98" s="41" t="s">
        <v>25</v>
      </c>
      <c r="E98" s="42"/>
      <c r="F98" s="42">
        <v>43000</v>
      </c>
    </row>
    <row r="99" spans="1:6" s="38" customFormat="1" ht="15.75" customHeight="1">
      <c r="A99" s="39"/>
      <c r="B99" s="39"/>
      <c r="C99" s="40">
        <v>4360</v>
      </c>
      <c r="D99" s="41" t="s">
        <v>93</v>
      </c>
      <c r="E99" s="42"/>
      <c r="F99" s="42">
        <v>8562</v>
      </c>
    </row>
    <row r="100" spans="1:6" s="38" customFormat="1" ht="15.75" customHeight="1">
      <c r="A100" s="39"/>
      <c r="B100" s="39"/>
      <c r="C100" s="40">
        <v>4410</v>
      </c>
      <c r="D100" s="41" t="s">
        <v>38</v>
      </c>
      <c r="E100" s="42"/>
      <c r="F100" s="42">
        <v>15300</v>
      </c>
    </row>
    <row r="101" spans="1:6" s="38" customFormat="1" ht="15.75" customHeight="1">
      <c r="A101" s="39"/>
      <c r="B101" s="39"/>
      <c r="C101" s="40">
        <v>4430</v>
      </c>
      <c r="D101" s="41" t="s">
        <v>39</v>
      </c>
      <c r="E101" s="42"/>
      <c r="F101" s="42">
        <v>3700</v>
      </c>
    </row>
    <row r="102" spans="1:6" s="38" customFormat="1" ht="15.75" customHeight="1">
      <c r="A102" s="39"/>
      <c r="B102" s="39"/>
      <c r="C102" s="40">
        <v>4440</v>
      </c>
      <c r="D102" s="41" t="s">
        <v>40</v>
      </c>
      <c r="E102" s="42"/>
      <c r="F102" s="42">
        <v>4917</v>
      </c>
    </row>
    <row r="103" spans="1:6" s="38" customFormat="1" ht="15.75" customHeight="1">
      <c r="A103" s="39"/>
      <c r="B103" s="39"/>
      <c r="C103" s="40">
        <v>4480</v>
      </c>
      <c r="D103" s="41" t="s">
        <v>41</v>
      </c>
      <c r="E103" s="42"/>
      <c r="F103" s="42">
        <v>24325</v>
      </c>
    </row>
    <row r="104" spans="1:6" s="38" customFormat="1" ht="15.75" customHeight="1">
      <c r="A104" s="39"/>
      <c r="B104" s="39"/>
      <c r="C104" s="40">
        <v>4550</v>
      </c>
      <c r="D104" s="41" t="s">
        <v>53</v>
      </c>
      <c r="E104" s="42"/>
      <c r="F104" s="42">
        <v>3700</v>
      </c>
    </row>
    <row r="105" spans="1:6" s="38" customFormat="1" ht="15.75" customHeight="1">
      <c r="A105" s="39"/>
      <c r="B105" s="39"/>
      <c r="C105" s="40">
        <v>4610</v>
      </c>
      <c r="D105" s="41" t="s">
        <v>48</v>
      </c>
      <c r="E105" s="42"/>
      <c r="F105" s="42">
        <v>900</v>
      </c>
    </row>
    <row r="106" spans="1:6" s="38" customFormat="1" ht="28.5" customHeight="1">
      <c r="A106" s="39"/>
      <c r="B106" s="39"/>
      <c r="C106" s="40">
        <v>4700</v>
      </c>
      <c r="D106" s="41" t="s">
        <v>94</v>
      </c>
      <c r="E106" s="42"/>
      <c r="F106" s="42">
        <v>5500</v>
      </c>
    </row>
    <row r="107" spans="1:6" s="38" customFormat="1" ht="18" customHeight="1">
      <c r="A107" s="54"/>
      <c r="B107" s="54" t="s">
        <v>374</v>
      </c>
      <c r="C107" s="55"/>
      <c r="D107" s="56" t="s">
        <v>375</v>
      </c>
      <c r="E107" s="57">
        <f>SUM(E108)</f>
        <v>6000</v>
      </c>
      <c r="F107" s="57">
        <f>SUM(F109)</f>
        <v>6000</v>
      </c>
    </row>
    <row r="108" spans="1:6" s="38" customFormat="1" ht="48" customHeight="1">
      <c r="A108" s="39"/>
      <c r="B108" s="39"/>
      <c r="C108" s="40">
        <v>2110</v>
      </c>
      <c r="D108" s="61" t="s">
        <v>5</v>
      </c>
      <c r="E108" s="42">
        <v>6000</v>
      </c>
      <c r="F108" s="42"/>
    </row>
    <row r="109" spans="1:6" s="38" customFormat="1" ht="21" customHeight="1">
      <c r="A109" s="39"/>
      <c r="B109" s="39"/>
      <c r="C109" s="40">
        <v>4210</v>
      </c>
      <c r="D109" s="41" t="s">
        <v>26</v>
      </c>
      <c r="E109" s="42"/>
      <c r="F109" s="42">
        <v>6000</v>
      </c>
    </row>
    <row r="110" spans="1:6" s="38" customFormat="1" ht="17.25" customHeight="1">
      <c r="A110" s="68" t="s">
        <v>112</v>
      </c>
      <c r="B110" s="68"/>
      <c r="C110" s="69"/>
      <c r="D110" s="70" t="s">
        <v>109</v>
      </c>
      <c r="E110" s="71">
        <f>AVERAGE(E111)</f>
        <v>330000</v>
      </c>
      <c r="F110" s="71">
        <f>AVERAGE(F111)</f>
        <v>330000</v>
      </c>
    </row>
    <row r="111" spans="1:6" s="38" customFormat="1" ht="17.25" customHeight="1">
      <c r="A111" s="54"/>
      <c r="B111" s="54" t="s">
        <v>111</v>
      </c>
      <c r="C111" s="55"/>
      <c r="D111" s="56" t="s">
        <v>110</v>
      </c>
      <c r="E111" s="57">
        <f>SUM(E112)</f>
        <v>330000</v>
      </c>
      <c r="F111" s="57">
        <f>SUM(F113:F119)</f>
        <v>330000</v>
      </c>
    </row>
    <row r="112" spans="1:6" s="38" customFormat="1" ht="47.25" customHeight="1">
      <c r="A112" s="39"/>
      <c r="B112" s="39"/>
      <c r="C112" s="40">
        <v>2110</v>
      </c>
      <c r="D112" s="61" t="s">
        <v>5</v>
      </c>
      <c r="E112" s="42">
        <v>330000</v>
      </c>
      <c r="F112" s="42"/>
    </row>
    <row r="113" spans="1:6" s="89" customFormat="1" ht="60" customHeight="1">
      <c r="A113" s="86"/>
      <c r="B113" s="86"/>
      <c r="C113" s="93">
        <v>2360</v>
      </c>
      <c r="D113" s="62" t="s">
        <v>113</v>
      </c>
      <c r="E113" s="94"/>
      <c r="F113" s="88">
        <v>190080</v>
      </c>
    </row>
    <row r="114" spans="1:6" s="89" customFormat="1" ht="15.75" customHeight="1">
      <c r="A114" s="86"/>
      <c r="B114" s="86"/>
      <c r="C114" s="93">
        <v>4010</v>
      </c>
      <c r="D114" s="92" t="s">
        <v>32</v>
      </c>
      <c r="E114" s="94"/>
      <c r="F114" s="88">
        <v>5400</v>
      </c>
    </row>
    <row r="115" spans="1:6" s="89" customFormat="1" ht="15.75" customHeight="1">
      <c r="A115" s="86"/>
      <c r="B115" s="86"/>
      <c r="C115" s="93">
        <v>4110</v>
      </c>
      <c r="D115" s="92" t="s">
        <v>34</v>
      </c>
      <c r="E115" s="94"/>
      <c r="F115" s="88">
        <v>924</v>
      </c>
    </row>
    <row r="116" spans="1:6" s="89" customFormat="1" ht="31.5" customHeight="1">
      <c r="A116" s="86"/>
      <c r="B116" s="86"/>
      <c r="C116" s="93">
        <v>4120</v>
      </c>
      <c r="D116" s="92" t="s">
        <v>386</v>
      </c>
      <c r="E116" s="94"/>
      <c r="F116" s="88">
        <v>132</v>
      </c>
    </row>
    <row r="117" spans="1:6" s="89" customFormat="1" ht="15.75" customHeight="1">
      <c r="A117" s="86"/>
      <c r="B117" s="86"/>
      <c r="C117" s="93">
        <v>4170</v>
      </c>
      <c r="D117" s="92" t="s">
        <v>35</v>
      </c>
      <c r="E117" s="94"/>
      <c r="F117" s="88">
        <v>0</v>
      </c>
    </row>
    <row r="118" spans="1:6" s="89" customFormat="1" ht="15.75" customHeight="1">
      <c r="A118" s="86"/>
      <c r="B118" s="86"/>
      <c r="C118" s="87">
        <v>4210</v>
      </c>
      <c r="D118" s="95" t="s">
        <v>26</v>
      </c>
      <c r="E118" s="88"/>
      <c r="F118" s="88">
        <v>5964</v>
      </c>
    </row>
    <row r="119" spans="1:6" s="89" customFormat="1" ht="15.75" customHeight="1">
      <c r="A119" s="86"/>
      <c r="B119" s="86"/>
      <c r="C119" s="87">
        <v>4300</v>
      </c>
      <c r="D119" s="92" t="s">
        <v>25</v>
      </c>
      <c r="E119" s="88"/>
      <c r="F119" s="88">
        <v>127500</v>
      </c>
    </row>
    <row r="120" spans="1:6" s="89" customFormat="1" ht="15.75" customHeight="1">
      <c r="A120" s="344" t="s">
        <v>380</v>
      </c>
      <c r="B120" s="344"/>
      <c r="C120" s="345"/>
      <c r="D120" s="346" t="s">
        <v>381</v>
      </c>
      <c r="E120" s="395">
        <f>E121</f>
        <v>23349</v>
      </c>
      <c r="F120" s="395">
        <f>F121</f>
        <v>23349</v>
      </c>
    </row>
    <row r="121" spans="1:6" s="89" customFormat="1" ht="36" customHeight="1">
      <c r="A121" s="114"/>
      <c r="B121" s="114" t="s">
        <v>382</v>
      </c>
      <c r="C121" s="115"/>
      <c r="D121" s="116" t="s">
        <v>383</v>
      </c>
      <c r="E121" s="394">
        <f>SUM(E122)</f>
        <v>23349</v>
      </c>
      <c r="F121" s="394">
        <f>SUM(F123:F124)</f>
        <v>23349</v>
      </c>
    </row>
    <row r="122" spans="1:6" s="89" customFormat="1" ht="36" customHeight="1">
      <c r="A122" s="328"/>
      <c r="B122" s="328"/>
      <c r="C122" s="329">
        <v>2110</v>
      </c>
      <c r="D122" s="61" t="s">
        <v>5</v>
      </c>
      <c r="E122" s="88">
        <v>23349</v>
      </c>
      <c r="F122" s="88"/>
    </row>
    <row r="123" spans="1:6" s="89" customFormat="1" ht="45" customHeight="1">
      <c r="A123" s="328"/>
      <c r="B123" s="328"/>
      <c r="C123" s="329">
        <v>2830</v>
      </c>
      <c r="D123" s="348" t="s">
        <v>384</v>
      </c>
      <c r="E123" s="88"/>
      <c r="F123" s="125">
        <v>4257</v>
      </c>
    </row>
    <row r="124" spans="1:6" s="89" customFormat="1" ht="21" customHeight="1">
      <c r="A124" s="328"/>
      <c r="B124" s="328"/>
      <c r="C124" s="329">
        <v>4240</v>
      </c>
      <c r="D124" s="348" t="s">
        <v>385</v>
      </c>
      <c r="E124" s="88"/>
      <c r="F124" s="125">
        <v>19092</v>
      </c>
    </row>
    <row r="125" spans="1:6" s="38" customFormat="1" ht="17.25" customHeight="1">
      <c r="A125" s="68">
        <v>851</v>
      </c>
      <c r="B125" s="68"/>
      <c r="C125" s="69"/>
      <c r="D125" s="70" t="s">
        <v>13</v>
      </c>
      <c r="E125" s="71">
        <f>SUM(E126)</f>
        <v>1435600</v>
      </c>
      <c r="F125" s="71">
        <f>SUM(F126)</f>
        <v>1435600</v>
      </c>
    </row>
    <row r="126" spans="1:6" s="38" customFormat="1" ht="33.75" customHeight="1">
      <c r="A126" s="54"/>
      <c r="B126" s="54">
        <v>85156</v>
      </c>
      <c r="C126" s="55"/>
      <c r="D126" s="56" t="s">
        <v>14</v>
      </c>
      <c r="E126" s="57">
        <f>E127</f>
        <v>1435600</v>
      </c>
      <c r="F126" s="57">
        <f>F128</f>
        <v>1435600</v>
      </c>
    </row>
    <row r="127" spans="1:6" s="38" customFormat="1" ht="42.75" customHeight="1">
      <c r="A127" s="39"/>
      <c r="B127" s="39"/>
      <c r="C127" s="40">
        <v>2110</v>
      </c>
      <c r="D127" s="41" t="s">
        <v>5</v>
      </c>
      <c r="E127" s="42">
        <v>1435600</v>
      </c>
      <c r="F127" s="42"/>
    </row>
    <row r="128" spans="1:6" s="38" customFormat="1" ht="15.75" customHeight="1">
      <c r="A128" s="39"/>
      <c r="B128" s="39"/>
      <c r="C128" s="40">
        <v>4130</v>
      </c>
      <c r="D128" s="41" t="s">
        <v>62</v>
      </c>
      <c r="E128" s="42"/>
      <c r="F128" s="42">
        <v>1435600</v>
      </c>
    </row>
    <row r="129" spans="1:6" s="38" customFormat="1" ht="17.25" customHeight="1">
      <c r="A129" s="68" t="s">
        <v>97</v>
      </c>
      <c r="B129" s="68"/>
      <c r="C129" s="69"/>
      <c r="D129" s="70" t="s">
        <v>63</v>
      </c>
      <c r="E129" s="71">
        <f>E130</f>
        <v>841440</v>
      </c>
      <c r="F129" s="71">
        <f>F130</f>
        <v>841440</v>
      </c>
    </row>
    <row r="130" spans="1:6" s="38" customFormat="1" ht="17.25" customHeight="1">
      <c r="A130" s="54"/>
      <c r="B130" s="54">
        <v>85203</v>
      </c>
      <c r="C130" s="55"/>
      <c r="D130" s="56" t="s">
        <v>16</v>
      </c>
      <c r="E130" s="57">
        <f>SUM(E131,)</f>
        <v>841440</v>
      </c>
      <c r="F130" s="57">
        <f>SUM(F132:F150)</f>
        <v>841440</v>
      </c>
    </row>
    <row r="131" spans="1:6" s="38" customFormat="1" ht="43.5" customHeight="1">
      <c r="A131" s="39"/>
      <c r="B131" s="39"/>
      <c r="C131" s="40">
        <v>2110</v>
      </c>
      <c r="D131" s="41" t="s">
        <v>5</v>
      </c>
      <c r="E131" s="42">
        <v>841440</v>
      </c>
      <c r="F131" s="42"/>
    </row>
    <row r="132" spans="1:6" s="38" customFormat="1" ht="15.75" customHeight="1">
      <c r="A132" s="39"/>
      <c r="B132" s="39"/>
      <c r="C132" s="87">
        <v>3020</v>
      </c>
      <c r="D132" s="41" t="s">
        <v>31</v>
      </c>
      <c r="E132" s="88"/>
      <c r="F132" s="88">
        <v>500</v>
      </c>
    </row>
    <row r="133" spans="1:6" s="89" customFormat="1" ht="15.75" customHeight="1">
      <c r="A133" s="86"/>
      <c r="B133" s="86"/>
      <c r="C133" s="87">
        <v>4010</v>
      </c>
      <c r="D133" s="92" t="s">
        <v>32</v>
      </c>
      <c r="E133" s="88"/>
      <c r="F133" s="88">
        <v>450000</v>
      </c>
    </row>
    <row r="134" spans="1:6" s="89" customFormat="1" ht="15.75" customHeight="1">
      <c r="A134" s="86"/>
      <c r="B134" s="86"/>
      <c r="C134" s="87">
        <v>4040</v>
      </c>
      <c r="D134" s="92" t="s">
        <v>33</v>
      </c>
      <c r="E134" s="88"/>
      <c r="F134" s="88">
        <f>25852-458</f>
        <v>25394</v>
      </c>
    </row>
    <row r="135" spans="1:6" s="89" customFormat="1" ht="15.75" customHeight="1">
      <c r="A135" s="86"/>
      <c r="B135" s="86"/>
      <c r="C135" s="87">
        <v>4110</v>
      </c>
      <c r="D135" s="92" t="s">
        <v>34</v>
      </c>
      <c r="E135" s="88"/>
      <c r="F135" s="88">
        <v>85320</v>
      </c>
    </row>
    <row r="136" spans="1:6" s="89" customFormat="1" ht="30" customHeight="1">
      <c r="A136" s="86"/>
      <c r="B136" s="86"/>
      <c r="C136" s="87">
        <v>4120</v>
      </c>
      <c r="D136" s="92" t="s">
        <v>386</v>
      </c>
      <c r="E136" s="88"/>
      <c r="F136" s="88">
        <v>11658</v>
      </c>
    </row>
    <row r="137" spans="1:6" s="89" customFormat="1" ht="15.75" customHeight="1">
      <c r="A137" s="86"/>
      <c r="B137" s="86"/>
      <c r="C137" s="87">
        <v>4170</v>
      </c>
      <c r="D137" s="92" t="s">
        <v>35</v>
      </c>
      <c r="E137" s="88"/>
      <c r="F137" s="88">
        <f>2500+3000</f>
        <v>5500</v>
      </c>
    </row>
    <row r="138" spans="1:6" s="89" customFormat="1" ht="15.75" customHeight="1">
      <c r="A138" s="86"/>
      <c r="B138" s="86"/>
      <c r="C138" s="87">
        <v>4210</v>
      </c>
      <c r="D138" s="92" t="s">
        <v>26</v>
      </c>
      <c r="E138" s="88"/>
      <c r="F138" s="88">
        <v>55864</v>
      </c>
    </row>
    <row r="139" spans="1:6" s="89" customFormat="1" ht="15.75" customHeight="1">
      <c r="A139" s="86"/>
      <c r="B139" s="86"/>
      <c r="C139" s="87">
        <v>4220</v>
      </c>
      <c r="D139" s="92" t="s">
        <v>59</v>
      </c>
      <c r="E139" s="88"/>
      <c r="F139" s="88">
        <v>19000</v>
      </c>
    </row>
    <row r="140" spans="1:6" s="89" customFormat="1" ht="15.75" customHeight="1">
      <c r="A140" s="86"/>
      <c r="B140" s="86"/>
      <c r="C140" s="87">
        <v>4260</v>
      </c>
      <c r="D140" s="92" t="s">
        <v>36</v>
      </c>
      <c r="E140" s="88"/>
      <c r="F140" s="88">
        <v>6000</v>
      </c>
    </row>
    <row r="141" spans="1:6" s="89" customFormat="1" ht="15.75" customHeight="1">
      <c r="A141" s="86"/>
      <c r="B141" s="86"/>
      <c r="C141" s="87">
        <v>4270</v>
      </c>
      <c r="D141" s="92" t="s">
        <v>37</v>
      </c>
      <c r="E141" s="88"/>
      <c r="F141" s="88">
        <f>33577-2529</f>
        <v>31048</v>
      </c>
    </row>
    <row r="142" spans="1:6" s="89" customFormat="1" ht="15.75" customHeight="1">
      <c r="A142" s="86"/>
      <c r="B142" s="86"/>
      <c r="C142" s="87">
        <v>4280</v>
      </c>
      <c r="D142" s="92" t="s">
        <v>50</v>
      </c>
      <c r="E142" s="88"/>
      <c r="F142" s="88">
        <v>400</v>
      </c>
    </row>
    <row r="143" spans="1:6" s="89" customFormat="1" ht="15.75" customHeight="1">
      <c r="A143" s="86"/>
      <c r="B143" s="86"/>
      <c r="C143" s="87">
        <v>4300</v>
      </c>
      <c r="D143" s="92" t="s">
        <v>25</v>
      </c>
      <c r="E143" s="88"/>
      <c r="F143" s="88">
        <v>111823</v>
      </c>
    </row>
    <row r="144" spans="1:6" s="89" customFormat="1" ht="15.75" customHeight="1">
      <c r="A144" s="86"/>
      <c r="B144" s="86"/>
      <c r="C144" s="87">
        <v>4360</v>
      </c>
      <c r="D144" s="92" t="s">
        <v>93</v>
      </c>
      <c r="E144" s="88"/>
      <c r="F144" s="88">
        <v>3850</v>
      </c>
    </row>
    <row r="145" spans="1:6" s="89" customFormat="1" ht="15.75" customHeight="1">
      <c r="A145" s="86"/>
      <c r="B145" s="86"/>
      <c r="C145" s="87">
        <v>4410</v>
      </c>
      <c r="D145" s="92" t="s">
        <v>38</v>
      </c>
      <c r="E145" s="88"/>
      <c r="F145" s="88">
        <v>2000</v>
      </c>
    </row>
    <row r="146" spans="1:6" s="89" customFormat="1" ht="15.75" customHeight="1">
      <c r="A146" s="86"/>
      <c r="B146" s="86"/>
      <c r="C146" s="87">
        <v>4430</v>
      </c>
      <c r="D146" s="92" t="s">
        <v>39</v>
      </c>
      <c r="E146" s="88"/>
      <c r="F146" s="88">
        <v>1125</v>
      </c>
    </row>
    <row r="147" spans="1:6" s="89" customFormat="1" ht="15.75" customHeight="1">
      <c r="A147" s="86"/>
      <c r="B147" s="86"/>
      <c r="C147" s="87">
        <v>4440</v>
      </c>
      <c r="D147" s="92" t="s">
        <v>40</v>
      </c>
      <c r="E147" s="88"/>
      <c r="F147" s="88">
        <v>11269</v>
      </c>
    </row>
    <row r="148" spans="1:6" s="89" customFormat="1" ht="15.75" customHeight="1">
      <c r="A148" s="86"/>
      <c r="B148" s="86"/>
      <c r="C148" s="87">
        <v>4480</v>
      </c>
      <c r="D148" s="92" t="s">
        <v>41</v>
      </c>
      <c r="E148" s="88"/>
      <c r="F148" s="88">
        <v>3632</v>
      </c>
    </row>
    <row r="149" spans="1:6" s="89" customFormat="1" ht="15.75" customHeight="1">
      <c r="A149" s="86"/>
      <c r="B149" s="86"/>
      <c r="C149" s="87">
        <v>4520</v>
      </c>
      <c r="D149" s="92" t="s">
        <v>42</v>
      </c>
      <c r="E149" s="88"/>
      <c r="F149" s="88">
        <f>3070-13</f>
        <v>3057</v>
      </c>
    </row>
    <row r="150" spans="1:6" s="89" customFormat="1" ht="31.5" customHeight="1">
      <c r="A150" s="86"/>
      <c r="B150" s="86"/>
      <c r="C150" s="87">
        <v>4700</v>
      </c>
      <c r="D150" s="92" t="s">
        <v>94</v>
      </c>
      <c r="E150" s="88"/>
      <c r="F150" s="88">
        <v>14000</v>
      </c>
    </row>
    <row r="151" spans="1:6" s="38" customFormat="1" ht="17.25" customHeight="1">
      <c r="A151" s="68">
        <v>853</v>
      </c>
      <c r="B151" s="68"/>
      <c r="C151" s="69"/>
      <c r="D151" s="70" t="s">
        <v>18</v>
      </c>
      <c r="E151" s="71">
        <f>SUM(E152,E164)</f>
        <v>191273</v>
      </c>
      <c r="F151" s="71">
        <f>SUM(F152,F164)</f>
        <v>191273</v>
      </c>
    </row>
    <row r="152" spans="1:6" s="38" customFormat="1" ht="17.25" customHeight="1">
      <c r="A152" s="54"/>
      <c r="B152" s="54">
        <v>85321</v>
      </c>
      <c r="C152" s="55"/>
      <c r="D152" s="56" t="s">
        <v>20</v>
      </c>
      <c r="E152" s="57">
        <f>SUM(E153)</f>
        <v>146228</v>
      </c>
      <c r="F152" s="57">
        <f>SUM(F153:F163)</f>
        <v>146228</v>
      </c>
    </row>
    <row r="153" spans="1:6" s="38" customFormat="1" ht="42.75" customHeight="1">
      <c r="A153" s="39"/>
      <c r="B153" s="39"/>
      <c r="C153" s="40">
        <v>2110</v>
      </c>
      <c r="D153" s="41" t="s">
        <v>5</v>
      </c>
      <c r="E153" s="42">
        <f>134228+12000</f>
        <v>146228</v>
      </c>
      <c r="F153" s="42"/>
    </row>
    <row r="154" spans="1:6" s="38" customFormat="1" ht="15.75" customHeight="1">
      <c r="A154" s="39"/>
      <c r="B154" s="39"/>
      <c r="C154" s="40">
        <v>3020</v>
      </c>
      <c r="D154" s="41" t="s">
        <v>31</v>
      </c>
      <c r="E154" s="42"/>
      <c r="F154" s="42">
        <v>50</v>
      </c>
    </row>
    <row r="155" spans="1:6" s="89" customFormat="1" ht="15.75" customHeight="1">
      <c r="A155" s="86"/>
      <c r="B155" s="86"/>
      <c r="C155" s="87">
        <v>4010</v>
      </c>
      <c r="D155" s="92" t="s">
        <v>32</v>
      </c>
      <c r="E155" s="88"/>
      <c r="F155" s="125">
        <f>54621+2000</f>
        <v>56621</v>
      </c>
    </row>
    <row r="156" spans="1:6" s="89" customFormat="1" ht="15.75" customHeight="1">
      <c r="A156" s="86"/>
      <c r="B156" s="86"/>
      <c r="C156" s="87">
        <v>4040</v>
      </c>
      <c r="D156" s="92" t="s">
        <v>33</v>
      </c>
      <c r="E156" s="88"/>
      <c r="F156" s="125">
        <f>4177-235</f>
        <v>3942</v>
      </c>
    </row>
    <row r="157" spans="1:6" s="89" customFormat="1" ht="15.75" customHeight="1">
      <c r="A157" s="86"/>
      <c r="B157" s="86"/>
      <c r="C157" s="87">
        <v>4110</v>
      </c>
      <c r="D157" s="92" t="s">
        <v>34</v>
      </c>
      <c r="E157" s="88"/>
      <c r="F157" s="125">
        <v>13965</v>
      </c>
    </row>
    <row r="158" spans="1:6" s="89" customFormat="1" ht="27.75" customHeight="1">
      <c r="A158" s="86"/>
      <c r="B158" s="86"/>
      <c r="C158" s="87">
        <v>4120</v>
      </c>
      <c r="D158" s="92" t="s">
        <v>386</v>
      </c>
      <c r="E158" s="88"/>
      <c r="F158" s="125">
        <v>1987</v>
      </c>
    </row>
    <row r="159" spans="1:6" s="89" customFormat="1" ht="15.75" customHeight="1">
      <c r="A159" s="86"/>
      <c r="B159" s="86"/>
      <c r="C159" s="87">
        <v>4170</v>
      </c>
      <c r="D159" s="92" t="s">
        <v>35</v>
      </c>
      <c r="E159" s="88"/>
      <c r="F159" s="125">
        <f>22300+4235</f>
        <v>26535</v>
      </c>
    </row>
    <row r="160" spans="1:6" s="89" customFormat="1" ht="15.75" customHeight="1">
      <c r="A160" s="86"/>
      <c r="B160" s="86"/>
      <c r="C160" s="87">
        <v>4210</v>
      </c>
      <c r="D160" s="92" t="s">
        <v>26</v>
      </c>
      <c r="E160" s="88"/>
      <c r="F160" s="125">
        <v>2833</v>
      </c>
    </row>
    <row r="161" spans="1:6" s="89" customFormat="1" ht="15.75" customHeight="1">
      <c r="A161" s="86"/>
      <c r="B161" s="86"/>
      <c r="C161" s="87">
        <v>4280</v>
      </c>
      <c r="D161" s="92" t="s">
        <v>50</v>
      </c>
      <c r="E161" s="88"/>
      <c r="F161" s="125">
        <v>100</v>
      </c>
    </row>
    <row r="162" spans="1:6" s="89" customFormat="1" ht="15.75" customHeight="1">
      <c r="A162" s="86"/>
      <c r="B162" s="86"/>
      <c r="C162" s="87">
        <v>4300</v>
      </c>
      <c r="D162" s="92" t="s">
        <v>25</v>
      </c>
      <c r="E162" s="88"/>
      <c r="F162" s="125">
        <f>32966+6000</f>
        <v>38966</v>
      </c>
    </row>
    <row r="163" spans="1:6" s="89" customFormat="1" ht="15.75" customHeight="1">
      <c r="A163" s="86"/>
      <c r="B163" s="86"/>
      <c r="C163" s="87">
        <v>4440</v>
      </c>
      <c r="D163" s="92" t="s">
        <v>40</v>
      </c>
      <c r="E163" s="88"/>
      <c r="F163" s="125">
        <v>1229</v>
      </c>
    </row>
    <row r="164" spans="1:6" s="89" customFormat="1" ht="15.75" customHeight="1">
      <c r="A164" s="114"/>
      <c r="B164" s="114" t="s">
        <v>336</v>
      </c>
      <c r="C164" s="115"/>
      <c r="D164" s="116" t="s">
        <v>6</v>
      </c>
      <c r="E164" s="117">
        <f>E165</f>
        <v>45045</v>
      </c>
      <c r="F164" s="117">
        <f>F166</f>
        <v>45045</v>
      </c>
    </row>
    <row r="165" spans="1:6" s="89" customFormat="1" ht="39" customHeight="1">
      <c r="A165" s="328"/>
      <c r="B165" s="328"/>
      <c r="C165" s="329">
        <v>2110</v>
      </c>
      <c r="D165" s="41" t="s">
        <v>5</v>
      </c>
      <c r="E165" s="125">
        <v>45045</v>
      </c>
      <c r="F165" s="125"/>
    </row>
    <row r="166" spans="1:6" s="89" customFormat="1" ht="15.75" customHeight="1">
      <c r="A166" s="86"/>
      <c r="B166" s="86"/>
      <c r="C166" s="87">
        <v>3110</v>
      </c>
      <c r="D166" s="92" t="s">
        <v>66</v>
      </c>
      <c r="E166" s="88"/>
      <c r="F166" s="88">
        <v>45045</v>
      </c>
    </row>
    <row r="167" spans="1:6" s="89" customFormat="1" ht="15.75" customHeight="1">
      <c r="A167" s="68" t="s">
        <v>116</v>
      </c>
      <c r="B167" s="68"/>
      <c r="C167" s="69"/>
      <c r="D167" s="70" t="s">
        <v>114</v>
      </c>
      <c r="E167" s="71">
        <f>SUM(E168,E174,E178)</f>
        <v>532919</v>
      </c>
      <c r="F167" s="71">
        <f>SUM(F168,F174,F178)</f>
        <v>532919</v>
      </c>
    </row>
    <row r="168" spans="1:6" s="118" customFormat="1" ht="15.75" customHeight="1">
      <c r="A168" s="114"/>
      <c r="B168" s="114" t="s">
        <v>146</v>
      </c>
      <c r="C168" s="115"/>
      <c r="D168" s="116" t="s">
        <v>126</v>
      </c>
      <c r="E168" s="117">
        <f>E169</f>
        <v>23000</v>
      </c>
      <c r="F168" s="117">
        <f>SUM(F170:F173)</f>
        <v>23000</v>
      </c>
    </row>
    <row r="169" spans="1:6" s="89" customFormat="1" ht="42" customHeight="1">
      <c r="A169" s="86"/>
      <c r="B169" s="86"/>
      <c r="C169" s="87">
        <v>2110</v>
      </c>
      <c r="D169" s="111" t="s">
        <v>5</v>
      </c>
      <c r="E169" s="88">
        <v>23000</v>
      </c>
      <c r="F169" s="88"/>
    </row>
    <row r="170" spans="1:6" s="89" customFormat="1" ht="15.75" customHeight="1">
      <c r="A170" s="86"/>
      <c r="B170" s="86"/>
      <c r="C170" s="87">
        <v>3110</v>
      </c>
      <c r="D170" s="41" t="s">
        <v>31</v>
      </c>
      <c r="E170" s="88"/>
      <c r="F170" s="88">
        <v>22200</v>
      </c>
    </row>
    <row r="171" spans="1:6" s="89" customFormat="1" ht="15.75" customHeight="1">
      <c r="A171" s="86"/>
      <c r="B171" s="86"/>
      <c r="C171" s="87">
        <v>4010</v>
      </c>
      <c r="D171" s="92" t="s">
        <v>32</v>
      </c>
      <c r="E171" s="88"/>
      <c r="F171" s="88">
        <v>669</v>
      </c>
    </row>
    <row r="172" spans="1:6" s="89" customFormat="1" ht="15.75" customHeight="1">
      <c r="A172" s="86"/>
      <c r="B172" s="86"/>
      <c r="C172" s="87">
        <v>4110</v>
      </c>
      <c r="D172" s="92" t="s">
        <v>34</v>
      </c>
      <c r="E172" s="88"/>
      <c r="F172" s="88">
        <v>115</v>
      </c>
    </row>
    <row r="173" spans="1:6" s="89" customFormat="1" ht="27.75" customHeight="1">
      <c r="A173" s="86"/>
      <c r="B173" s="86"/>
      <c r="C173" s="87">
        <v>4120</v>
      </c>
      <c r="D173" s="92" t="s">
        <v>386</v>
      </c>
      <c r="E173" s="88"/>
      <c r="F173" s="88">
        <v>16</v>
      </c>
    </row>
    <row r="174" spans="1:6" s="38" customFormat="1" ht="17.25" customHeight="1">
      <c r="A174" s="54"/>
      <c r="B174" s="54" t="s">
        <v>117</v>
      </c>
      <c r="C174" s="55"/>
      <c r="D174" s="56" t="s">
        <v>17</v>
      </c>
      <c r="E174" s="57">
        <f>SUM(E175)</f>
        <v>409000</v>
      </c>
      <c r="F174" s="57">
        <f>SUM(F175:F177)</f>
        <v>409000</v>
      </c>
    </row>
    <row r="175" spans="1:6" s="89" customFormat="1" ht="60" customHeight="1">
      <c r="A175" s="86"/>
      <c r="B175" s="86"/>
      <c r="C175" s="87">
        <v>2160</v>
      </c>
      <c r="D175" s="73" t="s">
        <v>118</v>
      </c>
      <c r="E175" s="88">
        <v>409000</v>
      </c>
      <c r="F175" s="88"/>
    </row>
    <row r="176" spans="1:6" s="89" customFormat="1" ht="15.75" customHeight="1">
      <c r="A176" s="86"/>
      <c r="B176" s="86"/>
      <c r="C176" s="87">
        <v>3110</v>
      </c>
      <c r="D176" s="92" t="s">
        <v>66</v>
      </c>
      <c r="E176" s="88"/>
      <c r="F176" s="88">
        <v>404950</v>
      </c>
    </row>
    <row r="177" spans="1:6" s="89" customFormat="1" ht="15.75" customHeight="1">
      <c r="A177" s="86"/>
      <c r="B177" s="86"/>
      <c r="C177" s="87">
        <v>4010</v>
      </c>
      <c r="D177" s="92" t="s">
        <v>32</v>
      </c>
      <c r="E177" s="88"/>
      <c r="F177" s="88">
        <v>4050</v>
      </c>
    </row>
    <row r="178" spans="1:6" s="38" customFormat="1" ht="17.25" customHeight="1">
      <c r="A178" s="54"/>
      <c r="B178" s="54" t="s">
        <v>119</v>
      </c>
      <c r="C178" s="55"/>
      <c r="D178" s="56" t="s">
        <v>115</v>
      </c>
      <c r="E178" s="57">
        <f>SUM(E179:E180)</f>
        <v>100919</v>
      </c>
      <c r="F178" s="57">
        <f>SUM(F181:F184)</f>
        <v>100919</v>
      </c>
    </row>
    <row r="179" spans="1:6" s="113" customFormat="1" ht="52.9" customHeight="1">
      <c r="A179" s="109"/>
      <c r="B179" s="109"/>
      <c r="C179" s="110">
        <v>2110</v>
      </c>
      <c r="D179" s="111" t="s">
        <v>5</v>
      </c>
      <c r="E179" s="112">
        <f>5000+55919</f>
        <v>60919</v>
      </c>
      <c r="F179" s="112"/>
    </row>
    <row r="180" spans="1:6" s="89" customFormat="1" ht="61.5" customHeight="1">
      <c r="A180" s="86"/>
      <c r="B180" s="86"/>
      <c r="C180" s="87">
        <v>2160</v>
      </c>
      <c r="D180" s="73" t="s">
        <v>118</v>
      </c>
      <c r="E180" s="88">
        <v>40000</v>
      </c>
      <c r="F180" s="88"/>
    </row>
    <row r="181" spans="1:6" s="89" customFormat="1" ht="15.75" customHeight="1">
      <c r="A181" s="86"/>
      <c r="B181" s="86"/>
      <c r="C181" s="87">
        <v>3110</v>
      </c>
      <c r="D181" s="92" t="s">
        <v>66</v>
      </c>
      <c r="E181" s="88"/>
      <c r="F181" s="125">
        <f>40298+7634</f>
        <v>47932</v>
      </c>
    </row>
    <row r="182" spans="1:6" s="89" customFormat="1" ht="15.75" customHeight="1">
      <c r="A182" s="86"/>
      <c r="B182" s="86"/>
      <c r="C182" s="87">
        <v>4010</v>
      </c>
      <c r="D182" s="92" t="s">
        <v>32</v>
      </c>
      <c r="E182" s="88"/>
      <c r="F182" s="125">
        <f>3987+40348</f>
        <v>44335</v>
      </c>
    </row>
    <row r="183" spans="1:6" s="89" customFormat="1" ht="15.75" customHeight="1">
      <c r="A183" s="86"/>
      <c r="B183" s="86"/>
      <c r="C183" s="87">
        <v>4110</v>
      </c>
      <c r="D183" s="92" t="s">
        <v>34</v>
      </c>
      <c r="E183" s="88"/>
      <c r="F183" s="125">
        <f>627+6948</f>
        <v>7575</v>
      </c>
    </row>
    <row r="184" spans="1:6" s="89" customFormat="1" ht="30" customHeight="1">
      <c r="A184" s="86"/>
      <c r="B184" s="86"/>
      <c r="C184" s="87">
        <v>4120</v>
      </c>
      <c r="D184" s="92" t="s">
        <v>386</v>
      </c>
      <c r="E184" s="88"/>
      <c r="F184" s="125">
        <f>88+989</f>
        <v>1077</v>
      </c>
    </row>
    <row r="185" spans="1:6" s="38" customFormat="1" ht="20.25" customHeight="1">
      <c r="A185" s="435" t="s">
        <v>95</v>
      </c>
      <c r="B185" s="436"/>
      <c r="C185" s="436"/>
      <c r="D185" s="437"/>
      <c r="E185" s="67">
        <f>SUM(E5,E9,E27,E56,E69,E75,E110,E120,E125,E129,E151,E167,)</f>
        <v>12144900</v>
      </c>
      <c r="F185" s="67">
        <f>SUM(F5,F9,F27,F56,F69,F75,F110,F120,F125,F129,F151,F167,)</f>
        <v>12144900</v>
      </c>
    </row>
    <row r="186" spans="1:6" ht="15.75" customHeight="1"/>
    <row r="187" spans="1:6" ht="15.75" customHeight="1"/>
    <row r="188" spans="1:6" s="43" customFormat="1" ht="15.75" customHeight="1">
      <c r="E188" s="122"/>
      <c r="F188" s="123"/>
    </row>
    <row r="189" spans="1:6" s="43" customFormat="1" ht="15.75" customHeight="1">
      <c r="E189" s="123"/>
      <c r="F189" s="123"/>
    </row>
    <row r="190" spans="1:6" s="43" customFormat="1" ht="15.75" customHeight="1">
      <c r="E190" s="124"/>
      <c r="F190" s="124"/>
    </row>
    <row r="191" spans="1:6" ht="15.75" customHeight="1"/>
    <row r="192" spans="1:6" ht="15.75" customHeight="1"/>
    <row r="193" ht="15.75" customHeight="1"/>
    <row r="194" ht="15.75" customHeight="1"/>
    <row r="195" ht="15.75" customHeight="1"/>
    <row r="196" ht="15.75" customHeight="1"/>
  </sheetData>
  <sheetProtection algorithmName="SHA-512" hashValue="AMwZEZd0JPxA3NUxxGStpkLI/o3ZOV94XJAXuSMWx/9RdyY2T3J0ioSUMvXXWrn2lIIg3FLlcCo+wzTwN2LNZQ==" saltValue="3OQ252cZL3u3E14H05klrw==" spinCount="100000" sheet="1" objects="1" scenarios="1" formatColumns="0" formatRows="0"/>
  <autoFilter ref="C1:C196"/>
  <mergeCells count="2">
    <mergeCell ref="A2:F2"/>
    <mergeCell ref="A185:D185"/>
  </mergeCells>
  <pageMargins left="0.86614173228346458" right="0.27559055118110237" top="1.1417322834645669" bottom="0.78740157480314965" header="0.51181102362204722" footer="0.39370078740157483"/>
  <pageSetup paperSize="9" scale="85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00B050"/>
  </sheetPr>
  <dimension ref="B1:G41"/>
  <sheetViews>
    <sheetView zoomScaleNormal="100" workbookViewId="0">
      <pane ySplit="4" topLeftCell="A5" activePane="bottomLeft" state="frozen"/>
      <selection activeCell="C11" sqref="C11:I13"/>
      <selection pane="bottomLeft" activeCell="A10" sqref="A10:XFD10"/>
    </sheetView>
  </sheetViews>
  <sheetFormatPr defaultColWidth="9.33203125" defaultRowHeight="12"/>
  <cols>
    <col min="1" max="1" width="3.6640625" style="47" customWidth="1"/>
    <col min="2" max="2" width="6.33203125" style="44" customWidth="1"/>
    <col min="3" max="4" width="10" style="44" customWidth="1"/>
    <col min="5" max="5" width="65.6640625" style="45" customWidth="1"/>
    <col min="6" max="7" width="18.83203125" style="46" customWidth="1"/>
    <col min="8" max="16384" width="9.33203125" style="47"/>
  </cols>
  <sheetData>
    <row r="1" spans="2:7" ht="16.5" customHeight="1"/>
    <row r="2" spans="2:7" ht="29.25" customHeight="1">
      <c r="B2" s="438" t="s">
        <v>160</v>
      </c>
      <c r="C2" s="438"/>
      <c r="D2" s="438"/>
      <c r="E2" s="438"/>
      <c r="F2" s="438"/>
      <c r="G2" s="438"/>
    </row>
    <row r="3" spans="2:7" ht="15.75" customHeight="1">
      <c r="B3" s="72"/>
      <c r="C3" s="72"/>
      <c r="D3" s="72"/>
      <c r="E3" s="72"/>
      <c r="F3" s="72"/>
      <c r="G3" s="72"/>
    </row>
    <row r="4" spans="2:7" s="48" customFormat="1" ht="42" customHeight="1">
      <c r="B4" s="74" t="s">
        <v>0</v>
      </c>
      <c r="C4" s="74" t="s">
        <v>1</v>
      </c>
      <c r="D4" s="74" t="s">
        <v>89</v>
      </c>
      <c r="E4" s="75" t="s">
        <v>90</v>
      </c>
      <c r="F4" s="76" t="s">
        <v>91</v>
      </c>
      <c r="G4" s="76" t="s">
        <v>92</v>
      </c>
    </row>
    <row r="5" spans="2:7" s="48" customFormat="1" ht="17.25" customHeight="1">
      <c r="B5" s="77">
        <v>600</v>
      </c>
      <c r="C5" s="77"/>
      <c r="D5" s="77"/>
      <c r="E5" s="78" t="s">
        <v>28</v>
      </c>
      <c r="F5" s="79">
        <f>SUM(F6,F8)</f>
        <v>1977943</v>
      </c>
      <c r="G5" s="79">
        <f>G6+G8</f>
        <v>250000</v>
      </c>
    </row>
    <row r="6" spans="2:7" s="49" customFormat="1" ht="17.25" customHeight="1">
      <c r="B6" s="80"/>
      <c r="C6" s="80">
        <v>60004</v>
      </c>
      <c r="D6" s="80"/>
      <c r="E6" s="81" t="s">
        <v>29</v>
      </c>
      <c r="F6" s="82"/>
      <c r="G6" s="82">
        <f>SUM(G7)</f>
        <v>250000</v>
      </c>
    </row>
    <row r="7" spans="2:7" s="85" customFormat="1" ht="46.5" customHeight="1">
      <c r="B7" s="84"/>
      <c r="C7" s="84"/>
      <c r="D7" s="84">
        <v>2310</v>
      </c>
      <c r="E7" s="53" t="s">
        <v>30</v>
      </c>
      <c r="F7" s="60"/>
      <c r="G7" s="60">
        <v>250000</v>
      </c>
    </row>
    <row r="8" spans="2:7" s="49" customFormat="1" ht="17.25" customHeight="1">
      <c r="B8" s="80"/>
      <c r="C8" s="80">
        <v>60014</v>
      </c>
      <c r="D8" s="80"/>
      <c r="E8" s="81" t="s">
        <v>7</v>
      </c>
      <c r="F8" s="82">
        <f>SUM(F9:F11)</f>
        <v>1977943</v>
      </c>
      <c r="G8" s="82"/>
    </row>
    <row r="9" spans="2:7" s="119" customFormat="1" ht="42.6" customHeight="1">
      <c r="B9" s="120"/>
      <c r="C9" s="120"/>
      <c r="D9" s="120">
        <v>2710</v>
      </c>
      <c r="E9" s="53" t="s">
        <v>9</v>
      </c>
      <c r="F9" s="121">
        <v>100000</v>
      </c>
      <c r="G9" s="121"/>
    </row>
    <row r="10" spans="2:7" s="399" customFormat="1" ht="50.25" customHeight="1">
      <c r="B10" s="396"/>
      <c r="C10" s="396"/>
      <c r="D10" s="396">
        <v>6300</v>
      </c>
      <c r="E10" s="397" t="s">
        <v>8</v>
      </c>
      <c r="F10" s="398">
        <f>1786000-432500-20000</f>
        <v>1333500</v>
      </c>
      <c r="G10" s="398"/>
    </row>
    <row r="11" spans="2:7" s="49" customFormat="1" ht="49.5" customHeight="1">
      <c r="B11" s="50"/>
      <c r="C11" s="50"/>
      <c r="D11" s="50">
        <v>6630</v>
      </c>
      <c r="E11" s="53" t="s">
        <v>96</v>
      </c>
      <c r="F11" s="60">
        <f>557375-12932</f>
        <v>544443</v>
      </c>
      <c r="G11" s="52"/>
    </row>
    <row r="12" spans="2:7" s="48" customFormat="1" ht="17.25" customHeight="1">
      <c r="B12" s="77">
        <v>710</v>
      </c>
      <c r="C12" s="77"/>
      <c r="D12" s="77"/>
      <c r="E12" s="78" t="s">
        <v>49</v>
      </c>
      <c r="F12" s="79"/>
      <c r="G12" s="79">
        <f>SUM(G13)</f>
        <v>70572</v>
      </c>
    </row>
    <row r="13" spans="2:7" s="49" customFormat="1" ht="17.25" customHeight="1">
      <c r="B13" s="80"/>
      <c r="C13" s="80">
        <v>71095</v>
      </c>
      <c r="D13" s="80"/>
      <c r="E13" s="81" t="s">
        <v>6</v>
      </c>
      <c r="F13" s="82"/>
      <c r="G13" s="82">
        <f>SUM(G14)</f>
        <v>70572</v>
      </c>
    </row>
    <row r="14" spans="2:7" s="49" customFormat="1" ht="51" customHeight="1">
      <c r="B14" s="50"/>
      <c r="C14" s="50"/>
      <c r="D14" s="50">
        <v>6639</v>
      </c>
      <c r="E14" s="51" t="s">
        <v>27</v>
      </c>
      <c r="F14" s="60"/>
      <c r="G14" s="60">
        <v>70572</v>
      </c>
    </row>
    <row r="15" spans="2:7" s="49" customFormat="1" ht="17.25" customHeight="1">
      <c r="B15" s="78">
        <v>750</v>
      </c>
      <c r="C15" s="78"/>
      <c r="D15" s="78"/>
      <c r="E15" s="78" t="s">
        <v>54</v>
      </c>
      <c r="F15" s="138">
        <f>SUM(F16)</f>
        <v>59000</v>
      </c>
      <c r="G15" s="78"/>
    </row>
    <row r="16" spans="2:7" s="49" customFormat="1" ht="17.25" customHeight="1">
      <c r="B16" s="80"/>
      <c r="C16" s="80">
        <v>75020</v>
      </c>
      <c r="D16" s="80"/>
      <c r="E16" s="136" t="s">
        <v>158</v>
      </c>
      <c r="F16" s="139">
        <f>SUM(F17)</f>
        <v>59000</v>
      </c>
      <c r="G16" s="137"/>
    </row>
    <row r="17" spans="2:7" s="49" customFormat="1" ht="45.75" customHeight="1">
      <c r="B17" s="50"/>
      <c r="C17" s="50"/>
      <c r="D17" s="50">
        <v>2710</v>
      </c>
      <c r="E17" s="53" t="s">
        <v>9</v>
      </c>
      <c r="F17" s="60">
        <f>30000+29000</f>
        <v>59000</v>
      </c>
      <c r="G17" s="60"/>
    </row>
    <row r="18" spans="2:7" s="48" customFormat="1" ht="17.25" customHeight="1">
      <c r="B18" s="77">
        <v>853</v>
      </c>
      <c r="C18" s="77"/>
      <c r="D18" s="77"/>
      <c r="E18" s="78" t="s">
        <v>18</v>
      </c>
      <c r="F18" s="79">
        <f>SUM(F19)</f>
        <v>9887</v>
      </c>
      <c r="G18" s="79">
        <f>SUM(G19)</f>
        <v>2000</v>
      </c>
    </row>
    <row r="19" spans="2:7" s="49" customFormat="1" ht="19.5" customHeight="1">
      <c r="B19" s="80"/>
      <c r="C19" s="80">
        <v>85311</v>
      </c>
      <c r="D19" s="80"/>
      <c r="E19" s="81" t="s">
        <v>19</v>
      </c>
      <c r="F19" s="82">
        <f>SUM(F20)</f>
        <v>9887</v>
      </c>
      <c r="G19" s="82">
        <f>SUM(G20:G21)</f>
        <v>2000</v>
      </c>
    </row>
    <row r="20" spans="2:7" s="85" customFormat="1" ht="47.25" customHeight="1">
      <c r="B20" s="84"/>
      <c r="C20" s="84"/>
      <c r="D20" s="84">
        <v>2320</v>
      </c>
      <c r="E20" s="53" t="s">
        <v>15</v>
      </c>
      <c r="F20" s="60">
        <v>9887</v>
      </c>
      <c r="G20" s="60"/>
    </row>
    <row r="21" spans="2:7" s="85" customFormat="1" ht="48" customHeight="1">
      <c r="B21" s="84"/>
      <c r="C21" s="84"/>
      <c r="D21" s="84">
        <v>2320</v>
      </c>
      <c r="E21" s="53" t="s">
        <v>64</v>
      </c>
      <c r="F21" s="60"/>
      <c r="G21" s="60">
        <v>2000</v>
      </c>
    </row>
    <row r="22" spans="2:7" s="48" customFormat="1" ht="17.25" customHeight="1">
      <c r="B22" s="77">
        <v>855</v>
      </c>
      <c r="C22" s="77"/>
      <c r="D22" s="77"/>
      <c r="E22" s="78" t="s">
        <v>114</v>
      </c>
      <c r="F22" s="79">
        <f>SUM(F23,F26,F28)</f>
        <v>874212</v>
      </c>
      <c r="G22" s="79">
        <f>SUM(G23,G26,G28)</f>
        <v>874168</v>
      </c>
    </row>
    <row r="23" spans="2:7" s="49" customFormat="1" ht="17.25" customHeight="1">
      <c r="B23" s="80"/>
      <c r="C23" s="80">
        <v>85508</v>
      </c>
      <c r="D23" s="80"/>
      <c r="E23" s="81" t="s">
        <v>17</v>
      </c>
      <c r="F23" s="82">
        <f>SUM(F24)</f>
        <v>204106</v>
      </c>
      <c r="G23" s="82">
        <f>SUM(G24:G25)</f>
        <v>538236</v>
      </c>
    </row>
    <row r="24" spans="2:7" s="85" customFormat="1" ht="50.25" customHeight="1">
      <c r="B24" s="84"/>
      <c r="C24" s="84"/>
      <c r="D24" s="84">
        <v>2320</v>
      </c>
      <c r="E24" s="53" t="s">
        <v>15</v>
      </c>
      <c r="F24" s="60">
        <v>204106</v>
      </c>
      <c r="G24" s="60"/>
    </row>
    <row r="25" spans="2:7" s="85" customFormat="1" ht="47.25" customHeight="1">
      <c r="B25" s="84"/>
      <c r="C25" s="84"/>
      <c r="D25" s="84">
        <v>2320</v>
      </c>
      <c r="E25" s="53" t="s">
        <v>64</v>
      </c>
      <c r="F25" s="60"/>
      <c r="G25" s="60">
        <v>538236</v>
      </c>
    </row>
    <row r="26" spans="2:7" s="49" customFormat="1" ht="17.25" customHeight="1">
      <c r="B26" s="80"/>
      <c r="C26" s="80">
        <v>85509</v>
      </c>
      <c r="D26" s="80"/>
      <c r="E26" s="81" t="s">
        <v>145</v>
      </c>
      <c r="F26" s="82"/>
      <c r="G26" s="82">
        <f>SUM(G27)</f>
        <v>202000</v>
      </c>
    </row>
    <row r="27" spans="2:7" s="85" customFormat="1" ht="52.5" customHeight="1">
      <c r="B27" s="84"/>
      <c r="C27" s="84"/>
      <c r="D27" s="84">
        <v>2330</v>
      </c>
      <c r="E27" s="53" t="s">
        <v>65</v>
      </c>
      <c r="F27" s="60"/>
      <c r="G27" s="60">
        <v>202000</v>
      </c>
    </row>
    <row r="28" spans="2:7" s="49" customFormat="1" ht="17.25" customHeight="1">
      <c r="B28" s="80"/>
      <c r="C28" s="80">
        <v>85510</v>
      </c>
      <c r="D28" s="80"/>
      <c r="E28" s="81" t="s">
        <v>115</v>
      </c>
      <c r="F28" s="82">
        <f>SUM(F29)</f>
        <v>670106</v>
      </c>
      <c r="G28" s="82">
        <f>SUM(G30:G30)</f>
        <v>133932</v>
      </c>
    </row>
    <row r="29" spans="2:7" s="85" customFormat="1" ht="48" customHeight="1">
      <c r="B29" s="84"/>
      <c r="C29" s="84"/>
      <c r="D29" s="84">
        <v>2320</v>
      </c>
      <c r="E29" s="53" t="s">
        <v>15</v>
      </c>
      <c r="F29" s="60">
        <v>670106</v>
      </c>
      <c r="G29" s="60"/>
    </row>
    <row r="30" spans="2:7" s="85" customFormat="1" ht="48.75" customHeight="1">
      <c r="B30" s="84"/>
      <c r="C30" s="84"/>
      <c r="D30" s="84">
        <v>2320</v>
      </c>
      <c r="E30" s="53" t="s">
        <v>64</v>
      </c>
      <c r="F30" s="60"/>
      <c r="G30" s="60">
        <v>133932</v>
      </c>
    </row>
    <row r="31" spans="2:7" s="48" customFormat="1" ht="17.25" customHeight="1">
      <c r="B31" s="77">
        <v>900</v>
      </c>
      <c r="C31" s="77"/>
      <c r="D31" s="77"/>
      <c r="E31" s="78" t="s">
        <v>21</v>
      </c>
      <c r="F31" s="79"/>
      <c r="G31" s="79">
        <f>SUM(G32)</f>
        <v>10000</v>
      </c>
    </row>
    <row r="32" spans="2:7" s="49" customFormat="1" ht="17.25" customHeight="1">
      <c r="B32" s="80"/>
      <c r="C32" s="80">
        <v>90095</v>
      </c>
      <c r="D32" s="80"/>
      <c r="E32" s="81" t="s">
        <v>6</v>
      </c>
      <c r="F32" s="82"/>
      <c r="G32" s="82">
        <f>SUM(G33)</f>
        <v>10000</v>
      </c>
    </row>
    <row r="33" spans="2:7" s="49" customFormat="1" ht="49.5" customHeight="1">
      <c r="B33" s="50"/>
      <c r="C33" s="50"/>
      <c r="D33" s="50">
        <v>2710</v>
      </c>
      <c r="E33" s="51" t="s">
        <v>67</v>
      </c>
      <c r="F33" s="52"/>
      <c r="G33" s="60">
        <v>10000</v>
      </c>
    </row>
    <row r="34" spans="2:7" s="48" customFormat="1" ht="17.25" customHeight="1">
      <c r="B34" s="77">
        <v>921</v>
      </c>
      <c r="C34" s="77"/>
      <c r="D34" s="77"/>
      <c r="E34" s="78" t="s">
        <v>22</v>
      </c>
      <c r="F34" s="79">
        <f>SUM(F35,F39)</f>
        <v>110000</v>
      </c>
      <c r="G34" s="79">
        <f>SUM(G35,G39)</f>
        <v>0</v>
      </c>
    </row>
    <row r="35" spans="2:7" s="49" customFormat="1" ht="17.25" customHeight="1">
      <c r="B35" s="80"/>
      <c r="C35" s="80">
        <v>92105</v>
      </c>
      <c r="D35" s="80"/>
      <c r="E35" s="81" t="s">
        <v>68</v>
      </c>
      <c r="F35" s="82"/>
      <c r="G35" s="82">
        <f>SUM(G36)</f>
        <v>0</v>
      </c>
    </row>
    <row r="36" spans="2:7" s="85" customFormat="1" ht="48" customHeight="1">
      <c r="B36" s="392"/>
      <c r="C36" s="392"/>
      <c r="D36" s="84">
        <v>2710</v>
      </c>
      <c r="E36" s="53" t="s">
        <v>67</v>
      </c>
      <c r="F36" s="60"/>
      <c r="G36" s="60">
        <f>10000-10000</f>
        <v>0</v>
      </c>
    </row>
    <row r="37" spans="2:7" s="85" customFormat="1" ht="17.25" customHeight="1">
      <c r="B37" s="126"/>
      <c r="C37" s="126">
        <v>92605</v>
      </c>
      <c r="D37" s="127"/>
      <c r="E37" s="128" t="s">
        <v>127</v>
      </c>
      <c r="F37" s="129"/>
      <c r="G37" s="129">
        <f>G38</f>
        <v>0</v>
      </c>
    </row>
    <row r="38" spans="2:7" s="85" customFormat="1" ht="48" customHeight="1">
      <c r="B38" s="392"/>
      <c r="C38" s="392"/>
      <c r="D38" s="84">
        <v>2710</v>
      </c>
      <c r="E38" s="53" t="s">
        <v>67</v>
      </c>
      <c r="F38" s="60"/>
      <c r="G38" s="60">
        <f>8000-8000</f>
        <v>0</v>
      </c>
    </row>
    <row r="39" spans="2:7" s="49" customFormat="1" ht="17.25" customHeight="1">
      <c r="B39" s="80"/>
      <c r="C39" s="80">
        <v>92116</v>
      </c>
      <c r="D39" s="80"/>
      <c r="E39" s="81" t="s">
        <v>23</v>
      </c>
      <c r="F39" s="82">
        <f>SUM(F40)</f>
        <v>110000</v>
      </c>
      <c r="G39" s="82"/>
    </row>
    <row r="40" spans="2:7" s="85" customFormat="1" ht="48.75" customHeight="1">
      <c r="B40" s="84"/>
      <c r="C40" s="84"/>
      <c r="D40" s="84">
        <v>2710</v>
      </c>
      <c r="E40" s="53" t="s">
        <v>9</v>
      </c>
      <c r="F40" s="60">
        <v>110000</v>
      </c>
      <c r="G40" s="60"/>
    </row>
    <row r="41" spans="2:7" s="49" customFormat="1" ht="24.75" customHeight="1">
      <c r="B41" s="439" t="s">
        <v>95</v>
      </c>
      <c r="C41" s="440"/>
      <c r="D41" s="440"/>
      <c r="E41" s="441"/>
      <c r="F41" s="83">
        <f>SUM(F5,F12,F15,F18,F22,F31,F34)</f>
        <v>3031042</v>
      </c>
      <c r="G41" s="83">
        <f>SUM(G5,G12,G18,G22,G31,G34,G37)</f>
        <v>1206740</v>
      </c>
    </row>
  </sheetData>
  <sheetProtection algorithmName="SHA-512" hashValue="eU3qpIXl22DTOo+NCwE8X0PxfkzY4HlqeonKlNnlc2O+SsJofg7QIWb/IleNQBhhcx4xJ+JdcNW2npfufQ3qhw==" saltValue="02sdI5VMBzA9uh6D3yHHBw==" spinCount="100000" sheet="1" objects="1" scenarios="1" formatColumns="0" formatRows="0"/>
  <mergeCells count="2">
    <mergeCell ref="B2:G2"/>
    <mergeCell ref="B41:E41"/>
  </mergeCells>
  <pageMargins left="0.55118110236220474" right="0.47244094488188981" top="1.52" bottom="1.49" header="0.69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50"/>
  </sheetPr>
  <dimension ref="A1:L57"/>
  <sheetViews>
    <sheetView tabSelected="1" zoomScaleNormal="100" workbookViewId="0">
      <pane ySplit="5" topLeftCell="A27" activePane="bottomLeft" state="frozen"/>
      <selection activeCell="M10" sqref="M10"/>
      <selection pane="bottomLeft" activeCell="I23" sqref="I23"/>
    </sheetView>
  </sheetViews>
  <sheetFormatPr defaultColWidth="9.33203125" defaultRowHeight="12"/>
  <cols>
    <col min="1" max="1" width="6.5" style="278" customWidth="1"/>
    <col min="2" max="2" width="10.83203125" style="278" customWidth="1"/>
    <col min="3" max="3" width="7.33203125" style="278" customWidth="1"/>
    <col min="4" max="4" width="61.33203125" style="43" customWidth="1"/>
    <col min="5" max="7" width="15.6640625" style="43" customWidth="1"/>
    <col min="8" max="8" width="20.5" style="43" customWidth="1"/>
    <col min="9" max="10" width="9.33203125" style="43"/>
    <col min="11" max="11" width="10.33203125" style="43" bestFit="1" customWidth="1"/>
    <col min="12" max="16384" width="9.33203125" style="43"/>
  </cols>
  <sheetData>
    <row r="1" spans="1:12" ht="9" customHeight="1">
      <c r="F1" s="279"/>
      <c r="G1" s="279"/>
    </row>
    <row r="2" spans="1:12" s="281" customFormat="1" ht="33" customHeight="1">
      <c r="A2" s="446" t="s">
        <v>332</v>
      </c>
      <c r="B2" s="446"/>
      <c r="C2" s="446"/>
      <c r="D2" s="446"/>
      <c r="E2" s="446"/>
      <c r="F2" s="446"/>
      <c r="G2" s="446"/>
      <c r="H2" s="280"/>
    </row>
    <row r="3" spans="1:12" ht="10.5" customHeight="1"/>
    <row r="4" spans="1:12" ht="24" customHeight="1">
      <c r="A4" s="443" t="s">
        <v>0</v>
      </c>
      <c r="B4" s="443" t="s">
        <v>1</v>
      </c>
      <c r="C4" s="443" t="s">
        <v>162</v>
      </c>
      <c r="D4" s="443" t="s">
        <v>75</v>
      </c>
      <c r="E4" s="443" t="s">
        <v>312</v>
      </c>
      <c r="F4" s="443"/>
      <c r="G4" s="443"/>
    </row>
    <row r="5" spans="1:12" ht="24" customHeight="1">
      <c r="A5" s="443"/>
      <c r="B5" s="443"/>
      <c r="C5" s="443"/>
      <c r="D5" s="443"/>
      <c r="E5" s="282" t="s">
        <v>313</v>
      </c>
      <c r="F5" s="282" t="s">
        <v>314</v>
      </c>
      <c r="G5" s="282" t="s">
        <v>315</v>
      </c>
    </row>
    <row r="6" spans="1:12" s="284" customFormat="1" ht="12.75" customHeight="1">
      <c r="A6" s="283">
        <v>1</v>
      </c>
      <c r="B6" s="283">
        <v>2</v>
      </c>
      <c r="C6" s="283">
        <v>3</v>
      </c>
      <c r="D6" s="283">
        <v>4</v>
      </c>
      <c r="E6" s="283">
        <v>5</v>
      </c>
      <c r="F6" s="283">
        <v>6</v>
      </c>
      <c r="G6" s="283">
        <v>7</v>
      </c>
    </row>
    <row r="7" spans="1:12" ht="39" customHeight="1">
      <c r="A7" s="442" t="s">
        <v>316</v>
      </c>
      <c r="B7" s="442"/>
      <c r="C7" s="442"/>
      <c r="D7" s="285" t="s">
        <v>163</v>
      </c>
      <c r="E7" s="286" t="s">
        <v>317</v>
      </c>
      <c r="F7" s="286" t="s">
        <v>317</v>
      </c>
      <c r="G7" s="286" t="s">
        <v>317</v>
      </c>
    </row>
    <row r="8" spans="1:12" s="291" customFormat="1" ht="52.5" customHeight="1">
      <c r="A8" s="287">
        <v>600</v>
      </c>
      <c r="B8" s="288">
        <v>60004</v>
      </c>
      <c r="C8" s="287">
        <v>2310</v>
      </c>
      <c r="D8" s="53" t="s">
        <v>30</v>
      </c>
      <c r="E8" s="289"/>
      <c r="F8" s="289"/>
      <c r="G8" s="290">
        <v>250000</v>
      </c>
    </row>
    <row r="9" spans="1:12" s="291" customFormat="1" ht="57" customHeight="1">
      <c r="A9" s="292">
        <v>710</v>
      </c>
      <c r="B9" s="293">
        <v>71095</v>
      </c>
      <c r="C9" s="292">
        <v>6639</v>
      </c>
      <c r="D9" s="294" t="s">
        <v>27</v>
      </c>
      <c r="E9" s="295"/>
      <c r="F9" s="295"/>
      <c r="G9" s="296">
        <v>70572</v>
      </c>
    </row>
    <row r="10" spans="1:12" s="291" customFormat="1" ht="45" customHeight="1">
      <c r="A10" s="292">
        <v>754</v>
      </c>
      <c r="B10" s="293">
        <v>75404</v>
      </c>
      <c r="C10" s="292">
        <v>2300</v>
      </c>
      <c r="D10" s="294" t="s">
        <v>318</v>
      </c>
      <c r="E10" s="295"/>
      <c r="F10" s="295"/>
      <c r="G10" s="296">
        <v>30000</v>
      </c>
    </row>
    <row r="11" spans="1:12" s="291" customFormat="1" ht="38.25" customHeight="1">
      <c r="A11" s="292">
        <v>754</v>
      </c>
      <c r="B11" s="293">
        <v>75404</v>
      </c>
      <c r="C11" s="292">
        <v>6170</v>
      </c>
      <c r="D11" s="62" t="s">
        <v>319</v>
      </c>
      <c r="E11" s="295"/>
      <c r="F11" s="295"/>
      <c r="G11" s="296">
        <v>50000</v>
      </c>
    </row>
    <row r="12" spans="1:12" s="291" customFormat="1" ht="38.25" customHeight="1">
      <c r="A12" s="292">
        <v>754</v>
      </c>
      <c r="B12" s="293">
        <v>75410</v>
      </c>
      <c r="C12" s="292">
        <v>6170</v>
      </c>
      <c r="D12" s="62" t="s">
        <v>319</v>
      </c>
      <c r="E12" s="295"/>
      <c r="F12" s="295"/>
      <c r="G12" s="296">
        <v>200000</v>
      </c>
    </row>
    <row r="13" spans="1:12" s="291" customFormat="1" ht="51.75" customHeight="1">
      <c r="A13" s="292">
        <v>853</v>
      </c>
      <c r="B13" s="293">
        <v>85311</v>
      </c>
      <c r="C13" s="292">
        <v>2320</v>
      </c>
      <c r="D13" s="62" t="s">
        <v>64</v>
      </c>
      <c r="E13" s="297"/>
      <c r="F13" s="297"/>
      <c r="G13" s="298">
        <v>2000</v>
      </c>
      <c r="H13" s="299"/>
      <c r="I13" s="299"/>
      <c r="J13" s="299"/>
      <c r="K13" s="299"/>
      <c r="L13" s="299"/>
    </row>
    <row r="14" spans="1:12" s="291" customFormat="1" ht="51.75" customHeight="1">
      <c r="A14" s="292">
        <v>855</v>
      </c>
      <c r="B14" s="293">
        <v>85508</v>
      </c>
      <c r="C14" s="292">
        <v>2320</v>
      </c>
      <c r="D14" s="62" t="s">
        <v>64</v>
      </c>
      <c r="E14" s="297"/>
      <c r="F14" s="297"/>
      <c r="G14" s="298">
        <v>538236</v>
      </c>
      <c r="H14" s="299"/>
      <c r="I14" s="299"/>
      <c r="J14" s="299"/>
      <c r="K14" s="299"/>
      <c r="L14" s="299"/>
    </row>
    <row r="15" spans="1:12" s="291" customFormat="1" ht="47.25" customHeight="1">
      <c r="A15" s="292">
        <v>855</v>
      </c>
      <c r="B15" s="293">
        <v>85509</v>
      </c>
      <c r="C15" s="292">
        <v>2330</v>
      </c>
      <c r="D15" s="62" t="s">
        <v>65</v>
      </c>
      <c r="E15" s="297"/>
      <c r="F15" s="297"/>
      <c r="G15" s="298">
        <v>202000</v>
      </c>
      <c r="H15" s="299"/>
      <c r="I15" s="299"/>
      <c r="J15" s="299"/>
      <c r="K15" s="299"/>
      <c r="L15" s="299"/>
    </row>
    <row r="16" spans="1:12" s="291" customFormat="1" ht="51.75" customHeight="1">
      <c r="A16" s="292">
        <v>855</v>
      </c>
      <c r="B16" s="293">
        <v>85510</v>
      </c>
      <c r="C16" s="292">
        <v>2320</v>
      </c>
      <c r="D16" s="62" t="s">
        <v>64</v>
      </c>
      <c r="E16" s="297"/>
      <c r="F16" s="297"/>
      <c r="G16" s="298">
        <v>133932</v>
      </c>
      <c r="H16" s="299"/>
      <c r="I16" s="299"/>
      <c r="J16" s="299"/>
      <c r="K16" s="299"/>
      <c r="L16" s="299"/>
    </row>
    <row r="17" spans="1:12" s="291" customFormat="1" ht="48" customHeight="1">
      <c r="A17" s="292">
        <v>900</v>
      </c>
      <c r="B17" s="293">
        <v>90095</v>
      </c>
      <c r="C17" s="292">
        <v>2710</v>
      </c>
      <c r="D17" s="62" t="s">
        <v>67</v>
      </c>
      <c r="E17" s="297"/>
      <c r="F17" s="297"/>
      <c r="G17" s="298">
        <v>10000</v>
      </c>
      <c r="H17" s="299"/>
      <c r="I17" s="299"/>
      <c r="J17" s="299"/>
      <c r="K17" s="299"/>
      <c r="L17" s="299"/>
    </row>
    <row r="18" spans="1:12" s="291" customFormat="1" ht="48" customHeight="1">
      <c r="A18" s="292">
        <v>921</v>
      </c>
      <c r="B18" s="293">
        <v>92105</v>
      </c>
      <c r="C18" s="292">
        <v>2710</v>
      </c>
      <c r="D18" s="62" t="s">
        <v>67</v>
      </c>
      <c r="E18" s="297"/>
      <c r="F18" s="297"/>
      <c r="G18" s="298">
        <f>10000-10000</f>
        <v>0</v>
      </c>
      <c r="H18" s="299"/>
      <c r="I18" s="299"/>
      <c r="J18" s="299"/>
      <c r="K18" s="299"/>
      <c r="L18" s="299"/>
    </row>
    <row r="19" spans="1:12" s="291" customFormat="1" ht="48" customHeight="1">
      <c r="A19" s="292">
        <v>926</v>
      </c>
      <c r="B19" s="293">
        <v>92605</v>
      </c>
      <c r="C19" s="292">
        <v>2710</v>
      </c>
      <c r="D19" s="62" t="s">
        <v>67</v>
      </c>
      <c r="E19" s="297"/>
      <c r="F19" s="297"/>
      <c r="G19" s="298">
        <v>0</v>
      </c>
      <c r="H19" s="299"/>
      <c r="I19" s="299"/>
      <c r="J19" s="299"/>
      <c r="K19" s="299"/>
      <c r="L19" s="299"/>
    </row>
    <row r="20" spans="1:12" s="291" customFormat="1" ht="25.5" customHeight="1">
      <c r="A20" s="292">
        <v>921</v>
      </c>
      <c r="B20" s="293">
        <v>92116</v>
      </c>
      <c r="C20" s="292">
        <v>2480</v>
      </c>
      <c r="D20" s="62" t="s">
        <v>320</v>
      </c>
      <c r="E20" s="300">
        <v>640900</v>
      </c>
      <c r="F20" s="297"/>
      <c r="G20" s="301"/>
      <c r="H20" s="299"/>
      <c r="I20" s="299"/>
      <c r="J20" s="299"/>
      <c r="K20" s="299"/>
      <c r="L20" s="299"/>
    </row>
    <row r="21" spans="1:12" s="303" customFormat="1" ht="27" customHeight="1">
      <c r="A21" s="443" t="s">
        <v>321</v>
      </c>
      <c r="B21" s="443"/>
      <c r="C21" s="443"/>
      <c r="D21" s="443"/>
      <c r="E21" s="302">
        <f>SUM(E8:E20)</f>
        <v>640900</v>
      </c>
      <c r="F21" s="302">
        <f>SUM(F8:F20)</f>
        <v>0</v>
      </c>
      <c r="G21" s="302">
        <f>SUM(G8:G20)</f>
        <v>1486740</v>
      </c>
      <c r="I21" s="304"/>
    </row>
    <row r="22" spans="1:12" s="303" customFormat="1" ht="47.25" customHeight="1">
      <c r="A22" s="442" t="s">
        <v>322</v>
      </c>
      <c r="B22" s="442"/>
      <c r="C22" s="442"/>
      <c r="D22" s="285" t="s">
        <v>163</v>
      </c>
      <c r="E22" s="285" t="s">
        <v>317</v>
      </c>
      <c r="F22" s="285" t="s">
        <v>317</v>
      </c>
      <c r="G22" s="285" t="s">
        <v>317</v>
      </c>
      <c r="I22" s="304"/>
      <c r="K22" s="305"/>
    </row>
    <row r="23" spans="1:12" s="291" customFormat="1" ht="54" customHeight="1">
      <c r="A23" s="306" t="s">
        <v>2</v>
      </c>
      <c r="B23" s="307" t="s">
        <v>323</v>
      </c>
      <c r="C23" s="306" t="s">
        <v>324</v>
      </c>
      <c r="D23" s="62" t="s">
        <v>325</v>
      </c>
      <c r="E23" s="295"/>
      <c r="F23" s="295"/>
      <c r="G23" s="296">
        <v>99370</v>
      </c>
      <c r="I23" s="308"/>
      <c r="K23" s="278"/>
    </row>
    <row r="24" spans="1:12" s="291" customFormat="1" ht="59.25" customHeight="1">
      <c r="A24" s="292">
        <v>630</v>
      </c>
      <c r="B24" s="293">
        <v>63003</v>
      </c>
      <c r="C24" s="292">
        <v>2360</v>
      </c>
      <c r="D24" s="62" t="s">
        <v>113</v>
      </c>
      <c r="E24" s="295"/>
      <c r="F24" s="295"/>
      <c r="G24" s="296">
        <v>20000</v>
      </c>
      <c r="I24" s="308"/>
      <c r="K24" s="278"/>
    </row>
    <row r="25" spans="1:12" s="291" customFormat="1" ht="63.75" customHeight="1">
      <c r="A25" s="292">
        <v>754</v>
      </c>
      <c r="B25" s="293">
        <v>75495</v>
      </c>
      <c r="C25" s="292">
        <v>2360</v>
      </c>
      <c r="D25" s="62" t="s">
        <v>113</v>
      </c>
      <c r="E25" s="295"/>
      <c r="F25" s="295"/>
      <c r="G25" s="296">
        <v>20000</v>
      </c>
      <c r="I25" s="308"/>
      <c r="K25" s="278"/>
    </row>
    <row r="26" spans="1:12" s="291" customFormat="1" ht="63" customHeight="1">
      <c r="A26" s="292">
        <v>755</v>
      </c>
      <c r="B26" s="293">
        <v>75515</v>
      </c>
      <c r="C26" s="292">
        <v>2360</v>
      </c>
      <c r="D26" s="62" t="s">
        <v>113</v>
      </c>
      <c r="E26" s="295"/>
      <c r="F26" s="295"/>
      <c r="G26" s="296">
        <v>190080</v>
      </c>
      <c r="I26" s="308"/>
      <c r="K26" s="278"/>
    </row>
    <row r="27" spans="1:12" s="291" customFormat="1" ht="24.95" customHeight="1">
      <c r="A27" s="292">
        <v>801</v>
      </c>
      <c r="B27" s="293">
        <v>80102</v>
      </c>
      <c r="C27" s="292">
        <v>2540</v>
      </c>
      <c r="D27" s="62" t="s">
        <v>326</v>
      </c>
      <c r="E27" s="300">
        <v>1128486</v>
      </c>
      <c r="F27" s="295"/>
      <c r="G27" s="309"/>
      <c r="I27" s="308"/>
      <c r="K27" s="278"/>
    </row>
    <row r="28" spans="1:12" s="291" customFormat="1" ht="24.95" customHeight="1">
      <c r="A28" s="292">
        <v>801</v>
      </c>
      <c r="B28" s="293">
        <v>80105</v>
      </c>
      <c r="C28" s="292">
        <v>2540</v>
      </c>
      <c r="D28" s="62" t="s">
        <v>326</v>
      </c>
      <c r="E28" s="300">
        <v>598175</v>
      </c>
      <c r="F28" s="295"/>
      <c r="G28" s="309"/>
      <c r="I28" s="308"/>
      <c r="K28" s="278"/>
    </row>
    <row r="29" spans="1:12" s="291" customFormat="1" ht="24.95" customHeight="1">
      <c r="A29" s="292">
        <v>801</v>
      </c>
      <c r="B29" s="293">
        <v>80116</v>
      </c>
      <c r="C29" s="292">
        <v>2540</v>
      </c>
      <c r="D29" s="62" t="s">
        <v>326</v>
      </c>
      <c r="E29" s="300">
        <v>603452</v>
      </c>
      <c r="F29" s="295"/>
      <c r="G29" s="309"/>
      <c r="I29" s="308"/>
      <c r="K29" s="278"/>
    </row>
    <row r="30" spans="1:12" s="291" customFormat="1" ht="24.95" customHeight="1">
      <c r="A30" s="292">
        <v>801</v>
      </c>
      <c r="B30" s="293">
        <v>80120</v>
      </c>
      <c r="C30" s="292">
        <v>2540</v>
      </c>
      <c r="D30" s="62" t="s">
        <v>326</v>
      </c>
      <c r="E30" s="300">
        <v>1056443</v>
      </c>
      <c r="F30" s="297"/>
      <c r="G30" s="310"/>
    </row>
    <row r="31" spans="1:12" s="291" customFormat="1" ht="24.95" customHeight="1">
      <c r="A31" s="292">
        <v>801</v>
      </c>
      <c r="B31" s="293">
        <v>80151</v>
      </c>
      <c r="C31" s="292">
        <v>2540</v>
      </c>
      <c r="D31" s="62" t="s">
        <v>326</v>
      </c>
      <c r="E31" s="300">
        <v>30000</v>
      </c>
      <c r="F31" s="297"/>
      <c r="G31" s="310"/>
    </row>
    <row r="32" spans="1:12" s="291" customFormat="1" ht="24.95" customHeight="1">
      <c r="A32" s="292">
        <v>801</v>
      </c>
      <c r="B32" s="293">
        <v>80152</v>
      </c>
      <c r="C32" s="292">
        <v>2540</v>
      </c>
      <c r="D32" s="62" t="s">
        <v>326</v>
      </c>
      <c r="E32" s="300">
        <v>128736</v>
      </c>
      <c r="F32" s="311"/>
      <c r="G32" s="312"/>
    </row>
    <row r="33" spans="1:11" s="353" customFormat="1" ht="48" customHeight="1">
      <c r="A33" s="350">
        <v>801</v>
      </c>
      <c r="B33" s="351">
        <v>80153</v>
      </c>
      <c r="C33" s="350">
        <v>2830</v>
      </c>
      <c r="D33" s="352" t="s">
        <v>325</v>
      </c>
      <c r="E33" s="354"/>
      <c r="F33" s="393"/>
      <c r="G33" s="354">
        <v>4257</v>
      </c>
    </row>
    <row r="34" spans="1:11" s="291" customFormat="1" ht="52.15" customHeight="1">
      <c r="A34" s="292">
        <v>851</v>
      </c>
      <c r="B34" s="293">
        <v>85111</v>
      </c>
      <c r="C34" s="292">
        <v>6230</v>
      </c>
      <c r="D34" s="313" t="s">
        <v>327</v>
      </c>
      <c r="E34" s="300"/>
      <c r="F34" s="311"/>
      <c r="G34" s="300">
        <v>140000</v>
      </c>
    </row>
    <row r="35" spans="1:11" s="291" customFormat="1" ht="36.75" customHeight="1">
      <c r="A35" s="292">
        <v>852</v>
      </c>
      <c r="B35" s="293">
        <v>85202</v>
      </c>
      <c r="C35" s="292">
        <v>2820</v>
      </c>
      <c r="D35" s="62" t="s">
        <v>328</v>
      </c>
      <c r="E35" s="311"/>
      <c r="F35" s="311"/>
      <c r="G35" s="300">
        <v>243000</v>
      </c>
    </row>
    <row r="36" spans="1:11" s="291" customFormat="1" ht="36.75" customHeight="1">
      <c r="A36" s="292">
        <v>852</v>
      </c>
      <c r="B36" s="293">
        <v>85220</v>
      </c>
      <c r="C36" s="292">
        <v>2820</v>
      </c>
      <c r="D36" s="62" t="s">
        <v>328</v>
      </c>
      <c r="E36" s="311"/>
      <c r="F36" s="311"/>
      <c r="G36" s="300">
        <v>80000</v>
      </c>
    </row>
    <row r="37" spans="1:11" s="291" customFormat="1" ht="34.5" customHeight="1">
      <c r="A37" s="292">
        <v>853</v>
      </c>
      <c r="B37" s="293">
        <v>85311</v>
      </c>
      <c r="C37" s="292">
        <v>2580</v>
      </c>
      <c r="D37" s="62" t="s">
        <v>329</v>
      </c>
      <c r="E37" s="300">
        <v>219485</v>
      </c>
      <c r="F37" s="311"/>
      <c r="G37" s="312"/>
    </row>
    <row r="38" spans="1:11" s="291" customFormat="1" ht="25.5" customHeight="1">
      <c r="A38" s="292">
        <v>854</v>
      </c>
      <c r="B38" s="293">
        <v>85404</v>
      </c>
      <c r="C38" s="292">
        <v>2540</v>
      </c>
      <c r="D38" s="62" t="s">
        <v>326</v>
      </c>
      <c r="E38" s="300">
        <v>247039</v>
      </c>
      <c r="F38" s="311"/>
      <c r="G38" s="312"/>
    </row>
    <row r="39" spans="1:11" s="291" customFormat="1" ht="25.5" customHeight="1">
      <c r="A39" s="292">
        <v>854</v>
      </c>
      <c r="B39" s="293">
        <v>85410</v>
      </c>
      <c r="C39" s="292">
        <v>2540</v>
      </c>
      <c r="D39" s="62" t="s">
        <v>326</v>
      </c>
      <c r="E39" s="300">
        <v>99881</v>
      </c>
      <c r="F39" s="311"/>
      <c r="G39" s="312"/>
    </row>
    <row r="40" spans="1:11" s="291" customFormat="1" ht="60.75" customHeight="1">
      <c r="A40" s="292">
        <v>921</v>
      </c>
      <c r="B40" s="293">
        <v>92105</v>
      </c>
      <c r="C40" s="292">
        <v>2360</v>
      </c>
      <c r="D40" s="62" t="s">
        <v>113</v>
      </c>
      <c r="E40" s="310"/>
      <c r="F40" s="297"/>
      <c r="G40" s="300">
        <f>90000-15000</f>
        <v>75000</v>
      </c>
    </row>
    <row r="41" spans="1:11" s="291" customFormat="1" ht="60.75" customHeight="1">
      <c r="A41" s="292">
        <v>926</v>
      </c>
      <c r="B41" s="293">
        <v>92605</v>
      </c>
      <c r="C41" s="292">
        <v>2360</v>
      </c>
      <c r="D41" s="62" t="s">
        <v>113</v>
      </c>
      <c r="E41" s="314"/>
      <c r="F41" s="297"/>
      <c r="G41" s="300">
        <v>33000</v>
      </c>
      <c r="I41" s="308"/>
      <c r="K41" s="308"/>
    </row>
    <row r="42" spans="1:11" s="291" customFormat="1" ht="22.5" customHeight="1">
      <c r="A42" s="444" t="s">
        <v>330</v>
      </c>
      <c r="B42" s="444"/>
      <c r="C42" s="444"/>
      <c r="D42" s="444"/>
      <c r="E42" s="302">
        <f>SUM(E23:E41)</f>
        <v>4111697</v>
      </c>
      <c r="F42" s="302">
        <f t="shared" ref="F42" si="0">SUM(F23:F41)</f>
        <v>0</v>
      </c>
      <c r="G42" s="302">
        <f>SUM(G23:G41)</f>
        <v>904707</v>
      </c>
    </row>
    <row r="43" spans="1:11" s="316" customFormat="1" ht="26.25" customHeight="1">
      <c r="A43" s="445" t="s">
        <v>331</v>
      </c>
      <c r="B43" s="445"/>
      <c r="C43" s="445"/>
      <c r="D43" s="445"/>
      <c r="E43" s="445"/>
      <c r="F43" s="445"/>
      <c r="G43" s="315">
        <f>SUM(E21,G21,E42,G42)</f>
        <v>7144044</v>
      </c>
    </row>
    <row r="44" spans="1:11" ht="15.75" customHeight="1"/>
    <row r="45" spans="1:11" ht="15.75" customHeight="1"/>
    <row r="46" spans="1:11" ht="15.75" customHeight="1"/>
    <row r="47" spans="1:11" ht="15.75" customHeight="1">
      <c r="A47" s="43"/>
      <c r="B47" s="43"/>
      <c r="C47" s="43"/>
    </row>
    <row r="48" spans="1:11" ht="15.75" customHeight="1">
      <c r="A48" s="43"/>
      <c r="B48" s="43"/>
      <c r="C48" s="43"/>
    </row>
    <row r="49" spans="1:3" ht="15.75" customHeight="1">
      <c r="A49" s="43"/>
      <c r="B49" s="43"/>
      <c r="C49" s="43"/>
    </row>
    <row r="50" spans="1:3" ht="15.75" customHeight="1"/>
    <row r="51" spans="1:3" ht="15.75" customHeight="1"/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</sheetData>
  <sheetProtection algorithmName="SHA-512" hashValue="yaeOiDI4ZGKZS31xWUdtP6UtlodWajf5NGh1RnD2yIhD7b5Qlm7tkodb09uC026mF9//B6X613sLkE1P2R69gg==" saltValue="wIoytXcSQpmV4xCLmbQAZw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1:D21"/>
    <mergeCell ref="A22:C22"/>
    <mergeCell ref="A42:D42"/>
    <mergeCell ref="A43:F43"/>
  </mergeCells>
  <pageMargins left="0.68" right="0.23622047244094491" top="1.21" bottom="1.02" header="0.6" footer="0.49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Tab.2a</vt:lpstr>
      <vt:lpstr>Tab.3</vt:lpstr>
      <vt:lpstr>Tab.4 </vt:lpstr>
      <vt:lpstr>Tab.5</vt:lpstr>
      <vt:lpstr>Tab.7</vt:lpstr>
      <vt:lpstr>Zał.1</vt:lpstr>
      <vt:lpstr>Tab.3!Obszar_wydruku</vt:lpstr>
      <vt:lpstr>'Tab.4 '!Obszar_wydruku</vt:lpstr>
      <vt:lpstr>Tab.5!Obszar_wydruku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2019-06-17T08:47:05Z</cp:lastPrinted>
  <dcterms:created xsi:type="dcterms:W3CDTF">2015-10-09T11:05:37Z</dcterms:created>
  <dcterms:modified xsi:type="dcterms:W3CDTF">2019-06-17T08:49:26Z</dcterms:modified>
</cp:coreProperties>
</file>