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.1" sheetId="10" r:id="rId1"/>
    <sheet name="Zał.2 " sheetId="8" r:id="rId2"/>
  </sheets>
  <externalReferences>
    <externalReference r:id="rId3"/>
  </externalReferences>
  <definedNames>
    <definedName name="_xlnm.Print_Area" localSheetId="0">Zał.1!$A$1:$S$104</definedName>
    <definedName name="_xlnm.Print_Area" localSheetId="1">'Zał.2 '!$A$1:$L$61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S104" i="10" l="1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C101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G3" i="10"/>
  <c r="F3" i="10" s="1"/>
  <c r="E3" i="10" s="1"/>
  <c r="D3" i="10" s="1"/>
  <c r="C3" i="10" s="1"/>
  <c r="G2" i="10"/>
  <c r="N56" i="10" l="1"/>
  <c r="L56" i="10"/>
  <c r="P56" i="10"/>
  <c r="J56" i="10"/>
  <c r="O56" i="10"/>
  <c r="I56" i="10"/>
  <c r="G56" i="10"/>
  <c r="K56" i="10"/>
  <c r="H3" i="10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G55" i="10"/>
  <c r="K55" i="10"/>
  <c r="O55" i="10"/>
  <c r="S55" i="10"/>
  <c r="S56" i="10"/>
  <c r="H55" i="10"/>
  <c r="L55" i="10"/>
  <c r="P55" i="10"/>
  <c r="I55" i="10"/>
  <c r="M55" i="10"/>
  <c r="Q55" i="10"/>
  <c r="Q56" i="10"/>
  <c r="J55" i="10"/>
  <c r="N55" i="10"/>
  <c r="R55" i="10"/>
  <c r="H56" i="10"/>
  <c r="M56" i="10"/>
  <c r="R56" i="10"/>
  <c r="H13" i="8" l="1"/>
  <c r="G13" i="8"/>
  <c r="L13" i="8" s="1"/>
  <c r="G12" i="8"/>
  <c r="G11" i="8"/>
  <c r="L60" i="8"/>
  <c r="L59" i="8"/>
  <c r="L58" i="8"/>
  <c r="L57" i="8"/>
  <c r="L56" i="8"/>
  <c r="L55" i="8"/>
  <c r="L54" i="8"/>
  <c r="L53" i="8"/>
  <c r="L52" i="8"/>
  <c r="L51" i="8"/>
  <c r="F51" i="8"/>
  <c r="L50" i="8"/>
  <c r="F50" i="8"/>
  <c r="L49" i="8"/>
  <c r="F49" i="8"/>
  <c r="L48" i="8"/>
  <c r="F48" i="8"/>
  <c r="L47" i="8"/>
  <c r="F47" i="8"/>
  <c r="L46" i="8"/>
  <c r="F46" i="8"/>
  <c r="L45" i="8"/>
  <c r="F45" i="8"/>
  <c r="L44" i="8"/>
  <c r="F44" i="8"/>
  <c r="L43" i="8"/>
  <c r="L42" i="8"/>
  <c r="F42" i="8"/>
  <c r="L41" i="8"/>
  <c r="L40" i="8"/>
  <c r="L39" i="8"/>
  <c r="F39" i="8"/>
  <c r="L38" i="8"/>
  <c r="L37" i="8"/>
  <c r="F37" i="8"/>
  <c r="L36" i="8"/>
  <c r="F36" i="8"/>
  <c r="L35" i="8"/>
  <c r="F35" i="8"/>
  <c r="L34" i="8"/>
  <c r="F34" i="8"/>
  <c r="L33" i="8"/>
  <c r="F33" i="8"/>
  <c r="L32" i="8"/>
  <c r="F32" i="8"/>
  <c r="L31" i="8"/>
  <c r="F31" i="8"/>
  <c r="L30" i="8"/>
  <c r="F30" i="8"/>
  <c r="L29" i="8"/>
  <c r="F29" i="8"/>
  <c r="F26" i="8" s="1"/>
  <c r="F8" i="8" s="1"/>
  <c r="L28" i="8"/>
  <c r="L26" i="8" s="1"/>
  <c r="F28" i="8"/>
  <c r="L27" i="8"/>
  <c r="K26" i="8"/>
  <c r="K8" i="8" s="1"/>
  <c r="J26" i="8"/>
  <c r="I26" i="8"/>
  <c r="H26" i="8"/>
  <c r="H8" i="8" s="1"/>
  <c r="G26" i="8"/>
  <c r="G8" i="8" s="1"/>
  <c r="L25" i="8"/>
  <c r="L24" i="8"/>
  <c r="L23" i="8" s="1"/>
  <c r="L22" i="8" s="1"/>
  <c r="F24" i="8"/>
  <c r="F23" i="8" s="1"/>
  <c r="I23" i="8"/>
  <c r="H23" i="8"/>
  <c r="H22" i="8" s="1"/>
  <c r="G23" i="8"/>
  <c r="G22" i="8" s="1"/>
  <c r="J22" i="8"/>
  <c r="I22" i="8"/>
  <c r="L21" i="8"/>
  <c r="L20" i="8"/>
  <c r="K19" i="8"/>
  <c r="J19" i="8"/>
  <c r="I19" i="8"/>
  <c r="H19" i="8"/>
  <c r="G19" i="8"/>
  <c r="L19" i="8" s="1"/>
  <c r="F19" i="8"/>
  <c r="L18" i="8"/>
  <c r="F18" i="8"/>
  <c r="L17" i="8"/>
  <c r="L8" i="8" s="1"/>
  <c r="I17" i="8"/>
  <c r="H17" i="8"/>
  <c r="G17" i="8"/>
  <c r="F17" i="8"/>
  <c r="L16" i="8"/>
  <c r="L15" i="8"/>
  <c r="L14" i="8"/>
  <c r="F14" i="8"/>
  <c r="F10" i="8" s="1"/>
  <c r="L12" i="8"/>
  <c r="L11" i="8"/>
  <c r="K10" i="8"/>
  <c r="K7" i="8" s="1"/>
  <c r="J10" i="8"/>
  <c r="I10" i="8"/>
  <c r="I9" i="8" s="1"/>
  <c r="I6" i="8" s="1"/>
  <c r="H10" i="8"/>
  <c r="H7" i="8" s="1"/>
  <c r="K9" i="8"/>
  <c r="J9" i="8"/>
  <c r="J6" i="8" s="1"/>
  <c r="J8" i="8"/>
  <c r="I8" i="8"/>
  <c r="J7" i="8"/>
  <c r="I7" i="8"/>
  <c r="G10" i="8" l="1"/>
  <c r="G7" i="8" s="1"/>
  <c r="L10" i="8"/>
  <c r="L7" i="8" s="1"/>
  <c r="F22" i="8"/>
  <c r="F9" i="8"/>
  <c r="F6" i="8" s="1"/>
  <c r="F7" i="8"/>
  <c r="H9" i="8"/>
  <c r="H6" i="8" s="1"/>
  <c r="K22" i="8"/>
  <c r="K6" i="8" s="1"/>
  <c r="L9" i="8" l="1"/>
  <c r="L6" i="8" s="1"/>
  <c r="G9" i="8"/>
  <c r="G6" i="8" s="1"/>
</calcChain>
</file>

<file path=xl/sharedStrings.xml><?xml version="1.0" encoding="utf-8"?>
<sst xmlns="http://schemas.openxmlformats.org/spreadsheetml/2006/main" count="474" uniqueCount="308">
  <si>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</si>
  <si>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</si>
  <si>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</si>
  <si>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</si>
  <si>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</si>
  <si>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</si>
  <si>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</si>
  <si>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</si>
  <si>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</si>
  <si>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</si>
  <si>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</si>
  <si>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</si>
  <si>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</si>
  <si>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</si>
  <si>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</si>
  <si>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</si>
  <si>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</si>
  <si>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</si>
  <si>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</si>
  <si>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</si>
  <si>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</si>
  <si>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</si>
  <si>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</si>
  <si>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</si>
  <si>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</si>
  <si>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</si>
  <si>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</si>
  <si>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</si>
  <si>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</si>
  <si>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</si>
  <si>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</si>
  <si>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</si>
  <si>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</si>
  <si>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</si>
  <si>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</si>
  <si>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</si>
  <si>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</si>
  <si>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</si>
  <si>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</si>
  <si>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</si>
  <si>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</si>
  <si>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</si>
  <si>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</si>
  <si>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</si>
  <si>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</si>
  <si>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</si>
  <si>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</si>
  <si>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</si>
  <si>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</si>
  <si>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</si>
  <si>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</si>
  <si>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</si>
  <si>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</si>
  <si>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</si>
  <si>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</si>
  <si>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</si>
  <si>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</si>
  <si>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</si>
  <si>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</si>
  <si>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</si>
  <si>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</si>
  <si>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</si>
  <si>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</si>
  <si>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</si>
  <si>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</si>
  <si>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</si>
  <si>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</si>
  <si>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</si>
  <si>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</si>
  <si>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</si>
  <si>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</si>
  <si>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</si>
  <si>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</si>
  <si>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</si>
  <si>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</si>
  <si>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</si>
  <si>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Modernizacja drogi powiatowej Nr 2714W - ul. Prostej w Celestynowie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</si>
  <si>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</si>
  <si>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</si>
  <si>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</si>
  <si>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</si>
  <si>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</si>
  <si>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</si>
  <si>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</si>
  <si>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</si>
  <si>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</si>
  <si>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</si>
  <si>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</si>
  <si>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</si>
  <si>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</si>
  <si>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</si>
  <si>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</si>
  <si>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</si>
  <si>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</si>
  <si>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</si>
  <si>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</si>
  <si>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2724W w Całowaniu</t>
  </si>
  <si>
    <t>Modernizacja drogi powiatowej Nr 2751W Sobienie Kiełczewskie-Zuzanów-Czarnowiec</t>
  </si>
  <si>
    <t>Modernizacja drogi powiatowej Nr 2752W Władysławów-Zambrzyków Stary-Sobienie Kiełczewskie</t>
  </si>
  <si>
    <t xml:space="preserve">Modernizacja drogi powiatowej Nr 2763W ul. Majowej w Otwocku 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</si>
  <si>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</si>
  <si>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</si>
  <si>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</si>
  <si>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</si>
  <si>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</si>
  <si>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</si>
  <si>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</si>
  <si>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</si>
  <si>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</si>
  <si>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</si>
  <si>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</si>
  <si>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</si>
  <si>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</si>
  <si>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</si>
  <si>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</si>
  <si>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</si>
  <si>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</si>
  <si>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</si>
  <si>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</si>
  <si>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</si>
  <si>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</si>
  <si>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</si>
  <si>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</si>
  <si>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</si>
  <si>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</si>
  <si>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</si>
  <si>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</si>
  <si>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</si>
  <si>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</si>
  <si>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</si>
  <si>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</si>
  <si>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</si>
  <si>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</si>
  <si>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</si>
  <si>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</si>
  <si>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</si>
  <si>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</si>
  <si>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</si>
  <si>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</si>
  <si>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</si>
  <si>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</si>
  <si>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</si>
  <si>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</si>
  <si>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</si>
  <si>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</si>
  <si>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</si>
  <si>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</si>
  <si>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</si>
  <si>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</si>
  <si>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</si>
  <si>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</si>
  <si>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</si>
  <si>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</si>
  <si>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</si>
  <si>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</si>
  <si>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</si>
  <si>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</si>
  <si>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</si>
  <si>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</si>
  <si>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</si>
  <si>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</si>
  <si>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</si>
  <si>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</si>
  <si>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</si>
  <si>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</si>
  <si>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</si>
  <si>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</si>
  <si>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</si>
  <si>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</si>
  <si>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</si>
  <si>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</si>
  <si>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</si>
  <si>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</si>
  <si>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</si>
  <si>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</si>
  <si>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</si>
  <si>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</si>
  <si>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</si>
  <si>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</si>
  <si>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</si>
  <si>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</si>
  <si>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</si>
  <si>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</si>
  <si>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</si>
  <si>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</si>
  <si>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</si>
  <si>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</si>
  <si>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</si>
  <si>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</si>
  <si>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</si>
  <si>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</si>
  <si>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</si>
  <si>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</si>
  <si>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</si>
  <si>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</si>
  <si>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</si>
  <si>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</si>
  <si>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</si>
  <si>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</si>
  <si>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</si>
  <si>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</si>
  <si>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</si>
  <si>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</si>
  <si>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</si>
  <si>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</si>
  <si>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</si>
  <si>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</si>
  <si>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</si>
  <si>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</si>
  <si>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</si>
  <si>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</si>
  <si>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</si>
  <si>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</si>
  <si>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</si>
  <si>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</si>
  <si>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</si>
  <si>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</si>
  <si>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</si>
  <si>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</si>
  <si>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</si>
  <si>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</si>
  <si>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</si>
  <si>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</si>
  <si>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</si>
  <si>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</si>
  <si>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</si>
  <si>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</si>
  <si>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</si>
  <si>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</si>
  <si>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</si>
  <si>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</si>
  <si>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</si>
  <si>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</si>
  <si>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</si>
  <si>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</si>
  <si>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</si>
  <si>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</si>
  <si>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</si>
  <si>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</si>
  <si>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</si>
  <si>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</si>
  <si>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</si>
  <si>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</si>
  <si>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</si>
  <si>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</si>
  <si>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</si>
  <si>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</si>
  <si>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</si>
  <si>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</si>
  <si>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</si>
  <si>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</si>
  <si>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</si>
  <si>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</si>
  <si>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</si>
  <si>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</si>
  <si>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</si>
  <si>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</si>
  <si>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</si>
  <si>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</si>
  <si>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</si>
  <si>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</si>
  <si>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</si>
  <si>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</si>
  <si>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</si>
  <si>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</si>
  <si>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</si>
  <si>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</si>
  <si>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</si>
  <si>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</si>
  <si>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</si>
  <si>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</si>
  <si>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</si>
  <si>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</si>
  <si>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</si>
  <si>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</si>
  <si>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</si>
  <si>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</si>
  <si>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</si>
  <si>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</si>
  <si>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</si>
  <si>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</si>
  <si>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</si>
  <si>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</si>
  <si>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</si>
  <si>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</si>
  <si>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</si>
  <si>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</si>
  <si>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</si>
  <si>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</si>
  <si>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</si>
  <si>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</si>
  <si>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</si>
  <si>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</si>
  <si>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</si>
  <si>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</si>
  <si>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</si>
  <si>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</si>
  <si>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</si>
  <si>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</si>
  <si>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</si>
  <si>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</si>
  <si>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</si>
  <si>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</si>
  <si>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</si>
  <si>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</si>
  <si>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</si>
  <si>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Wieloletnia prognoza finansowa</t>
  </si>
  <si>
    <t>Modernizacja drogi powiatowej Nr 2701W Majdan, Izabela, Michałówek, Duchnów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</si>
</sst>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10" fillId="0" borderId="0"/>
    <xf numFmtId="0" fontId="17" fillId="0" borderId="0"/>
    <xf numFmtId="0" fontId="18" fillId="0" borderId="0"/>
    <xf numFmtId="0" fontId="17" fillId="0" borderId="0"/>
    <xf numFmtId="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28" fillId="0" borderId="0" applyNumberFormat="0" applyFill="0" applyBorder="0" applyAlignment="0" applyProtection="0">
      <alignment vertical="top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13" fillId="0" borderId="0" xfId="1" applyFont="1"/>
    <xf numFmtId="0" fontId="13" fillId="2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right" vertical="center" wrapText="1"/>
    </xf>
    <xf numFmtId="0" fontId="14" fillId="0" borderId="0" xfId="1" applyFont="1" applyFill="1"/>
    <xf numFmtId="4" fontId="14" fillId="3" borderId="1" xfId="1" applyNumberFormat="1" applyFont="1" applyFill="1" applyBorder="1" applyAlignment="1"/>
    <xf numFmtId="0" fontId="14" fillId="0" borderId="0" xfId="1" applyFont="1" applyAlignment="1">
      <alignment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" fontId="13" fillId="0" borderId="1" xfId="1" applyNumberFormat="1" applyFont="1" applyBorder="1" applyAlignment="1"/>
    <xf numFmtId="0" fontId="13" fillId="0" borderId="0" xfId="1" applyFont="1" applyAlignment="1">
      <alignment vertical="center"/>
    </xf>
    <xf numFmtId="0" fontId="14" fillId="0" borderId="0" xfId="1" applyFont="1" applyFill="1" applyAlignment="1">
      <alignment horizontal="right"/>
    </xf>
    <xf numFmtId="4" fontId="13" fillId="0" borderId="1" xfId="1" applyNumberFormat="1" applyFont="1" applyFill="1" applyBorder="1" applyAlignment="1"/>
    <xf numFmtId="0" fontId="13" fillId="0" borderId="0" xfId="1" applyFont="1" applyFill="1" applyAlignment="1">
      <alignment vertical="center"/>
    </xf>
    <xf numFmtId="0" fontId="13" fillId="0" borderId="1" xfId="2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center" vertical="center" wrapText="1"/>
    </xf>
    <xf numFmtId="164" fontId="13" fillId="0" borderId="1" xfId="1" applyNumberFormat="1" applyFont="1" applyBorder="1" applyAlignment="1"/>
    <xf numFmtId="0" fontId="13" fillId="0" borderId="3" xfId="2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center" vertical="center" wrapText="1"/>
    </xf>
    <xf numFmtId="164" fontId="13" fillId="0" borderId="3" xfId="1" applyNumberFormat="1" applyFont="1" applyBorder="1" applyAlignment="1"/>
    <xf numFmtId="4" fontId="13" fillId="0" borderId="1" xfId="1" applyNumberFormat="1" applyFont="1" applyBorder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4" fontId="13" fillId="0" borderId="3" xfId="2" applyNumberFormat="1" applyFont="1" applyFill="1" applyBorder="1"/>
    <xf numFmtId="0" fontId="13" fillId="0" borderId="1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/>
    <xf numFmtId="164" fontId="13" fillId="0" borderId="1" xfId="1" applyNumberFormat="1" applyFont="1" applyFill="1" applyBorder="1" applyAlignment="1">
      <alignment horizontal="right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4" fontId="13" fillId="0" borderId="3" xfId="1" applyNumberFormat="1" applyFont="1" applyBorder="1" applyAlignment="1"/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4" fontId="13" fillId="0" borderId="6" xfId="1" applyNumberFormat="1" applyFont="1" applyBorder="1" applyAlignment="1"/>
    <xf numFmtId="0" fontId="13" fillId="0" borderId="0" xfId="1" applyFont="1" applyFill="1" applyBorder="1"/>
    <xf numFmtId="0" fontId="13" fillId="0" borderId="0" xfId="1" applyFont="1" applyBorder="1"/>
    <xf numFmtId="0" fontId="13" fillId="0" borderId="1" xfId="1" applyFont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/>
    </xf>
    <xf numFmtId="4" fontId="13" fillId="0" borderId="1" xfId="1" applyNumberFormat="1" applyFont="1" applyBorder="1"/>
    <xf numFmtId="0" fontId="13" fillId="0" borderId="8" xfId="1" applyFont="1" applyBorder="1"/>
    <xf numFmtId="0" fontId="17" fillId="0" borderId="0" xfId="3"/>
    <xf numFmtId="0" fontId="19" fillId="0" borderId="0" xfId="3" applyFont="1"/>
    <xf numFmtId="0" fontId="21" fillId="0" borderId="0" xfId="3" applyFont="1" applyBorder="1" applyAlignment="1" applyProtection="1">
      <alignment horizontal="left" vertical="center"/>
      <protection locked="0"/>
    </xf>
    <xf numFmtId="0" fontId="21" fillId="0" borderId="9" xfId="3" applyFont="1" applyBorder="1" applyAlignment="1" applyProtection="1">
      <alignment vertical="center" wrapText="1"/>
      <protection locked="0"/>
    </xf>
    <xf numFmtId="49" fontId="20" fillId="4" borderId="10" xfId="4" applyNumberFormat="1" applyFont="1" applyFill="1" applyBorder="1" applyAlignment="1">
      <alignment horizontal="center" vertical="center"/>
    </xf>
    <xf numFmtId="1" fontId="20" fillId="4" borderId="10" xfId="4" applyNumberFormat="1" applyFont="1" applyFill="1" applyBorder="1" applyAlignment="1">
      <alignment horizontal="center" vertical="center" wrapText="1"/>
    </xf>
    <xf numFmtId="1" fontId="20" fillId="4" borderId="12" xfId="4" applyNumberFormat="1" applyFont="1" applyFill="1" applyBorder="1" applyAlignment="1">
      <alignment horizontal="center" vertical="center" wrapText="1"/>
    </xf>
    <xf numFmtId="1" fontId="20" fillId="4" borderId="13" xfId="4" applyNumberFormat="1" applyFont="1" applyFill="1" applyBorder="1" applyAlignment="1">
      <alignment horizontal="center" vertical="center" wrapText="1"/>
    </xf>
    <xf numFmtId="1" fontId="20" fillId="4" borderId="14" xfId="4" applyNumberFormat="1" applyFont="1" applyFill="1" applyBorder="1" applyAlignment="1">
      <alignment horizontal="center" vertical="center"/>
    </xf>
    <xf numFmtId="1" fontId="20" fillId="4" borderId="12" xfId="4" applyNumberFormat="1" applyFont="1" applyFill="1" applyBorder="1" applyAlignment="1">
      <alignment horizontal="center" vertical="center"/>
    </xf>
    <xf numFmtId="0" fontId="22" fillId="0" borderId="15" xfId="3" applyFont="1" applyBorder="1" applyAlignment="1">
      <alignment horizontal="left" vertical="center"/>
    </xf>
    <xf numFmtId="165" fontId="23" fillId="3" borderId="15" xfId="4" applyNumberFormat="1" applyFont="1" applyFill="1" applyBorder="1" applyAlignment="1">
      <alignment vertical="center" shrinkToFit="1"/>
    </xf>
    <xf numFmtId="165" fontId="23" fillId="3" borderId="18" xfId="4" applyNumberFormat="1" applyFont="1" applyFill="1" applyBorder="1" applyAlignment="1">
      <alignment vertical="center" shrinkToFit="1"/>
    </xf>
    <xf numFmtId="165" fontId="23" fillId="3" borderId="19" xfId="4" applyNumberFormat="1" applyFont="1" applyFill="1" applyBorder="1" applyAlignment="1">
      <alignment vertical="center" shrinkToFit="1"/>
    </xf>
    <xf numFmtId="165" fontId="23" fillId="0" borderId="20" xfId="4" applyNumberFormat="1" applyFont="1" applyFill="1" applyBorder="1" applyAlignment="1">
      <alignment vertical="center" shrinkToFit="1"/>
    </xf>
    <xf numFmtId="165" fontId="23" fillId="0" borderId="18" xfId="4" applyNumberFormat="1" applyFont="1" applyFill="1" applyBorder="1" applyAlignment="1">
      <alignment vertical="center" shrinkToFit="1"/>
    </xf>
    <xf numFmtId="0" fontId="24" fillId="0" borderId="15" xfId="3" applyFont="1" applyBorder="1" applyAlignment="1">
      <alignment horizontal="left" vertical="center"/>
    </xf>
    <xf numFmtId="0" fontId="24" fillId="0" borderId="16" xfId="3" applyFont="1" applyBorder="1" applyAlignment="1">
      <alignment horizontal="left" vertical="center" wrapText="1" indent="1"/>
    </xf>
    <xf numFmtId="165" fontId="25" fillId="3" borderId="15" xfId="4" applyNumberFormat="1" applyFont="1" applyFill="1" applyBorder="1" applyAlignment="1">
      <alignment vertical="center" shrinkToFit="1"/>
    </xf>
    <xf numFmtId="165" fontId="25" fillId="3" borderId="18" xfId="4" applyNumberFormat="1" applyFont="1" applyFill="1" applyBorder="1" applyAlignment="1">
      <alignment vertical="center" shrinkToFit="1"/>
    </xf>
    <xf numFmtId="165" fontId="25" fillId="3" borderId="19" xfId="4" applyNumberFormat="1" applyFont="1" applyFill="1" applyBorder="1" applyAlignment="1">
      <alignment vertical="center" shrinkToFit="1"/>
    </xf>
    <xf numFmtId="165" fontId="25" fillId="0" borderId="20" xfId="4" applyNumberFormat="1" applyFont="1" applyFill="1" applyBorder="1" applyAlignment="1">
      <alignment vertical="center" shrinkToFit="1"/>
    </xf>
    <xf numFmtId="165" fontId="25" fillId="0" borderId="18" xfId="4" applyNumberFormat="1" applyFont="1" applyFill="1" applyBorder="1" applyAlignment="1">
      <alignment vertical="center" shrinkToFit="1"/>
    </xf>
    <xf numFmtId="0" fontId="24" fillId="0" borderId="16" xfId="3" applyFont="1" applyBorder="1" applyAlignment="1">
      <alignment horizontal="left" vertical="center" wrapText="1" indent="2"/>
    </xf>
    <xf numFmtId="0" fontId="24" fillId="0" borderId="16" xfId="3" applyFont="1" applyBorder="1" applyAlignment="1">
      <alignment horizontal="left" vertical="center" wrapText="1" indent="3"/>
    </xf>
    <xf numFmtId="0" fontId="24" fillId="0" borderId="16" xfId="3" applyFont="1" applyBorder="1" applyAlignment="1">
      <alignment horizontal="left" vertical="center" wrapText="1" indent="4"/>
    </xf>
    <xf numFmtId="165" fontId="23" fillId="3" borderId="15" xfId="4" applyNumberFormat="1" applyFont="1" applyFill="1" applyBorder="1" applyAlignment="1">
      <alignment horizontal="center" vertical="center" shrinkToFit="1"/>
    </xf>
    <xf numFmtId="165" fontId="23" fillId="3" borderId="18" xfId="4" applyNumberFormat="1" applyFont="1" applyFill="1" applyBorder="1" applyAlignment="1">
      <alignment horizontal="center" vertical="center" shrinkToFit="1"/>
    </xf>
    <xf numFmtId="165" fontId="23" fillId="3" borderId="19" xfId="4" applyNumberFormat="1" applyFont="1" applyFill="1" applyBorder="1" applyAlignment="1">
      <alignment horizontal="center" vertical="center" shrinkToFit="1"/>
    </xf>
    <xf numFmtId="165" fontId="23" fillId="0" borderId="20" xfId="4" applyNumberFormat="1" applyFont="1" applyFill="1" applyBorder="1" applyAlignment="1">
      <alignment horizontal="center" vertical="center" shrinkToFit="1"/>
    </xf>
    <xf numFmtId="165" fontId="23" fillId="0" borderId="18" xfId="4" applyNumberFormat="1" applyFont="1" applyFill="1" applyBorder="1" applyAlignment="1">
      <alignment horizontal="center" vertical="center" shrinkToFit="1"/>
    </xf>
    <xf numFmtId="166" fontId="25" fillId="3" borderId="15" xfId="4" applyNumberFormat="1" applyFont="1" applyFill="1" applyBorder="1" applyAlignment="1">
      <alignment vertical="center" shrinkToFit="1"/>
    </xf>
    <xf numFmtId="166" fontId="25" fillId="3" borderId="18" xfId="4" applyNumberFormat="1" applyFont="1" applyFill="1" applyBorder="1" applyAlignment="1">
      <alignment vertical="center" shrinkToFit="1"/>
    </xf>
    <xf numFmtId="166" fontId="25" fillId="3" borderId="19" xfId="4" applyNumberFormat="1" applyFont="1" applyFill="1" applyBorder="1" applyAlignment="1">
      <alignment vertical="center" shrinkToFit="1"/>
    </xf>
    <xf numFmtId="166" fontId="25" fillId="0" borderId="20" xfId="4" applyNumberFormat="1" applyFont="1" applyFill="1" applyBorder="1" applyAlignment="1">
      <alignment vertical="center" shrinkToFit="1"/>
    </xf>
    <xf numFmtId="166" fontId="25" fillId="0" borderId="18" xfId="4" applyNumberFormat="1" applyFont="1" applyFill="1" applyBorder="1" applyAlignment="1">
      <alignment vertical="center" shrinkToFit="1"/>
    </xf>
    <xf numFmtId="0" fontId="24" fillId="0" borderId="15" xfId="3" applyFont="1" applyBorder="1" applyAlignment="1" applyProtection="1">
      <alignment horizontal="left" vertical="center"/>
      <protection locked="0"/>
    </xf>
    <xf numFmtId="0" fontId="24" fillId="0" borderId="17" xfId="3" applyFont="1" applyBorder="1" applyAlignment="1" applyProtection="1">
      <alignment horizontal="left" vertical="center" wrapText="1" indent="1"/>
      <protection locked="0"/>
    </xf>
    <xf numFmtId="0" fontId="25" fillId="0" borderId="20" xfId="4" applyNumberFormat="1" applyFont="1" applyFill="1" applyBorder="1" applyAlignment="1">
      <alignment horizontal="center" vertical="center" shrinkToFit="1"/>
    </xf>
    <xf numFmtId="0" fontId="25" fillId="0" borderId="18" xfId="4" applyNumberFormat="1" applyFont="1" applyFill="1" applyBorder="1" applyAlignment="1">
      <alignment horizontal="center" vertical="center" shrinkToFit="1"/>
    </xf>
    <xf numFmtId="0" fontId="24" fillId="0" borderId="16" xfId="3" quotePrefix="1" applyFont="1" applyBorder="1" applyAlignment="1">
      <alignment horizontal="left" vertical="center" wrapText="1" indent="2"/>
    </xf>
    <xf numFmtId="0" fontId="24" fillId="0" borderId="16" xfId="3" quotePrefix="1" applyFont="1" applyBorder="1" applyAlignment="1">
      <alignment horizontal="left" vertical="center" wrapText="1" indent="3"/>
    </xf>
    <xf numFmtId="0" fontId="22" fillId="0" borderId="17" xfId="3" applyFont="1" applyBorder="1" applyAlignment="1">
      <alignment horizontal="left" vertical="center" wrapText="1"/>
    </xf>
    <xf numFmtId="0" fontId="24" fillId="0" borderId="21" xfId="3" applyFont="1" applyBorder="1" applyAlignment="1">
      <alignment horizontal="left" vertical="center"/>
    </xf>
    <xf numFmtId="0" fontId="24" fillId="0" borderId="22" xfId="3" applyFont="1" applyBorder="1" applyAlignment="1">
      <alignment horizontal="left" vertical="center" wrapText="1" indent="1"/>
    </xf>
    <xf numFmtId="165" fontId="25" fillId="3" borderId="21" xfId="4" applyNumberFormat="1" applyFont="1" applyFill="1" applyBorder="1" applyAlignment="1">
      <alignment vertical="center" shrinkToFit="1"/>
    </xf>
    <xf numFmtId="165" fontId="25" fillId="3" borderId="23" xfId="4" applyNumberFormat="1" applyFont="1" applyFill="1" applyBorder="1" applyAlignment="1">
      <alignment vertical="center" shrinkToFit="1"/>
    </xf>
    <xf numFmtId="165" fontId="25" fillId="3" borderId="24" xfId="4" applyNumberFormat="1" applyFont="1" applyFill="1" applyBorder="1" applyAlignment="1">
      <alignment vertical="center" shrinkToFit="1"/>
    </xf>
    <xf numFmtId="165" fontId="25" fillId="0" borderId="25" xfId="4" applyNumberFormat="1" applyFont="1" applyFill="1" applyBorder="1" applyAlignment="1">
      <alignment vertical="center" shrinkToFit="1"/>
    </xf>
    <xf numFmtId="165" fontId="25" fillId="0" borderId="23" xfId="4" applyNumberFormat="1" applyFont="1" applyFill="1" applyBorder="1" applyAlignment="1">
      <alignment vertical="center" shrinkToFit="1"/>
    </xf>
    <xf numFmtId="0" fontId="19" fillId="0" borderId="0" xfId="3" applyFont="1" applyBorder="1" applyProtection="1">
      <protection locked="0"/>
    </xf>
    <xf numFmtId="49" fontId="20" fillId="4" borderId="11" xfId="4" applyNumberFormat="1" applyFont="1" applyFill="1" applyBorder="1" applyAlignment="1">
      <alignment horizontal="center" vertical="center"/>
    </xf>
    <xf numFmtId="0" fontId="22" fillId="0" borderId="17" xfId="3" applyFont="1" applyBorder="1" applyAlignment="1">
      <alignment vertical="center" wrapText="1"/>
    </xf>
    <xf numFmtId="4" fontId="13" fillId="0" borderId="3" xfId="1" applyNumberFormat="1" applyFont="1" applyFill="1" applyBorder="1" applyAlignment="1"/>
    <xf numFmtId="0" fontId="13" fillId="0" borderId="6" xfId="1" applyFont="1" applyFill="1" applyBorder="1" applyAlignment="1">
      <alignment horizontal="left" vertical="center" wrapText="1"/>
    </xf>
    <xf numFmtId="4" fontId="13" fillId="0" borderId="6" xfId="1" applyNumberFormat="1" applyFont="1" applyFill="1" applyBorder="1" applyAlignment="1"/>
    <xf numFmtId="164" fontId="13" fillId="0" borderId="1" xfId="1" applyNumberFormat="1" applyFont="1" applyFill="1" applyBorder="1" applyAlignment="1"/>
    <xf numFmtId="164" fontId="13" fillId="0" borderId="3" xfId="1" applyNumberFormat="1" applyFont="1" applyFill="1" applyBorder="1" applyAlignment="1"/>
    <xf numFmtId="4" fontId="13" fillId="0" borderId="1" xfId="1" applyNumberFormat="1" applyFont="1" applyFill="1" applyBorder="1" applyAlignment="1">
      <alignment horizontal="right"/>
    </xf>
    <xf numFmtId="0" fontId="13" fillId="0" borderId="6" xfId="2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4" fontId="13" fillId="0" borderId="1" xfId="1" applyNumberFormat="1" applyFont="1" applyFill="1" applyBorder="1"/>
    <xf numFmtId="0" fontId="27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4" fontId="27" fillId="0" borderId="1" xfId="1" applyNumberFormat="1" applyFont="1" applyBorder="1" applyAlignment="1"/>
    <xf numFmtId="0" fontId="27" fillId="0" borderId="0" xfId="1" applyFont="1" applyAlignment="1">
      <alignment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20" fillId="0" borderId="9" xfId="3" applyFont="1" applyBorder="1" applyAlignment="1" applyProtection="1">
      <alignment horizontal="center" vertical="center" wrapText="1"/>
      <protection locked="0"/>
    </xf>
    <xf numFmtId="0" fontId="19" fillId="0" borderId="0" xfId="3" applyFont="1" applyProtection="1">
      <protection locked="0"/>
    </xf>
    <xf numFmtId="0" fontId="20" fillId="0" borderId="9" xfId="3" applyFont="1" applyBorder="1" applyAlignment="1" applyProtection="1">
      <alignment horizontal="center" vertical="center" wrapText="1"/>
      <protection locked="0"/>
    </xf>
    <xf numFmtId="0" fontId="26" fillId="0" borderId="0" xfId="3" applyFont="1" applyBorder="1" applyAlignment="1">
      <alignment horizontal="center"/>
    </xf>
    <xf numFmtId="0" fontId="14" fillId="3" borderId="1" xfId="1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/>
    </xf>
  </cellXfs>
  <cellStyles count="17">
    <cellStyle name="Normalny" xfId="0" builtinId="0"/>
    <cellStyle name="Normalny 2" xfId="1"/>
    <cellStyle name="Normalny 2 2 2" xfId="2"/>
    <cellStyle name="Normalny 2 4" xfId="11"/>
    <cellStyle name="Normalny 3" xfId="3"/>
    <cellStyle name="Normalny 6 2" xfId="4"/>
    <cellStyle name="Normalny 8" xfId="7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marzec_2019_po%20autopopraw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4"/>
  <sheetViews>
    <sheetView tabSelected="1" zoomScaleNormal="10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activeCell="C22" sqref="C22"/>
    </sheetView>
  </sheetViews>
  <sheetFormatPr defaultRowHeight="14.25"/>
  <cols>
    <col min="1" max="1" width="7.5703125" style="50" customWidth="1"/>
    <col min="2" max="2" width="36.7109375" style="50" customWidth="1"/>
    <col min="3" max="19" width="11.7109375" style="50" customWidth="1"/>
    <col min="20" max="231" width="9.140625" style="49"/>
    <col min="232" max="232" width="0" style="49" hidden="1" customWidth="1"/>
    <col min="233" max="233" width="7.5703125" style="49" customWidth="1"/>
    <col min="234" max="234" width="0" style="49" hidden="1" customWidth="1"/>
    <col min="235" max="235" width="80.7109375" style="49" customWidth="1"/>
    <col min="236" max="269" width="16" style="49" customWidth="1"/>
    <col min="270" max="487" width="9.140625" style="49"/>
    <col min="488" max="488" width="0" style="49" hidden="1" customWidth="1"/>
    <col min="489" max="489" width="7.5703125" style="49" customWidth="1"/>
    <col min="490" max="490" width="0" style="49" hidden="1" customWidth="1"/>
    <col min="491" max="491" width="80.7109375" style="49" customWidth="1"/>
    <col min="492" max="525" width="16" style="49" customWidth="1"/>
    <col min="526" max="743" width="9.140625" style="49"/>
    <col min="744" max="744" width="0" style="49" hidden="1" customWidth="1"/>
    <col min="745" max="745" width="7.5703125" style="49" customWidth="1"/>
    <col min="746" max="746" width="0" style="49" hidden="1" customWidth="1"/>
    <col min="747" max="747" width="80.7109375" style="49" customWidth="1"/>
    <col min="748" max="781" width="16" style="49" customWidth="1"/>
    <col min="782" max="999" width="9.140625" style="49"/>
    <col min="1000" max="1000" width="0" style="49" hidden="1" customWidth="1"/>
    <col min="1001" max="1001" width="7.5703125" style="49" customWidth="1"/>
    <col min="1002" max="1002" width="0" style="49" hidden="1" customWidth="1"/>
    <col min="1003" max="1003" width="80.7109375" style="49" customWidth="1"/>
    <col min="1004" max="1037" width="16" style="49" customWidth="1"/>
    <col min="1038" max="1255" width="9.140625" style="49"/>
    <col min="1256" max="1256" width="0" style="49" hidden="1" customWidth="1"/>
    <col min="1257" max="1257" width="7.5703125" style="49" customWidth="1"/>
    <col min="1258" max="1258" width="0" style="49" hidden="1" customWidth="1"/>
    <col min="1259" max="1259" width="80.7109375" style="49" customWidth="1"/>
    <col min="1260" max="1293" width="16" style="49" customWidth="1"/>
    <col min="1294" max="1511" width="9.140625" style="49"/>
    <col min="1512" max="1512" width="0" style="49" hidden="1" customWidth="1"/>
    <col min="1513" max="1513" width="7.5703125" style="49" customWidth="1"/>
    <col min="1514" max="1514" width="0" style="49" hidden="1" customWidth="1"/>
    <col min="1515" max="1515" width="80.7109375" style="49" customWidth="1"/>
    <col min="1516" max="1549" width="16" style="49" customWidth="1"/>
    <col min="1550" max="1767" width="9.140625" style="49"/>
    <col min="1768" max="1768" width="0" style="49" hidden="1" customWidth="1"/>
    <col min="1769" max="1769" width="7.5703125" style="49" customWidth="1"/>
    <col min="1770" max="1770" width="0" style="49" hidden="1" customWidth="1"/>
    <col min="1771" max="1771" width="80.7109375" style="49" customWidth="1"/>
    <col min="1772" max="1805" width="16" style="49" customWidth="1"/>
    <col min="1806" max="2023" width="9.140625" style="49"/>
    <col min="2024" max="2024" width="0" style="49" hidden="1" customWidth="1"/>
    <col min="2025" max="2025" width="7.5703125" style="49" customWidth="1"/>
    <col min="2026" max="2026" width="0" style="49" hidden="1" customWidth="1"/>
    <col min="2027" max="2027" width="80.7109375" style="49" customWidth="1"/>
    <col min="2028" max="2061" width="16" style="49" customWidth="1"/>
    <col min="2062" max="2279" width="9.140625" style="49"/>
    <col min="2280" max="2280" width="0" style="49" hidden="1" customWidth="1"/>
    <col min="2281" max="2281" width="7.5703125" style="49" customWidth="1"/>
    <col min="2282" max="2282" width="0" style="49" hidden="1" customWidth="1"/>
    <col min="2283" max="2283" width="80.7109375" style="49" customWidth="1"/>
    <col min="2284" max="2317" width="16" style="49" customWidth="1"/>
    <col min="2318" max="2535" width="9.140625" style="49"/>
    <col min="2536" max="2536" width="0" style="49" hidden="1" customWidth="1"/>
    <col min="2537" max="2537" width="7.5703125" style="49" customWidth="1"/>
    <col min="2538" max="2538" width="0" style="49" hidden="1" customWidth="1"/>
    <col min="2539" max="2539" width="80.7109375" style="49" customWidth="1"/>
    <col min="2540" max="2573" width="16" style="49" customWidth="1"/>
    <col min="2574" max="2791" width="9.140625" style="49"/>
    <col min="2792" max="2792" width="0" style="49" hidden="1" customWidth="1"/>
    <col min="2793" max="2793" width="7.5703125" style="49" customWidth="1"/>
    <col min="2794" max="2794" width="0" style="49" hidden="1" customWidth="1"/>
    <col min="2795" max="2795" width="80.7109375" style="49" customWidth="1"/>
    <col min="2796" max="2829" width="16" style="49" customWidth="1"/>
    <col min="2830" max="3047" width="9.140625" style="49"/>
    <col min="3048" max="3048" width="0" style="49" hidden="1" customWidth="1"/>
    <col min="3049" max="3049" width="7.5703125" style="49" customWidth="1"/>
    <col min="3050" max="3050" width="0" style="49" hidden="1" customWidth="1"/>
    <col min="3051" max="3051" width="80.7109375" style="49" customWidth="1"/>
    <col min="3052" max="3085" width="16" style="49" customWidth="1"/>
    <col min="3086" max="3303" width="9.140625" style="49"/>
    <col min="3304" max="3304" width="0" style="49" hidden="1" customWidth="1"/>
    <col min="3305" max="3305" width="7.5703125" style="49" customWidth="1"/>
    <col min="3306" max="3306" width="0" style="49" hidden="1" customWidth="1"/>
    <col min="3307" max="3307" width="80.7109375" style="49" customWidth="1"/>
    <col min="3308" max="3341" width="16" style="49" customWidth="1"/>
    <col min="3342" max="3559" width="9.140625" style="49"/>
    <col min="3560" max="3560" width="0" style="49" hidden="1" customWidth="1"/>
    <col min="3561" max="3561" width="7.5703125" style="49" customWidth="1"/>
    <col min="3562" max="3562" width="0" style="49" hidden="1" customWidth="1"/>
    <col min="3563" max="3563" width="80.7109375" style="49" customWidth="1"/>
    <col min="3564" max="3597" width="16" style="49" customWidth="1"/>
    <col min="3598" max="3815" width="9.140625" style="49"/>
    <col min="3816" max="3816" width="0" style="49" hidden="1" customWidth="1"/>
    <col min="3817" max="3817" width="7.5703125" style="49" customWidth="1"/>
    <col min="3818" max="3818" width="0" style="49" hidden="1" customWidth="1"/>
    <col min="3819" max="3819" width="80.7109375" style="49" customWidth="1"/>
    <col min="3820" max="3853" width="16" style="49" customWidth="1"/>
    <col min="3854" max="4071" width="9.140625" style="49"/>
    <col min="4072" max="4072" width="0" style="49" hidden="1" customWidth="1"/>
    <col min="4073" max="4073" width="7.5703125" style="49" customWidth="1"/>
    <col min="4074" max="4074" width="0" style="49" hidden="1" customWidth="1"/>
    <col min="4075" max="4075" width="80.7109375" style="49" customWidth="1"/>
    <col min="4076" max="4109" width="16" style="49" customWidth="1"/>
    <col min="4110" max="4327" width="9.140625" style="49"/>
    <col min="4328" max="4328" width="0" style="49" hidden="1" customWidth="1"/>
    <col min="4329" max="4329" width="7.5703125" style="49" customWidth="1"/>
    <col min="4330" max="4330" width="0" style="49" hidden="1" customWidth="1"/>
    <col min="4331" max="4331" width="80.7109375" style="49" customWidth="1"/>
    <col min="4332" max="4365" width="16" style="49" customWidth="1"/>
    <col min="4366" max="4583" width="9.140625" style="49"/>
    <col min="4584" max="4584" width="0" style="49" hidden="1" customWidth="1"/>
    <col min="4585" max="4585" width="7.5703125" style="49" customWidth="1"/>
    <col min="4586" max="4586" width="0" style="49" hidden="1" customWidth="1"/>
    <col min="4587" max="4587" width="80.7109375" style="49" customWidth="1"/>
    <col min="4588" max="4621" width="16" style="49" customWidth="1"/>
    <col min="4622" max="4839" width="9.140625" style="49"/>
    <col min="4840" max="4840" width="0" style="49" hidden="1" customWidth="1"/>
    <col min="4841" max="4841" width="7.5703125" style="49" customWidth="1"/>
    <col min="4842" max="4842" width="0" style="49" hidden="1" customWidth="1"/>
    <col min="4843" max="4843" width="80.7109375" style="49" customWidth="1"/>
    <col min="4844" max="4877" width="16" style="49" customWidth="1"/>
    <col min="4878" max="5095" width="9.140625" style="49"/>
    <col min="5096" max="5096" width="0" style="49" hidden="1" customWidth="1"/>
    <col min="5097" max="5097" width="7.5703125" style="49" customWidth="1"/>
    <col min="5098" max="5098" width="0" style="49" hidden="1" customWidth="1"/>
    <col min="5099" max="5099" width="80.7109375" style="49" customWidth="1"/>
    <col min="5100" max="5133" width="16" style="49" customWidth="1"/>
    <col min="5134" max="5351" width="9.140625" style="49"/>
    <col min="5352" max="5352" width="0" style="49" hidden="1" customWidth="1"/>
    <col min="5353" max="5353" width="7.5703125" style="49" customWidth="1"/>
    <col min="5354" max="5354" width="0" style="49" hidden="1" customWidth="1"/>
    <col min="5355" max="5355" width="80.7109375" style="49" customWidth="1"/>
    <col min="5356" max="5389" width="16" style="49" customWidth="1"/>
    <col min="5390" max="5607" width="9.140625" style="49"/>
    <col min="5608" max="5608" width="0" style="49" hidden="1" customWidth="1"/>
    <col min="5609" max="5609" width="7.5703125" style="49" customWidth="1"/>
    <col min="5610" max="5610" width="0" style="49" hidden="1" customWidth="1"/>
    <col min="5611" max="5611" width="80.7109375" style="49" customWidth="1"/>
    <col min="5612" max="5645" width="16" style="49" customWidth="1"/>
    <col min="5646" max="5863" width="9.140625" style="49"/>
    <col min="5864" max="5864" width="0" style="49" hidden="1" customWidth="1"/>
    <col min="5865" max="5865" width="7.5703125" style="49" customWidth="1"/>
    <col min="5866" max="5866" width="0" style="49" hidden="1" customWidth="1"/>
    <col min="5867" max="5867" width="80.7109375" style="49" customWidth="1"/>
    <col min="5868" max="5901" width="16" style="49" customWidth="1"/>
    <col min="5902" max="6119" width="9.140625" style="49"/>
    <col min="6120" max="6120" width="0" style="49" hidden="1" customWidth="1"/>
    <col min="6121" max="6121" width="7.5703125" style="49" customWidth="1"/>
    <col min="6122" max="6122" width="0" style="49" hidden="1" customWidth="1"/>
    <col min="6123" max="6123" width="80.7109375" style="49" customWidth="1"/>
    <col min="6124" max="6157" width="16" style="49" customWidth="1"/>
    <col min="6158" max="6375" width="9.140625" style="49"/>
    <col min="6376" max="6376" width="0" style="49" hidden="1" customWidth="1"/>
    <col min="6377" max="6377" width="7.5703125" style="49" customWidth="1"/>
    <col min="6378" max="6378" width="0" style="49" hidden="1" customWidth="1"/>
    <col min="6379" max="6379" width="80.7109375" style="49" customWidth="1"/>
    <col min="6380" max="6413" width="16" style="49" customWidth="1"/>
    <col min="6414" max="6631" width="9.140625" style="49"/>
    <col min="6632" max="6632" width="0" style="49" hidden="1" customWidth="1"/>
    <col min="6633" max="6633" width="7.5703125" style="49" customWidth="1"/>
    <col min="6634" max="6634" width="0" style="49" hidden="1" customWidth="1"/>
    <col min="6635" max="6635" width="80.7109375" style="49" customWidth="1"/>
    <col min="6636" max="6669" width="16" style="49" customWidth="1"/>
    <col min="6670" max="6887" width="9.140625" style="49"/>
    <col min="6888" max="6888" width="0" style="49" hidden="1" customWidth="1"/>
    <col min="6889" max="6889" width="7.5703125" style="49" customWidth="1"/>
    <col min="6890" max="6890" width="0" style="49" hidden="1" customWidth="1"/>
    <col min="6891" max="6891" width="80.7109375" style="49" customWidth="1"/>
    <col min="6892" max="6925" width="16" style="49" customWidth="1"/>
    <col min="6926" max="7143" width="9.140625" style="49"/>
    <col min="7144" max="7144" width="0" style="49" hidden="1" customWidth="1"/>
    <col min="7145" max="7145" width="7.5703125" style="49" customWidth="1"/>
    <col min="7146" max="7146" width="0" style="49" hidden="1" customWidth="1"/>
    <col min="7147" max="7147" width="80.7109375" style="49" customWidth="1"/>
    <col min="7148" max="7181" width="16" style="49" customWidth="1"/>
    <col min="7182" max="7399" width="9.140625" style="49"/>
    <col min="7400" max="7400" width="0" style="49" hidden="1" customWidth="1"/>
    <col min="7401" max="7401" width="7.5703125" style="49" customWidth="1"/>
    <col min="7402" max="7402" width="0" style="49" hidden="1" customWidth="1"/>
    <col min="7403" max="7403" width="80.7109375" style="49" customWidth="1"/>
    <col min="7404" max="7437" width="16" style="49" customWidth="1"/>
    <col min="7438" max="7655" width="9.140625" style="49"/>
    <col min="7656" max="7656" width="0" style="49" hidden="1" customWidth="1"/>
    <col min="7657" max="7657" width="7.5703125" style="49" customWidth="1"/>
    <col min="7658" max="7658" width="0" style="49" hidden="1" customWidth="1"/>
    <col min="7659" max="7659" width="80.7109375" style="49" customWidth="1"/>
    <col min="7660" max="7693" width="16" style="49" customWidth="1"/>
    <col min="7694" max="7911" width="9.140625" style="49"/>
    <col min="7912" max="7912" width="0" style="49" hidden="1" customWidth="1"/>
    <col min="7913" max="7913" width="7.5703125" style="49" customWidth="1"/>
    <col min="7914" max="7914" width="0" style="49" hidden="1" customWidth="1"/>
    <col min="7915" max="7915" width="80.7109375" style="49" customWidth="1"/>
    <col min="7916" max="7949" width="16" style="49" customWidth="1"/>
    <col min="7950" max="8167" width="9.140625" style="49"/>
    <col min="8168" max="8168" width="0" style="49" hidden="1" customWidth="1"/>
    <col min="8169" max="8169" width="7.5703125" style="49" customWidth="1"/>
    <col min="8170" max="8170" width="0" style="49" hidden="1" customWidth="1"/>
    <col min="8171" max="8171" width="80.7109375" style="49" customWidth="1"/>
    <col min="8172" max="8205" width="16" style="49" customWidth="1"/>
    <col min="8206" max="8423" width="9.140625" style="49"/>
    <col min="8424" max="8424" width="0" style="49" hidden="1" customWidth="1"/>
    <col min="8425" max="8425" width="7.5703125" style="49" customWidth="1"/>
    <col min="8426" max="8426" width="0" style="49" hidden="1" customWidth="1"/>
    <col min="8427" max="8427" width="80.7109375" style="49" customWidth="1"/>
    <col min="8428" max="8461" width="16" style="49" customWidth="1"/>
    <col min="8462" max="8679" width="9.140625" style="49"/>
    <col min="8680" max="8680" width="0" style="49" hidden="1" customWidth="1"/>
    <col min="8681" max="8681" width="7.5703125" style="49" customWidth="1"/>
    <col min="8682" max="8682" width="0" style="49" hidden="1" customWidth="1"/>
    <col min="8683" max="8683" width="80.7109375" style="49" customWidth="1"/>
    <col min="8684" max="8717" width="16" style="49" customWidth="1"/>
    <col min="8718" max="8935" width="9.140625" style="49"/>
    <col min="8936" max="8936" width="0" style="49" hidden="1" customWidth="1"/>
    <col min="8937" max="8937" width="7.5703125" style="49" customWidth="1"/>
    <col min="8938" max="8938" width="0" style="49" hidden="1" customWidth="1"/>
    <col min="8939" max="8939" width="80.7109375" style="49" customWidth="1"/>
    <col min="8940" max="8973" width="16" style="49" customWidth="1"/>
    <col min="8974" max="9191" width="9.140625" style="49"/>
    <col min="9192" max="9192" width="0" style="49" hidden="1" customWidth="1"/>
    <col min="9193" max="9193" width="7.5703125" style="49" customWidth="1"/>
    <col min="9194" max="9194" width="0" style="49" hidden="1" customWidth="1"/>
    <col min="9195" max="9195" width="80.7109375" style="49" customWidth="1"/>
    <col min="9196" max="9229" width="16" style="49" customWidth="1"/>
    <col min="9230" max="9447" width="9.140625" style="49"/>
    <col min="9448" max="9448" width="0" style="49" hidden="1" customWidth="1"/>
    <col min="9449" max="9449" width="7.5703125" style="49" customWidth="1"/>
    <col min="9450" max="9450" width="0" style="49" hidden="1" customWidth="1"/>
    <col min="9451" max="9451" width="80.7109375" style="49" customWidth="1"/>
    <col min="9452" max="9485" width="16" style="49" customWidth="1"/>
    <col min="9486" max="9703" width="9.140625" style="49"/>
    <col min="9704" max="9704" width="0" style="49" hidden="1" customWidth="1"/>
    <col min="9705" max="9705" width="7.5703125" style="49" customWidth="1"/>
    <col min="9706" max="9706" width="0" style="49" hidden="1" customWidth="1"/>
    <col min="9707" max="9707" width="80.7109375" style="49" customWidth="1"/>
    <col min="9708" max="9741" width="16" style="49" customWidth="1"/>
    <col min="9742" max="9959" width="9.140625" style="49"/>
    <col min="9960" max="9960" width="0" style="49" hidden="1" customWidth="1"/>
    <col min="9961" max="9961" width="7.5703125" style="49" customWidth="1"/>
    <col min="9962" max="9962" width="0" style="49" hidden="1" customWidth="1"/>
    <col min="9963" max="9963" width="80.7109375" style="49" customWidth="1"/>
    <col min="9964" max="9997" width="16" style="49" customWidth="1"/>
    <col min="9998" max="10215" width="9.140625" style="49"/>
    <col min="10216" max="10216" width="0" style="49" hidden="1" customWidth="1"/>
    <col min="10217" max="10217" width="7.5703125" style="49" customWidth="1"/>
    <col min="10218" max="10218" width="0" style="49" hidden="1" customWidth="1"/>
    <col min="10219" max="10219" width="80.7109375" style="49" customWidth="1"/>
    <col min="10220" max="10253" width="16" style="49" customWidth="1"/>
    <col min="10254" max="10471" width="9.140625" style="49"/>
    <col min="10472" max="10472" width="0" style="49" hidden="1" customWidth="1"/>
    <col min="10473" max="10473" width="7.5703125" style="49" customWidth="1"/>
    <col min="10474" max="10474" width="0" style="49" hidden="1" customWidth="1"/>
    <col min="10475" max="10475" width="80.7109375" style="49" customWidth="1"/>
    <col min="10476" max="10509" width="16" style="49" customWidth="1"/>
    <col min="10510" max="10727" width="9.140625" style="49"/>
    <col min="10728" max="10728" width="0" style="49" hidden="1" customWidth="1"/>
    <col min="10729" max="10729" width="7.5703125" style="49" customWidth="1"/>
    <col min="10730" max="10730" width="0" style="49" hidden="1" customWidth="1"/>
    <col min="10731" max="10731" width="80.7109375" style="49" customWidth="1"/>
    <col min="10732" max="10765" width="16" style="49" customWidth="1"/>
    <col min="10766" max="10983" width="9.140625" style="49"/>
    <col min="10984" max="10984" width="0" style="49" hidden="1" customWidth="1"/>
    <col min="10985" max="10985" width="7.5703125" style="49" customWidth="1"/>
    <col min="10986" max="10986" width="0" style="49" hidden="1" customWidth="1"/>
    <col min="10987" max="10987" width="80.7109375" style="49" customWidth="1"/>
    <col min="10988" max="11021" width="16" style="49" customWidth="1"/>
    <col min="11022" max="11239" width="9.140625" style="49"/>
    <col min="11240" max="11240" width="0" style="49" hidden="1" customWidth="1"/>
    <col min="11241" max="11241" width="7.5703125" style="49" customWidth="1"/>
    <col min="11242" max="11242" width="0" style="49" hidden="1" customWidth="1"/>
    <col min="11243" max="11243" width="80.7109375" style="49" customWidth="1"/>
    <col min="11244" max="11277" width="16" style="49" customWidth="1"/>
    <col min="11278" max="11495" width="9.140625" style="49"/>
    <col min="11496" max="11496" width="0" style="49" hidden="1" customWidth="1"/>
    <col min="11497" max="11497" width="7.5703125" style="49" customWidth="1"/>
    <col min="11498" max="11498" width="0" style="49" hidden="1" customWidth="1"/>
    <col min="11499" max="11499" width="80.7109375" style="49" customWidth="1"/>
    <col min="11500" max="11533" width="16" style="49" customWidth="1"/>
    <col min="11534" max="11751" width="9.140625" style="49"/>
    <col min="11752" max="11752" width="0" style="49" hidden="1" customWidth="1"/>
    <col min="11753" max="11753" width="7.5703125" style="49" customWidth="1"/>
    <col min="11754" max="11754" width="0" style="49" hidden="1" customWidth="1"/>
    <col min="11755" max="11755" width="80.7109375" style="49" customWidth="1"/>
    <col min="11756" max="11789" width="16" style="49" customWidth="1"/>
    <col min="11790" max="12007" width="9.140625" style="49"/>
    <col min="12008" max="12008" width="0" style="49" hidden="1" customWidth="1"/>
    <col min="12009" max="12009" width="7.5703125" style="49" customWidth="1"/>
    <col min="12010" max="12010" width="0" style="49" hidden="1" customWidth="1"/>
    <col min="12011" max="12011" width="80.7109375" style="49" customWidth="1"/>
    <col min="12012" max="12045" width="16" style="49" customWidth="1"/>
    <col min="12046" max="12263" width="9.140625" style="49"/>
    <col min="12264" max="12264" width="0" style="49" hidden="1" customWidth="1"/>
    <col min="12265" max="12265" width="7.5703125" style="49" customWidth="1"/>
    <col min="12266" max="12266" width="0" style="49" hidden="1" customWidth="1"/>
    <col min="12267" max="12267" width="80.7109375" style="49" customWidth="1"/>
    <col min="12268" max="12301" width="16" style="49" customWidth="1"/>
    <col min="12302" max="12519" width="9.140625" style="49"/>
    <col min="12520" max="12520" width="0" style="49" hidden="1" customWidth="1"/>
    <col min="12521" max="12521" width="7.5703125" style="49" customWidth="1"/>
    <col min="12522" max="12522" width="0" style="49" hidden="1" customWidth="1"/>
    <col min="12523" max="12523" width="80.7109375" style="49" customWidth="1"/>
    <col min="12524" max="12557" width="16" style="49" customWidth="1"/>
    <col min="12558" max="12775" width="9.140625" style="49"/>
    <col min="12776" max="12776" width="0" style="49" hidden="1" customWidth="1"/>
    <col min="12777" max="12777" width="7.5703125" style="49" customWidth="1"/>
    <col min="12778" max="12778" width="0" style="49" hidden="1" customWidth="1"/>
    <col min="12779" max="12779" width="80.7109375" style="49" customWidth="1"/>
    <col min="12780" max="12813" width="16" style="49" customWidth="1"/>
    <col min="12814" max="13031" width="9.140625" style="49"/>
    <col min="13032" max="13032" width="0" style="49" hidden="1" customWidth="1"/>
    <col min="13033" max="13033" width="7.5703125" style="49" customWidth="1"/>
    <col min="13034" max="13034" width="0" style="49" hidden="1" customWidth="1"/>
    <col min="13035" max="13035" width="80.7109375" style="49" customWidth="1"/>
    <col min="13036" max="13069" width="16" style="49" customWidth="1"/>
    <col min="13070" max="13287" width="9.140625" style="49"/>
    <col min="13288" max="13288" width="0" style="49" hidden="1" customWidth="1"/>
    <col min="13289" max="13289" width="7.5703125" style="49" customWidth="1"/>
    <col min="13290" max="13290" width="0" style="49" hidden="1" customWidth="1"/>
    <col min="13291" max="13291" width="80.7109375" style="49" customWidth="1"/>
    <col min="13292" max="13325" width="16" style="49" customWidth="1"/>
    <col min="13326" max="13543" width="9.140625" style="49"/>
    <col min="13544" max="13544" width="0" style="49" hidden="1" customWidth="1"/>
    <col min="13545" max="13545" width="7.5703125" style="49" customWidth="1"/>
    <col min="13546" max="13546" width="0" style="49" hidden="1" customWidth="1"/>
    <col min="13547" max="13547" width="80.7109375" style="49" customWidth="1"/>
    <col min="13548" max="13581" width="16" style="49" customWidth="1"/>
    <col min="13582" max="13799" width="9.140625" style="49"/>
    <col min="13800" max="13800" width="0" style="49" hidden="1" customWidth="1"/>
    <col min="13801" max="13801" width="7.5703125" style="49" customWidth="1"/>
    <col min="13802" max="13802" width="0" style="49" hidden="1" customWidth="1"/>
    <col min="13803" max="13803" width="80.7109375" style="49" customWidth="1"/>
    <col min="13804" max="13837" width="16" style="49" customWidth="1"/>
    <col min="13838" max="14055" width="9.140625" style="49"/>
    <col min="14056" max="14056" width="0" style="49" hidden="1" customWidth="1"/>
    <col min="14057" max="14057" width="7.5703125" style="49" customWidth="1"/>
    <col min="14058" max="14058" width="0" style="49" hidden="1" customWidth="1"/>
    <col min="14059" max="14059" width="80.7109375" style="49" customWidth="1"/>
    <col min="14060" max="14093" width="16" style="49" customWidth="1"/>
    <col min="14094" max="14311" width="9.140625" style="49"/>
    <col min="14312" max="14312" width="0" style="49" hidden="1" customWidth="1"/>
    <col min="14313" max="14313" width="7.5703125" style="49" customWidth="1"/>
    <col min="14314" max="14314" width="0" style="49" hidden="1" customWidth="1"/>
    <col min="14315" max="14315" width="80.7109375" style="49" customWidth="1"/>
    <col min="14316" max="14349" width="16" style="49" customWidth="1"/>
    <col min="14350" max="14567" width="9.140625" style="49"/>
    <col min="14568" max="14568" width="0" style="49" hidden="1" customWidth="1"/>
    <col min="14569" max="14569" width="7.5703125" style="49" customWidth="1"/>
    <col min="14570" max="14570" width="0" style="49" hidden="1" customWidth="1"/>
    <col min="14571" max="14571" width="80.7109375" style="49" customWidth="1"/>
    <col min="14572" max="14605" width="16" style="49" customWidth="1"/>
    <col min="14606" max="14823" width="9.140625" style="49"/>
    <col min="14824" max="14824" width="0" style="49" hidden="1" customWidth="1"/>
    <col min="14825" max="14825" width="7.5703125" style="49" customWidth="1"/>
    <col min="14826" max="14826" width="0" style="49" hidden="1" customWidth="1"/>
    <col min="14827" max="14827" width="80.7109375" style="49" customWidth="1"/>
    <col min="14828" max="14861" width="16" style="49" customWidth="1"/>
    <col min="14862" max="15079" width="9.140625" style="49"/>
    <col min="15080" max="15080" width="0" style="49" hidden="1" customWidth="1"/>
    <col min="15081" max="15081" width="7.5703125" style="49" customWidth="1"/>
    <col min="15082" max="15082" width="0" style="49" hidden="1" customWidth="1"/>
    <col min="15083" max="15083" width="80.7109375" style="49" customWidth="1"/>
    <col min="15084" max="15117" width="16" style="49" customWidth="1"/>
    <col min="15118" max="15335" width="9.140625" style="49"/>
    <col min="15336" max="15336" width="0" style="49" hidden="1" customWidth="1"/>
    <col min="15337" max="15337" width="7.5703125" style="49" customWidth="1"/>
    <col min="15338" max="15338" width="0" style="49" hidden="1" customWidth="1"/>
    <col min="15339" max="15339" width="80.7109375" style="49" customWidth="1"/>
    <col min="15340" max="15373" width="16" style="49" customWidth="1"/>
    <col min="15374" max="15591" width="9.140625" style="49"/>
    <col min="15592" max="15592" width="0" style="49" hidden="1" customWidth="1"/>
    <col min="15593" max="15593" width="7.5703125" style="49" customWidth="1"/>
    <col min="15594" max="15594" width="0" style="49" hidden="1" customWidth="1"/>
    <col min="15595" max="15595" width="80.7109375" style="49" customWidth="1"/>
    <col min="15596" max="15629" width="16" style="49" customWidth="1"/>
    <col min="15630" max="15847" width="9.140625" style="49"/>
    <col min="15848" max="15848" width="0" style="49" hidden="1" customWidth="1"/>
    <col min="15849" max="15849" width="7.5703125" style="49" customWidth="1"/>
    <col min="15850" max="15850" width="0" style="49" hidden="1" customWidth="1"/>
    <col min="15851" max="15851" width="80.7109375" style="49" customWidth="1"/>
    <col min="15852" max="15885" width="16" style="49" customWidth="1"/>
    <col min="15886" max="16103" width="9.140625" style="49"/>
    <col min="16104" max="16104" width="0" style="49" hidden="1" customWidth="1"/>
    <col min="16105" max="16105" width="7.5703125" style="49" customWidth="1"/>
    <col min="16106" max="16106" width="0" style="49" hidden="1" customWidth="1"/>
    <col min="16107" max="16107" width="80.7109375" style="49" customWidth="1"/>
    <col min="16108" max="16141" width="16" style="49" customWidth="1"/>
    <col min="16142" max="16384" width="9.140625" style="49"/>
  </cols>
  <sheetData>
    <row r="1" spans="1:19" ht="20.25">
      <c r="A1" s="124" t="s">
        <v>306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5.75">
      <c r="A2" s="122"/>
      <c r="B2" s="99"/>
      <c r="C2" s="123" t="s">
        <v>117</v>
      </c>
      <c r="D2" s="123"/>
      <c r="E2" s="121" t="s">
        <v>118</v>
      </c>
      <c r="F2" s="121" t="s">
        <v>117</v>
      </c>
      <c r="G2" s="51" t="str">
        <f>""</f>
        <v/>
      </c>
      <c r="H2" s="52"/>
      <c r="I2" s="52"/>
      <c r="J2" s="52"/>
      <c r="K2" s="52"/>
      <c r="L2" s="122"/>
      <c r="M2" s="122"/>
      <c r="N2" s="122"/>
      <c r="O2" s="122"/>
      <c r="P2" s="122"/>
      <c r="Q2" s="122"/>
      <c r="R2" s="122"/>
      <c r="S2" s="122"/>
    </row>
    <row r="3" spans="1:19">
      <c r="A3" s="53" t="s">
        <v>1</v>
      </c>
      <c r="B3" s="100" t="s">
        <v>119</v>
      </c>
      <c r="C3" s="54">
        <f>+D3-1</f>
        <v>2016</v>
      </c>
      <c r="D3" s="55">
        <f>+E3-1</f>
        <v>2017</v>
      </c>
      <c r="E3" s="55">
        <f>+F3</f>
        <v>2018</v>
      </c>
      <c r="F3" s="56">
        <f>+G3-1</f>
        <v>2018</v>
      </c>
      <c r="G3" s="57">
        <f>+[1]DaneZrodlowe!$N$1</f>
        <v>2019</v>
      </c>
      <c r="H3" s="58">
        <f>+G3+1</f>
        <v>2020</v>
      </c>
      <c r="I3" s="58">
        <f t="shared" ref="I3:S3" si="0">+H3+1</f>
        <v>2021</v>
      </c>
      <c r="J3" s="58">
        <f t="shared" si="0"/>
        <v>2022</v>
      </c>
      <c r="K3" s="58">
        <f t="shared" si="0"/>
        <v>2023</v>
      </c>
      <c r="L3" s="58">
        <f t="shared" si="0"/>
        <v>2024</v>
      </c>
      <c r="M3" s="58">
        <f t="shared" si="0"/>
        <v>2025</v>
      </c>
      <c r="N3" s="58">
        <f t="shared" si="0"/>
        <v>2026</v>
      </c>
      <c r="O3" s="58">
        <f t="shared" si="0"/>
        <v>2027</v>
      </c>
      <c r="P3" s="58">
        <f t="shared" si="0"/>
        <v>2028</v>
      </c>
      <c r="Q3" s="58">
        <f t="shared" si="0"/>
        <v>2029</v>
      </c>
      <c r="R3" s="58">
        <f t="shared" si="0"/>
        <v>2030</v>
      </c>
      <c r="S3" s="58">
        <f t="shared" si="0"/>
        <v>2031</v>
      </c>
    </row>
    <row r="4" spans="1:19" ht="18" customHeight="1">
      <c r="A4" s="59">
        <v>1</v>
      </c>
      <c r="B4" s="101" t="s">
        <v>120</v>
      </c>
      <c r="C4" s="60">
        <f>119031147.34</f>
        <v>119031147.34</v>
      </c>
      <c r="D4" s="61">
        <f>135769078.54</f>
        <v>135769078.53999999</v>
      </c>
      <c r="E4" s="61">
        <f>146993607</f>
        <v>146993607</v>
      </c>
      <c r="F4" s="62">
        <f>145269730.18</f>
        <v>145269730.18000001</v>
      </c>
      <c r="G4" s="63">
        <f>145764920</f>
        <v>145764920</v>
      </c>
      <c r="H4" s="64">
        <f>145616694</f>
        <v>145616694</v>
      </c>
      <c r="I4" s="64">
        <f>148598795</f>
        <v>148598795</v>
      </c>
      <c r="J4" s="64">
        <f>153223203</f>
        <v>153223203</v>
      </c>
      <c r="K4" s="64">
        <f>157768322</f>
        <v>157768322</v>
      </c>
      <c r="L4" s="64">
        <f>162202772</f>
        <v>162202772</v>
      </c>
      <c r="M4" s="64">
        <f>167068655</f>
        <v>167068655</v>
      </c>
      <c r="N4" s="64">
        <f>172103496</f>
        <v>172103496</v>
      </c>
      <c r="O4" s="64">
        <f>176706994</f>
        <v>176706994</v>
      </c>
      <c r="P4" s="64">
        <f>181644990</f>
        <v>181644990</v>
      </c>
      <c r="Q4" s="64">
        <f>186539955</f>
        <v>186539955</v>
      </c>
      <c r="R4" s="64">
        <f>191567084</f>
        <v>191567084</v>
      </c>
      <c r="S4" s="64">
        <f>196538728</f>
        <v>196538728</v>
      </c>
    </row>
    <row r="5" spans="1:19" ht="18" customHeight="1">
      <c r="A5" s="65" t="s">
        <v>121</v>
      </c>
      <c r="B5" s="66" t="s">
        <v>122</v>
      </c>
      <c r="C5" s="67">
        <f>112338702.73</f>
        <v>112338702.73</v>
      </c>
      <c r="D5" s="68">
        <f>116715488.34</f>
        <v>116715488.34</v>
      </c>
      <c r="E5" s="68">
        <f>124093494</f>
        <v>124093494</v>
      </c>
      <c r="F5" s="69">
        <f>126568566.74</f>
        <v>126568566.73999999</v>
      </c>
      <c r="G5" s="70">
        <f>136191273</f>
        <v>136191273</v>
      </c>
      <c r="H5" s="71">
        <f>141896694</f>
        <v>141896694</v>
      </c>
      <c r="I5" s="71">
        <f>147268795</f>
        <v>147268795</v>
      </c>
      <c r="J5" s="71">
        <f>152423203</f>
        <v>152423203</v>
      </c>
      <c r="K5" s="71">
        <f>157148322</f>
        <v>157148322</v>
      </c>
      <c r="L5" s="71">
        <f>161862772</f>
        <v>161862772</v>
      </c>
      <c r="M5" s="71">
        <f>166718655</f>
        <v>166718655</v>
      </c>
      <c r="N5" s="71">
        <f>171553496</f>
        <v>171553496</v>
      </c>
      <c r="O5" s="71">
        <f>176356994</f>
        <v>176356994</v>
      </c>
      <c r="P5" s="71">
        <f>181294990</f>
        <v>181294990</v>
      </c>
      <c r="Q5" s="71">
        <f>186189955</f>
        <v>186189955</v>
      </c>
      <c r="R5" s="71">
        <f>191217084</f>
        <v>191217084</v>
      </c>
      <c r="S5" s="71">
        <f>196188728</f>
        <v>196188728</v>
      </c>
    </row>
    <row r="6" spans="1:19" ht="33" customHeight="1">
      <c r="A6" s="65" t="s">
        <v>123</v>
      </c>
      <c r="B6" s="72" t="s">
        <v>124</v>
      </c>
      <c r="C6" s="67">
        <f>39127727</f>
        <v>39127727</v>
      </c>
      <c r="D6" s="68">
        <f>44035115</f>
        <v>44035115</v>
      </c>
      <c r="E6" s="68">
        <f>47173387</f>
        <v>47173387</v>
      </c>
      <c r="F6" s="69">
        <f>50171188</f>
        <v>50171188</v>
      </c>
      <c r="G6" s="70">
        <f>53890702</f>
        <v>53890702</v>
      </c>
      <c r="H6" s="71">
        <f>56693019</f>
        <v>56693019</v>
      </c>
      <c r="I6" s="71">
        <f>58847354</f>
        <v>58847354</v>
      </c>
      <c r="J6" s="71">
        <f>60907011</f>
        <v>60907011</v>
      </c>
      <c r="K6" s="71">
        <f>62795128</f>
        <v>62795128</v>
      </c>
      <c r="L6" s="71">
        <f>64678982</f>
        <v>64678982</v>
      </c>
      <c r="M6" s="71">
        <f>66619351</f>
        <v>66619351</v>
      </c>
      <c r="N6" s="71">
        <f>68551312</f>
        <v>68551312</v>
      </c>
      <c r="O6" s="71">
        <f>70470749</f>
        <v>70470749</v>
      </c>
      <c r="P6" s="71">
        <f>72443930</f>
        <v>72443930</v>
      </c>
      <c r="Q6" s="71">
        <f>74399916</f>
        <v>74399916</v>
      </c>
      <c r="R6" s="71">
        <f>76408714</f>
        <v>76408714</v>
      </c>
      <c r="S6" s="71">
        <f>78395341</f>
        <v>78395341</v>
      </c>
    </row>
    <row r="7" spans="1:19" ht="33.75" customHeight="1">
      <c r="A7" s="65" t="s">
        <v>125</v>
      </c>
      <c r="B7" s="72" t="s">
        <v>126</v>
      </c>
      <c r="C7" s="67">
        <f>865724.06</f>
        <v>865724.06</v>
      </c>
      <c r="D7" s="68">
        <f>987572.58</f>
        <v>987572.58</v>
      </c>
      <c r="E7" s="68">
        <f>1300000</f>
        <v>1300000</v>
      </c>
      <c r="F7" s="69">
        <f>888145.77</f>
        <v>888145.77</v>
      </c>
      <c r="G7" s="70">
        <f>1000000</f>
        <v>1000000</v>
      </c>
      <c r="H7" s="71">
        <f>1052000</f>
        <v>1052000</v>
      </c>
      <c r="I7" s="71">
        <f>1091976</f>
        <v>1091976</v>
      </c>
      <c r="J7" s="71">
        <f>1130195</f>
        <v>1130195</v>
      </c>
      <c r="K7" s="71">
        <f>1165231</f>
        <v>1165231</v>
      </c>
      <c r="L7" s="71">
        <f>1200188</f>
        <v>1200188</v>
      </c>
      <c r="M7" s="71">
        <f>1236194</f>
        <v>1236194</v>
      </c>
      <c r="N7" s="71">
        <f>1272044</f>
        <v>1272044</v>
      </c>
      <c r="O7" s="71">
        <f>1307661</f>
        <v>1307661</v>
      </c>
      <c r="P7" s="71">
        <f>1344276</f>
        <v>1344276</v>
      </c>
      <c r="Q7" s="71">
        <f>1380571</f>
        <v>1380571</v>
      </c>
      <c r="R7" s="71">
        <f>1417846</f>
        <v>1417846</v>
      </c>
      <c r="S7" s="71">
        <f>1454710</f>
        <v>1454710</v>
      </c>
    </row>
    <row r="8" spans="1:19" ht="22.5" customHeight="1">
      <c r="A8" s="65" t="s">
        <v>127</v>
      </c>
      <c r="B8" s="72" t="s">
        <v>128</v>
      </c>
      <c r="C8" s="67">
        <f>4549004.28</f>
        <v>4549004.28</v>
      </c>
      <c r="D8" s="68">
        <f>4508131.33</f>
        <v>4508131.33</v>
      </c>
      <c r="E8" s="68">
        <f>4757027</f>
        <v>4757027</v>
      </c>
      <c r="F8" s="69">
        <f>4712799.89</f>
        <v>4712799.8899999997</v>
      </c>
      <c r="G8" s="70">
        <f>4798000</f>
        <v>4798000</v>
      </c>
      <c r="H8" s="71">
        <f>5047496</f>
        <v>5047496</v>
      </c>
      <c r="I8" s="71">
        <f>5239301</f>
        <v>5239301</v>
      </c>
      <c r="J8" s="71">
        <f>5422677</f>
        <v>5422677</v>
      </c>
      <c r="K8" s="71">
        <f>5590780</f>
        <v>5590780</v>
      </c>
      <c r="L8" s="71">
        <f>5758503</f>
        <v>5758503</v>
      </c>
      <c r="M8" s="71">
        <f>5931258</f>
        <v>5931258</v>
      </c>
      <c r="N8" s="71">
        <f>6103264</f>
        <v>6103264</v>
      </c>
      <c r="O8" s="71">
        <f>6274155</f>
        <v>6274155</v>
      </c>
      <c r="P8" s="71">
        <f>6449831</f>
        <v>6449831</v>
      </c>
      <c r="Q8" s="71">
        <f>6623976</f>
        <v>6623976</v>
      </c>
      <c r="R8" s="71">
        <f>6802823</f>
        <v>6802823</v>
      </c>
      <c r="S8" s="71">
        <f>6979696</f>
        <v>6979696</v>
      </c>
    </row>
    <row r="9" spans="1:19" ht="18" customHeight="1">
      <c r="A9" s="65" t="s">
        <v>129</v>
      </c>
      <c r="B9" s="73" t="s">
        <v>130</v>
      </c>
      <c r="C9" s="67">
        <f>0</f>
        <v>0</v>
      </c>
      <c r="D9" s="68">
        <f>0</f>
        <v>0</v>
      </c>
      <c r="E9" s="68">
        <f>0</f>
        <v>0</v>
      </c>
      <c r="F9" s="69">
        <f>0</f>
        <v>0</v>
      </c>
      <c r="G9" s="70">
        <f>0</f>
        <v>0</v>
      </c>
      <c r="H9" s="71">
        <f>0</f>
        <v>0</v>
      </c>
      <c r="I9" s="71">
        <f>0</f>
        <v>0</v>
      </c>
      <c r="J9" s="71">
        <f>0</f>
        <v>0</v>
      </c>
      <c r="K9" s="71">
        <f>0</f>
        <v>0</v>
      </c>
      <c r="L9" s="71">
        <f>0</f>
        <v>0</v>
      </c>
      <c r="M9" s="71">
        <f>0</f>
        <v>0</v>
      </c>
      <c r="N9" s="71">
        <f>0</f>
        <v>0</v>
      </c>
      <c r="O9" s="71">
        <f>0</f>
        <v>0</v>
      </c>
      <c r="P9" s="71">
        <f>0</f>
        <v>0</v>
      </c>
      <c r="Q9" s="71">
        <f>0</f>
        <v>0</v>
      </c>
      <c r="R9" s="71">
        <f>0</f>
        <v>0</v>
      </c>
      <c r="S9" s="71">
        <f>0</f>
        <v>0</v>
      </c>
    </row>
    <row r="10" spans="1:19" ht="18" customHeight="1">
      <c r="A10" s="65" t="s">
        <v>131</v>
      </c>
      <c r="B10" s="72" t="s">
        <v>132</v>
      </c>
      <c r="C10" s="67">
        <f>44895602</f>
        <v>44895602</v>
      </c>
      <c r="D10" s="68">
        <f>43955181</f>
        <v>43955181</v>
      </c>
      <c r="E10" s="68">
        <f>46106543</f>
        <v>46106543</v>
      </c>
      <c r="F10" s="69">
        <f>46201081</f>
        <v>46201081</v>
      </c>
      <c r="G10" s="70">
        <f>52130329</f>
        <v>52130329</v>
      </c>
      <c r="H10" s="71">
        <f>54128624</f>
        <v>54128624</v>
      </c>
      <c r="I10" s="71">
        <f>56185512</f>
        <v>56185512</v>
      </c>
      <c r="J10" s="71">
        <f>58152005</f>
        <v>58152005</v>
      </c>
      <c r="K10" s="71">
        <f>59954717</f>
        <v>59954717</v>
      </c>
      <c r="L10" s="71">
        <f>61753359</f>
        <v>61753359</v>
      </c>
      <c r="M10" s="71">
        <f>63605960</f>
        <v>63605960</v>
      </c>
      <c r="N10" s="71">
        <f>65450533</f>
        <v>65450533</v>
      </c>
      <c r="O10" s="71">
        <f>67283148</f>
        <v>67283148</v>
      </c>
      <c r="P10" s="71">
        <f>69167076</f>
        <v>69167076</v>
      </c>
      <c r="Q10" s="71">
        <f>71034587</f>
        <v>71034587</v>
      </c>
      <c r="R10" s="71">
        <f>72952521</f>
        <v>72952521</v>
      </c>
      <c r="S10" s="71">
        <f>74849287</f>
        <v>74849287</v>
      </c>
    </row>
    <row r="11" spans="1:19" ht="32.25" customHeight="1">
      <c r="A11" s="65" t="s">
        <v>133</v>
      </c>
      <c r="B11" s="72" t="s">
        <v>134</v>
      </c>
      <c r="C11" s="67">
        <f>16519142.81</f>
        <v>16519142.810000001</v>
      </c>
      <c r="D11" s="68">
        <f>16878810.53</f>
        <v>16878810.530000001</v>
      </c>
      <c r="E11" s="68">
        <f>17649046</f>
        <v>17649046</v>
      </c>
      <c r="F11" s="69">
        <f>17583692.65</f>
        <v>17583692.649999999</v>
      </c>
      <c r="G11" s="70">
        <f>17602828</f>
        <v>17602828</v>
      </c>
      <c r="H11" s="71">
        <f>17829056</f>
        <v>17829056</v>
      </c>
      <c r="I11" s="71">
        <f>18506560</f>
        <v>18506560</v>
      </c>
      <c r="J11" s="71">
        <f>19154290</f>
        <v>19154290</v>
      </c>
      <c r="K11" s="71">
        <f>19748073</f>
        <v>19748073</v>
      </c>
      <c r="L11" s="71">
        <f>20340515</f>
        <v>20340515</v>
      </c>
      <c r="M11" s="71">
        <f>20950730</f>
        <v>20950730</v>
      </c>
      <c r="N11" s="71">
        <f>21558301</f>
        <v>21558301</v>
      </c>
      <c r="O11" s="71">
        <f>22161933</f>
        <v>22161933</v>
      </c>
      <c r="P11" s="71">
        <f>22782467</f>
        <v>22782467</v>
      </c>
      <c r="Q11" s="71">
        <f>23397594</f>
        <v>23397594</v>
      </c>
      <c r="R11" s="71">
        <f>24029329</f>
        <v>24029329</v>
      </c>
      <c r="S11" s="71">
        <f>24654092</f>
        <v>24654092</v>
      </c>
    </row>
    <row r="12" spans="1:19" ht="18" customHeight="1">
      <c r="A12" s="65" t="s">
        <v>135</v>
      </c>
      <c r="B12" s="66" t="s">
        <v>136</v>
      </c>
      <c r="C12" s="67">
        <f>6692444.61</f>
        <v>6692444.6100000003</v>
      </c>
      <c r="D12" s="68">
        <f>19053590.2</f>
        <v>19053590.199999999</v>
      </c>
      <c r="E12" s="68">
        <f>22900113</f>
        <v>22900113</v>
      </c>
      <c r="F12" s="69">
        <f>18701163.44</f>
        <v>18701163.440000001</v>
      </c>
      <c r="G12" s="70">
        <f>9573647</f>
        <v>9573647</v>
      </c>
      <c r="H12" s="71">
        <f>3720000</f>
        <v>3720000</v>
      </c>
      <c r="I12" s="71">
        <f>1330000</f>
        <v>1330000</v>
      </c>
      <c r="J12" s="71">
        <f>800000</f>
        <v>800000</v>
      </c>
      <c r="K12" s="71">
        <f>620000</f>
        <v>620000</v>
      </c>
      <c r="L12" s="71">
        <f>340000</f>
        <v>340000</v>
      </c>
      <c r="M12" s="71">
        <f>350000</f>
        <v>350000</v>
      </c>
      <c r="N12" s="71">
        <f>550000</f>
        <v>550000</v>
      </c>
      <c r="O12" s="71">
        <f>350000</f>
        <v>350000</v>
      </c>
      <c r="P12" s="71">
        <f>350000</f>
        <v>350000</v>
      </c>
      <c r="Q12" s="71">
        <f>350000</f>
        <v>350000</v>
      </c>
      <c r="R12" s="71">
        <f>350000</f>
        <v>350000</v>
      </c>
      <c r="S12" s="71">
        <f>350000</f>
        <v>350000</v>
      </c>
    </row>
    <row r="13" spans="1:19" ht="18" customHeight="1">
      <c r="A13" s="65" t="s">
        <v>137</v>
      </c>
      <c r="B13" s="72" t="s">
        <v>138</v>
      </c>
      <c r="C13" s="67">
        <f>4846510.38</f>
        <v>4846510.38</v>
      </c>
      <c r="D13" s="68">
        <f>4862594.7</f>
        <v>4862594.7</v>
      </c>
      <c r="E13" s="68">
        <f>4886470</f>
        <v>4886470</v>
      </c>
      <c r="F13" s="69">
        <f>926571.82</f>
        <v>926571.82</v>
      </c>
      <c r="G13" s="70">
        <f>6326272</f>
        <v>6326272</v>
      </c>
      <c r="H13" s="71">
        <f>2720000</f>
        <v>2720000</v>
      </c>
      <c r="I13" s="71">
        <f>830000</f>
        <v>830000</v>
      </c>
      <c r="J13" s="71">
        <f>300000</f>
        <v>300000</v>
      </c>
      <c r="K13" s="71">
        <f>120000</f>
        <v>120000</v>
      </c>
      <c r="L13" s="71">
        <f>40000</f>
        <v>40000</v>
      </c>
      <c r="M13" s="71">
        <f>50000</f>
        <v>50000</v>
      </c>
      <c r="N13" s="71">
        <f>250000</f>
        <v>250000</v>
      </c>
      <c r="O13" s="71">
        <f>50000</f>
        <v>50000</v>
      </c>
      <c r="P13" s="71">
        <f>50000</f>
        <v>50000</v>
      </c>
      <c r="Q13" s="71">
        <f>50000</f>
        <v>50000</v>
      </c>
      <c r="R13" s="71">
        <f>50000</f>
        <v>50000</v>
      </c>
      <c r="S13" s="71">
        <f>50000</f>
        <v>50000</v>
      </c>
    </row>
    <row r="14" spans="1:19" ht="30" customHeight="1">
      <c r="A14" s="65" t="s">
        <v>139</v>
      </c>
      <c r="B14" s="72" t="s">
        <v>140</v>
      </c>
      <c r="C14" s="67">
        <f>1823935.38</f>
        <v>1823935.38</v>
      </c>
      <c r="D14" s="68">
        <f>14100719</f>
        <v>14100719</v>
      </c>
      <c r="E14" s="68">
        <f>18008643</f>
        <v>18008643</v>
      </c>
      <c r="F14" s="69">
        <f>17768942.48</f>
        <v>17768942.48</v>
      </c>
      <c r="G14" s="70">
        <f>3241375</f>
        <v>3241375</v>
      </c>
      <c r="H14" s="71">
        <f>1000000</f>
        <v>1000000</v>
      </c>
      <c r="I14" s="71">
        <f>500000</f>
        <v>500000</v>
      </c>
      <c r="J14" s="71">
        <f>500000</f>
        <v>500000</v>
      </c>
      <c r="K14" s="71">
        <f>500000</f>
        <v>500000</v>
      </c>
      <c r="L14" s="71">
        <f t="shared" ref="L14:S14" si="1">300000</f>
        <v>300000</v>
      </c>
      <c r="M14" s="71">
        <f t="shared" si="1"/>
        <v>300000</v>
      </c>
      <c r="N14" s="71">
        <f t="shared" si="1"/>
        <v>300000</v>
      </c>
      <c r="O14" s="71">
        <f t="shared" si="1"/>
        <v>300000</v>
      </c>
      <c r="P14" s="71">
        <f t="shared" si="1"/>
        <v>300000</v>
      </c>
      <c r="Q14" s="71">
        <f t="shared" si="1"/>
        <v>300000</v>
      </c>
      <c r="R14" s="71">
        <f t="shared" si="1"/>
        <v>300000</v>
      </c>
      <c r="S14" s="71">
        <f t="shared" si="1"/>
        <v>300000</v>
      </c>
    </row>
    <row r="15" spans="1:19" ht="18" customHeight="1">
      <c r="A15" s="59">
        <v>2</v>
      </c>
      <c r="B15" s="101" t="s">
        <v>141</v>
      </c>
      <c r="C15" s="60">
        <f>115011965.36</f>
        <v>115011965.36</v>
      </c>
      <c r="D15" s="61">
        <f>132768246.1</f>
        <v>132768246.09999999</v>
      </c>
      <c r="E15" s="61">
        <f>156164976</f>
        <v>156164976</v>
      </c>
      <c r="F15" s="62">
        <f>151231402.82</f>
        <v>151231402.81999999</v>
      </c>
      <c r="G15" s="63">
        <f>150821054</f>
        <v>150821054</v>
      </c>
      <c r="H15" s="64">
        <f>140352082</f>
        <v>140352082</v>
      </c>
      <c r="I15" s="64">
        <f>144056795</f>
        <v>144056795</v>
      </c>
      <c r="J15" s="64">
        <f>148481203</f>
        <v>148481203</v>
      </c>
      <c r="K15" s="64">
        <f>153526322</f>
        <v>153526322</v>
      </c>
      <c r="L15" s="64">
        <f>157810772</f>
        <v>157810772</v>
      </c>
      <c r="M15" s="64">
        <f>162476655</f>
        <v>162476655</v>
      </c>
      <c r="N15" s="64">
        <f>167803496</f>
        <v>167803496</v>
      </c>
      <c r="O15" s="64">
        <f>172406994</f>
        <v>172406994</v>
      </c>
      <c r="P15" s="64">
        <f>177344990</f>
        <v>177344990</v>
      </c>
      <c r="Q15" s="64">
        <f>182939955</f>
        <v>182939955</v>
      </c>
      <c r="R15" s="64">
        <f>188567084</f>
        <v>188567084</v>
      </c>
      <c r="S15" s="64">
        <f>193638728</f>
        <v>193638728</v>
      </c>
    </row>
    <row r="16" spans="1:19" ht="18" customHeight="1">
      <c r="A16" s="65" t="s">
        <v>142</v>
      </c>
      <c r="B16" s="66" t="s">
        <v>143</v>
      </c>
      <c r="C16" s="67">
        <f>106329765.59</f>
        <v>106329765.59</v>
      </c>
      <c r="D16" s="68">
        <f>104880266.03</f>
        <v>104880266.03</v>
      </c>
      <c r="E16" s="68">
        <f>118308832</f>
        <v>118308832</v>
      </c>
      <c r="F16" s="69">
        <f>114334644.46</f>
        <v>114334644.45999999</v>
      </c>
      <c r="G16" s="70">
        <f>130551609</f>
        <v>130551609</v>
      </c>
      <c r="H16" s="71">
        <f>131598397</f>
        <v>131598397</v>
      </c>
      <c r="I16" s="71">
        <f>134868634</f>
        <v>134868634</v>
      </c>
      <c r="J16" s="71">
        <f>138240350</f>
        <v>138240350</v>
      </c>
      <c r="K16" s="71">
        <f>141696359</f>
        <v>141696359</v>
      </c>
      <c r="L16" s="71">
        <f>145238768</f>
        <v>145238768</v>
      </c>
      <c r="M16" s="71">
        <f>148869737</f>
        <v>148869737</v>
      </c>
      <c r="N16" s="71">
        <f>152591480</f>
        <v>152591480</v>
      </c>
      <c r="O16" s="71">
        <f>156406267</f>
        <v>156406267</v>
      </c>
      <c r="P16" s="71">
        <f>160316424</f>
        <v>160316424</v>
      </c>
      <c r="Q16" s="71">
        <f>164324335</f>
        <v>164324335</v>
      </c>
      <c r="R16" s="71">
        <f>168432443</f>
        <v>168432443</v>
      </c>
      <c r="S16" s="71">
        <f>172643254</f>
        <v>172643254</v>
      </c>
    </row>
    <row r="17" spans="1:19" ht="19.5" customHeight="1">
      <c r="A17" s="65" t="s">
        <v>144</v>
      </c>
      <c r="B17" s="72" t="s">
        <v>145</v>
      </c>
      <c r="C17" s="67">
        <f>0</f>
        <v>0</v>
      </c>
      <c r="D17" s="68">
        <f>431053.14</f>
        <v>431053.14</v>
      </c>
      <c r="E17" s="68">
        <f>482801</f>
        <v>482801</v>
      </c>
      <c r="F17" s="69">
        <f>428958</f>
        <v>428958</v>
      </c>
      <c r="G17" s="70">
        <f>2900000</f>
        <v>2900000</v>
      </c>
      <c r="H17" s="71">
        <f>2800000</f>
        <v>2800000</v>
      </c>
      <c r="I17" s="71">
        <f>2700000</f>
        <v>2700000</v>
      </c>
      <c r="J17" s="71">
        <f>2600000</f>
        <v>2600000</v>
      </c>
      <c r="K17" s="71">
        <f>2550000</f>
        <v>2550000</v>
      </c>
      <c r="L17" s="71">
        <f>0</f>
        <v>0</v>
      </c>
      <c r="M17" s="71">
        <f>0</f>
        <v>0</v>
      </c>
      <c r="N17" s="71">
        <f>0</f>
        <v>0</v>
      </c>
      <c r="O17" s="71">
        <f>0</f>
        <v>0</v>
      </c>
      <c r="P17" s="71">
        <f>0</f>
        <v>0</v>
      </c>
      <c r="Q17" s="71">
        <f>0</f>
        <v>0</v>
      </c>
      <c r="R17" s="71">
        <f>0</f>
        <v>0</v>
      </c>
      <c r="S17" s="71">
        <f>0</f>
        <v>0</v>
      </c>
    </row>
    <row r="18" spans="1:19" ht="47.25" customHeight="1">
      <c r="A18" s="65" t="s">
        <v>146</v>
      </c>
      <c r="B18" s="73" t="s">
        <v>147</v>
      </c>
      <c r="C18" s="67">
        <f>0</f>
        <v>0</v>
      </c>
      <c r="D18" s="68">
        <f>0</f>
        <v>0</v>
      </c>
      <c r="E18" s="68">
        <f>0</f>
        <v>0</v>
      </c>
      <c r="F18" s="69">
        <f>0</f>
        <v>0</v>
      </c>
      <c r="G18" s="70">
        <f>0</f>
        <v>0</v>
      </c>
      <c r="H18" s="71">
        <f>0</f>
        <v>0</v>
      </c>
      <c r="I18" s="71">
        <f>0</f>
        <v>0</v>
      </c>
      <c r="J18" s="71">
        <f>0</f>
        <v>0</v>
      </c>
      <c r="K18" s="71">
        <f>0</f>
        <v>0</v>
      </c>
      <c r="L18" s="71">
        <f>0</f>
        <v>0</v>
      </c>
      <c r="M18" s="71">
        <f>0</f>
        <v>0</v>
      </c>
      <c r="N18" s="71">
        <f>0</f>
        <v>0</v>
      </c>
      <c r="O18" s="71">
        <f>0</f>
        <v>0</v>
      </c>
      <c r="P18" s="71">
        <f>0</f>
        <v>0</v>
      </c>
      <c r="Q18" s="71">
        <f>0</f>
        <v>0</v>
      </c>
      <c r="R18" s="71">
        <f>0</f>
        <v>0</v>
      </c>
      <c r="S18" s="71">
        <f>0</f>
        <v>0</v>
      </c>
    </row>
    <row r="19" spans="1:19" ht="81" customHeight="1">
      <c r="A19" s="65" t="s">
        <v>148</v>
      </c>
      <c r="B19" s="72" t="s">
        <v>149</v>
      </c>
      <c r="C19" s="67">
        <f>0</f>
        <v>0</v>
      </c>
      <c r="D19" s="68">
        <f>0</f>
        <v>0</v>
      </c>
      <c r="E19" s="68">
        <f>0</f>
        <v>0</v>
      </c>
      <c r="F19" s="69">
        <f>0</f>
        <v>0</v>
      </c>
      <c r="G19" s="70">
        <f>0</f>
        <v>0</v>
      </c>
      <c r="H19" s="71">
        <f>0</f>
        <v>0</v>
      </c>
      <c r="I19" s="71">
        <f>0</f>
        <v>0</v>
      </c>
      <c r="J19" s="71">
        <f>0</f>
        <v>0</v>
      </c>
      <c r="K19" s="71">
        <f>0</f>
        <v>0</v>
      </c>
      <c r="L19" s="71">
        <f>0</f>
        <v>0</v>
      </c>
      <c r="M19" s="71">
        <f>0</f>
        <v>0</v>
      </c>
      <c r="N19" s="71">
        <f>0</f>
        <v>0</v>
      </c>
      <c r="O19" s="71">
        <f>0</f>
        <v>0</v>
      </c>
      <c r="P19" s="71">
        <f>0</f>
        <v>0</v>
      </c>
      <c r="Q19" s="71">
        <f>0</f>
        <v>0</v>
      </c>
      <c r="R19" s="71">
        <f>0</f>
        <v>0</v>
      </c>
      <c r="S19" s="71">
        <f>0</f>
        <v>0</v>
      </c>
    </row>
    <row r="20" spans="1:19" ht="18.75" customHeight="1">
      <c r="A20" s="65" t="s">
        <v>150</v>
      </c>
      <c r="B20" s="72" t="s">
        <v>151</v>
      </c>
      <c r="C20" s="67">
        <f>1276184.14</f>
        <v>1276184.1399999999</v>
      </c>
      <c r="D20" s="68">
        <f>1119766</f>
        <v>1119766</v>
      </c>
      <c r="E20" s="68">
        <f>1300000</f>
        <v>1300000</v>
      </c>
      <c r="F20" s="69">
        <f>1120444.53</f>
        <v>1120444.53</v>
      </c>
      <c r="G20" s="70">
        <f>1300000</f>
        <v>1300000</v>
      </c>
      <c r="H20" s="71">
        <f>1320000</f>
        <v>1320000</v>
      </c>
      <c r="I20" s="71">
        <f>1200000</f>
        <v>1200000</v>
      </c>
      <c r="J20" s="71">
        <f>1050000</f>
        <v>1050000</v>
      </c>
      <c r="K20" s="71">
        <f>950000</f>
        <v>950000</v>
      </c>
      <c r="L20" s="71">
        <f>800000</f>
        <v>800000</v>
      </c>
      <c r="M20" s="71">
        <f>700000</f>
        <v>700000</v>
      </c>
      <c r="N20" s="71">
        <f>600000</f>
        <v>600000</v>
      </c>
      <c r="O20" s="71">
        <f>450000</f>
        <v>450000</v>
      </c>
      <c r="P20" s="71">
        <f>350000</f>
        <v>350000</v>
      </c>
      <c r="Q20" s="71">
        <f>250000</f>
        <v>250000</v>
      </c>
      <c r="R20" s="71">
        <f>150000</f>
        <v>150000</v>
      </c>
      <c r="S20" s="71">
        <f>50000</f>
        <v>50000</v>
      </c>
    </row>
    <row r="21" spans="1:19" ht="33" customHeight="1">
      <c r="A21" s="65" t="s">
        <v>152</v>
      </c>
      <c r="B21" s="73" t="s">
        <v>153</v>
      </c>
      <c r="C21" s="67">
        <f>1276184.14</f>
        <v>1276184.1399999999</v>
      </c>
      <c r="D21" s="68">
        <f>1119766</f>
        <v>1119766</v>
      </c>
      <c r="E21" s="68">
        <f>1300000</f>
        <v>1300000</v>
      </c>
      <c r="F21" s="69">
        <f>1120444.53</f>
        <v>1120444.53</v>
      </c>
      <c r="G21" s="70">
        <f>1300000</f>
        <v>1300000</v>
      </c>
      <c r="H21" s="71">
        <f>1320000</f>
        <v>1320000</v>
      </c>
      <c r="I21" s="71">
        <f>1200000</f>
        <v>1200000</v>
      </c>
      <c r="J21" s="71">
        <f>1050000</f>
        <v>1050000</v>
      </c>
      <c r="K21" s="71">
        <f>950000</f>
        <v>950000</v>
      </c>
      <c r="L21" s="71">
        <f>800000</f>
        <v>800000</v>
      </c>
      <c r="M21" s="71">
        <f>700000</f>
        <v>700000</v>
      </c>
      <c r="N21" s="71">
        <f>600000</f>
        <v>600000</v>
      </c>
      <c r="O21" s="71">
        <f>450000</f>
        <v>450000</v>
      </c>
      <c r="P21" s="71">
        <f>350000</f>
        <v>350000</v>
      </c>
      <c r="Q21" s="71">
        <f>250000</f>
        <v>250000</v>
      </c>
      <c r="R21" s="71">
        <f>150000</f>
        <v>150000</v>
      </c>
      <c r="S21" s="71">
        <f>50000</f>
        <v>50000</v>
      </c>
    </row>
    <row r="22" spans="1:19" ht="101.25" customHeight="1">
      <c r="A22" s="65" t="s">
        <v>154</v>
      </c>
      <c r="B22" s="74" t="s">
        <v>155</v>
      </c>
      <c r="C22" s="67">
        <f>0</f>
        <v>0</v>
      </c>
      <c r="D22" s="68">
        <f>0</f>
        <v>0</v>
      </c>
      <c r="E22" s="68">
        <f>0</f>
        <v>0</v>
      </c>
      <c r="F22" s="69">
        <f>0</f>
        <v>0</v>
      </c>
      <c r="G22" s="70">
        <f>0</f>
        <v>0</v>
      </c>
      <c r="H22" s="71">
        <f>0</f>
        <v>0</v>
      </c>
      <c r="I22" s="71">
        <f>0</f>
        <v>0</v>
      </c>
      <c r="J22" s="71">
        <f>0</f>
        <v>0</v>
      </c>
      <c r="K22" s="71">
        <f>0</f>
        <v>0</v>
      </c>
      <c r="L22" s="71">
        <f>0</f>
        <v>0</v>
      </c>
      <c r="M22" s="71">
        <f>0</f>
        <v>0</v>
      </c>
      <c r="N22" s="71">
        <f>0</f>
        <v>0</v>
      </c>
      <c r="O22" s="71">
        <f>0</f>
        <v>0</v>
      </c>
      <c r="P22" s="71">
        <f>0</f>
        <v>0</v>
      </c>
      <c r="Q22" s="71">
        <f>0</f>
        <v>0</v>
      </c>
      <c r="R22" s="71">
        <f>0</f>
        <v>0</v>
      </c>
      <c r="S22" s="71">
        <f>0</f>
        <v>0</v>
      </c>
    </row>
    <row r="23" spans="1:19" ht="62.25" customHeight="1">
      <c r="A23" s="65" t="s">
        <v>156</v>
      </c>
      <c r="B23" s="74" t="s">
        <v>157</v>
      </c>
      <c r="C23" s="67">
        <f>0</f>
        <v>0</v>
      </c>
      <c r="D23" s="68">
        <f>0</f>
        <v>0</v>
      </c>
      <c r="E23" s="68">
        <f>0</f>
        <v>0</v>
      </c>
      <c r="F23" s="69">
        <f>0</f>
        <v>0</v>
      </c>
      <c r="G23" s="70">
        <f>0</f>
        <v>0</v>
      </c>
      <c r="H23" s="71">
        <f>0</f>
        <v>0</v>
      </c>
      <c r="I23" s="71">
        <f>0</f>
        <v>0</v>
      </c>
      <c r="J23" s="71">
        <f>0</f>
        <v>0</v>
      </c>
      <c r="K23" s="71">
        <f>0</f>
        <v>0</v>
      </c>
      <c r="L23" s="71">
        <f>0</f>
        <v>0</v>
      </c>
      <c r="M23" s="71">
        <f>0</f>
        <v>0</v>
      </c>
      <c r="N23" s="71">
        <f>0</f>
        <v>0</v>
      </c>
      <c r="O23" s="71">
        <f>0</f>
        <v>0</v>
      </c>
      <c r="P23" s="71">
        <f>0</f>
        <v>0</v>
      </c>
      <c r="Q23" s="71">
        <f>0</f>
        <v>0</v>
      </c>
      <c r="R23" s="71">
        <f>0</f>
        <v>0</v>
      </c>
      <c r="S23" s="71">
        <f>0</f>
        <v>0</v>
      </c>
    </row>
    <row r="24" spans="1:19" ht="18" customHeight="1">
      <c r="A24" s="65" t="s">
        <v>158</v>
      </c>
      <c r="B24" s="66" t="s">
        <v>159</v>
      </c>
      <c r="C24" s="67">
        <f>8682199.77</f>
        <v>8682199.7699999996</v>
      </c>
      <c r="D24" s="68">
        <f>27887980.07</f>
        <v>27887980.07</v>
      </c>
      <c r="E24" s="68">
        <f>37856144</f>
        <v>37856144</v>
      </c>
      <c r="F24" s="69">
        <f>36896758.36</f>
        <v>36896758.359999999</v>
      </c>
      <c r="G24" s="70">
        <f>20269445</f>
        <v>20269445</v>
      </c>
      <c r="H24" s="71">
        <f>8753685</f>
        <v>8753685</v>
      </c>
      <c r="I24" s="71">
        <f>9188161</f>
        <v>9188161</v>
      </c>
      <c r="J24" s="71">
        <f>10240853</f>
        <v>10240853</v>
      </c>
      <c r="K24" s="71">
        <f>11829963</f>
        <v>11829963</v>
      </c>
      <c r="L24" s="71">
        <f>12572004</f>
        <v>12572004</v>
      </c>
      <c r="M24" s="71">
        <f>13606918</f>
        <v>13606918</v>
      </c>
      <c r="N24" s="71">
        <f>15212016</f>
        <v>15212016</v>
      </c>
      <c r="O24" s="71">
        <f>16000727</f>
        <v>16000727</v>
      </c>
      <c r="P24" s="71">
        <f>17028566</f>
        <v>17028566</v>
      </c>
      <c r="Q24" s="71">
        <f>18615620</f>
        <v>18615620</v>
      </c>
      <c r="R24" s="71">
        <f>20134641</f>
        <v>20134641</v>
      </c>
      <c r="S24" s="71">
        <f>20995474</f>
        <v>20995474</v>
      </c>
    </row>
    <row r="25" spans="1:19" ht="18" customHeight="1">
      <c r="A25" s="59">
        <v>3</v>
      </c>
      <c r="B25" s="101" t="s">
        <v>160</v>
      </c>
      <c r="C25" s="60">
        <f>4019181.98</f>
        <v>4019181.98</v>
      </c>
      <c r="D25" s="61">
        <f>3000832.44</f>
        <v>3000832.44</v>
      </c>
      <c r="E25" s="61">
        <f>-9171369</f>
        <v>-9171369</v>
      </c>
      <c r="F25" s="62">
        <f>-5961672.64</f>
        <v>-5961672.6399999997</v>
      </c>
      <c r="G25" s="63">
        <f>-5056134</f>
        <v>-5056134</v>
      </c>
      <c r="H25" s="64">
        <f>5264612</f>
        <v>5264612</v>
      </c>
      <c r="I25" s="64">
        <f>4542000</f>
        <v>4542000</v>
      </c>
      <c r="J25" s="64">
        <f>4742000</f>
        <v>4742000</v>
      </c>
      <c r="K25" s="64">
        <f>4242000</f>
        <v>4242000</v>
      </c>
      <c r="L25" s="64">
        <f>4392000</f>
        <v>4392000</v>
      </c>
      <c r="M25" s="64">
        <f>4592000</f>
        <v>4592000</v>
      </c>
      <c r="N25" s="64">
        <f>4300000</f>
        <v>4300000</v>
      </c>
      <c r="O25" s="64">
        <f>4300000</f>
        <v>4300000</v>
      </c>
      <c r="P25" s="64">
        <f>4300000</f>
        <v>4300000</v>
      </c>
      <c r="Q25" s="64">
        <f>3600000</f>
        <v>3600000</v>
      </c>
      <c r="R25" s="64">
        <f>3000000</f>
        <v>3000000</v>
      </c>
      <c r="S25" s="64">
        <f>2900000</f>
        <v>2900000</v>
      </c>
    </row>
    <row r="26" spans="1:19" ht="18" customHeight="1">
      <c r="A26" s="59">
        <v>4</v>
      </c>
      <c r="B26" s="101" t="s">
        <v>161</v>
      </c>
      <c r="C26" s="60">
        <f>7676749.94</f>
        <v>7676749.9400000004</v>
      </c>
      <c r="D26" s="61">
        <f>10166608.92</f>
        <v>10166608.92</v>
      </c>
      <c r="E26" s="61">
        <f>15732304</f>
        <v>15732304</v>
      </c>
      <c r="F26" s="62">
        <f>17440165.36</f>
        <v>17440165.359999999</v>
      </c>
      <c r="G26" s="63">
        <f>10844404</f>
        <v>10844404</v>
      </c>
      <c r="H26" s="64">
        <f>0</f>
        <v>0</v>
      </c>
      <c r="I26" s="64">
        <f>0</f>
        <v>0</v>
      </c>
      <c r="J26" s="64">
        <f>0</f>
        <v>0</v>
      </c>
      <c r="K26" s="64">
        <f>0</f>
        <v>0</v>
      </c>
      <c r="L26" s="64">
        <f>0</f>
        <v>0</v>
      </c>
      <c r="M26" s="64">
        <f>0</f>
        <v>0</v>
      </c>
      <c r="N26" s="64">
        <f>0</f>
        <v>0</v>
      </c>
      <c r="O26" s="64">
        <f>0</f>
        <v>0</v>
      </c>
      <c r="P26" s="64">
        <f>0</f>
        <v>0</v>
      </c>
      <c r="Q26" s="64">
        <f>0</f>
        <v>0</v>
      </c>
      <c r="R26" s="64">
        <f>0</f>
        <v>0</v>
      </c>
      <c r="S26" s="64">
        <f>0</f>
        <v>0</v>
      </c>
    </row>
    <row r="27" spans="1:19" ht="18" customHeight="1">
      <c r="A27" s="65" t="s">
        <v>162</v>
      </c>
      <c r="B27" s="66" t="s">
        <v>163</v>
      </c>
      <c r="C27" s="67">
        <f>0</f>
        <v>0</v>
      </c>
      <c r="D27" s="68">
        <f>0</f>
        <v>0</v>
      </c>
      <c r="E27" s="68">
        <f>0</f>
        <v>0</v>
      </c>
      <c r="F27" s="69">
        <f>0</f>
        <v>0</v>
      </c>
      <c r="G27" s="70">
        <f>0</f>
        <v>0</v>
      </c>
      <c r="H27" s="71">
        <f>0</f>
        <v>0</v>
      </c>
      <c r="I27" s="71">
        <f>0</f>
        <v>0</v>
      </c>
      <c r="J27" s="71">
        <f>0</f>
        <v>0</v>
      </c>
      <c r="K27" s="71">
        <f>0</f>
        <v>0</v>
      </c>
      <c r="L27" s="71">
        <f>0</f>
        <v>0</v>
      </c>
      <c r="M27" s="71">
        <f>0</f>
        <v>0</v>
      </c>
      <c r="N27" s="71">
        <f>0</f>
        <v>0</v>
      </c>
      <c r="O27" s="71">
        <f>0</f>
        <v>0</v>
      </c>
      <c r="P27" s="71">
        <f>0</f>
        <v>0</v>
      </c>
      <c r="Q27" s="71">
        <f>0</f>
        <v>0</v>
      </c>
      <c r="R27" s="71">
        <f>0</f>
        <v>0</v>
      </c>
      <c r="S27" s="71">
        <f>0</f>
        <v>0</v>
      </c>
    </row>
    <row r="28" spans="1:19" ht="18" customHeight="1">
      <c r="A28" s="65" t="s">
        <v>164</v>
      </c>
      <c r="B28" s="72" t="s">
        <v>165</v>
      </c>
      <c r="C28" s="67">
        <f>0</f>
        <v>0</v>
      </c>
      <c r="D28" s="68">
        <f>0</f>
        <v>0</v>
      </c>
      <c r="E28" s="68">
        <f>0</f>
        <v>0</v>
      </c>
      <c r="F28" s="69">
        <f>0</f>
        <v>0</v>
      </c>
      <c r="G28" s="70">
        <f>0</f>
        <v>0</v>
      </c>
      <c r="H28" s="71">
        <f>0</f>
        <v>0</v>
      </c>
      <c r="I28" s="71">
        <f>0</f>
        <v>0</v>
      </c>
      <c r="J28" s="71">
        <f>0</f>
        <v>0</v>
      </c>
      <c r="K28" s="71">
        <f>0</f>
        <v>0</v>
      </c>
      <c r="L28" s="71">
        <f>0</f>
        <v>0</v>
      </c>
      <c r="M28" s="71">
        <f>0</f>
        <v>0</v>
      </c>
      <c r="N28" s="71">
        <f>0</f>
        <v>0</v>
      </c>
      <c r="O28" s="71">
        <f>0</f>
        <v>0</v>
      </c>
      <c r="P28" s="71">
        <f>0</f>
        <v>0</v>
      </c>
      <c r="Q28" s="71">
        <f>0</f>
        <v>0</v>
      </c>
      <c r="R28" s="71">
        <f>0</f>
        <v>0</v>
      </c>
      <c r="S28" s="71">
        <f>0</f>
        <v>0</v>
      </c>
    </row>
    <row r="29" spans="1:19" ht="24">
      <c r="A29" s="65" t="s">
        <v>166</v>
      </c>
      <c r="B29" s="66" t="s">
        <v>167</v>
      </c>
      <c r="C29" s="67">
        <f>3476749.94</f>
        <v>3476749.94</v>
      </c>
      <c r="D29" s="68">
        <f>4466608.92</f>
        <v>4466608.92</v>
      </c>
      <c r="E29" s="68">
        <f>4782304</f>
        <v>4782304</v>
      </c>
      <c r="F29" s="69">
        <f>6490165.36</f>
        <v>6490165.3600000003</v>
      </c>
      <c r="G29" s="70">
        <f>3044404</f>
        <v>3044404</v>
      </c>
      <c r="H29" s="71">
        <f>0</f>
        <v>0</v>
      </c>
      <c r="I29" s="71">
        <f>0</f>
        <v>0</v>
      </c>
      <c r="J29" s="71">
        <f>0</f>
        <v>0</v>
      </c>
      <c r="K29" s="71">
        <f>0</f>
        <v>0</v>
      </c>
      <c r="L29" s="71">
        <f>0</f>
        <v>0</v>
      </c>
      <c r="M29" s="71">
        <f>0</f>
        <v>0</v>
      </c>
      <c r="N29" s="71">
        <f>0</f>
        <v>0</v>
      </c>
      <c r="O29" s="71">
        <f>0</f>
        <v>0</v>
      </c>
      <c r="P29" s="71">
        <f>0</f>
        <v>0</v>
      </c>
      <c r="Q29" s="71">
        <f>0</f>
        <v>0</v>
      </c>
      <c r="R29" s="71">
        <f>0</f>
        <v>0</v>
      </c>
      <c r="S29" s="71">
        <f>0</f>
        <v>0</v>
      </c>
    </row>
    <row r="30" spans="1:19" ht="18" customHeight="1">
      <c r="A30" s="65" t="s">
        <v>168</v>
      </c>
      <c r="B30" s="72" t="s">
        <v>165</v>
      </c>
      <c r="C30" s="67">
        <f>0</f>
        <v>0</v>
      </c>
      <c r="D30" s="68">
        <f>0</f>
        <v>0</v>
      </c>
      <c r="E30" s="68">
        <f>0</f>
        <v>0</v>
      </c>
      <c r="F30" s="69">
        <f>0</f>
        <v>0</v>
      </c>
      <c r="G30" s="70">
        <f>0</f>
        <v>0</v>
      </c>
      <c r="H30" s="71">
        <f>0</f>
        <v>0</v>
      </c>
      <c r="I30" s="71">
        <f>0</f>
        <v>0</v>
      </c>
      <c r="J30" s="71">
        <f>0</f>
        <v>0</v>
      </c>
      <c r="K30" s="71">
        <f>0</f>
        <v>0</v>
      </c>
      <c r="L30" s="71">
        <f>0</f>
        <v>0</v>
      </c>
      <c r="M30" s="71">
        <f>0</f>
        <v>0</v>
      </c>
      <c r="N30" s="71">
        <f>0</f>
        <v>0</v>
      </c>
      <c r="O30" s="71">
        <f>0</f>
        <v>0</v>
      </c>
      <c r="P30" s="71">
        <f>0</f>
        <v>0</v>
      </c>
      <c r="Q30" s="71">
        <f>0</f>
        <v>0</v>
      </c>
      <c r="R30" s="71">
        <f>0</f>
        <v>0</v>
      </c>
      <c r="S30" s="71">
        <f>0</f>
        <v>0</v>
      </c>
    </row>
    <row r="31" spans="1:19" ht="33" customHeight="1">
      <c r="A31" s="65" t="s">
        <v>169</v>
      </c>
      <c r="B31" s="66" t="s">
        <v>170</v>
      </c>
      <c r="C31" s="67">
        <f>4200000</f>
        <v>4200000</v>
      </c>
      <c r="D31" s="68">
        <f>5700000</f>
        <v>5700000</v>
      </c>
      <c r="E31" s="68">
        <f>10950000</f>
        <v>10950000</v>
      </c>
      <c r="F31" s="69">
        <f>10950000</f>
        <v>10950000</v>
      </c>
      <c r="G31" s="70">
        <f>7800000</f>
        <v>7800000</v>
      </c>
      <c r="H31" s="71">
        <f>0</f>
        <v>0</v>
      </c>
      <c r="I31" s="71">
        <f>0</f>
        <v>0</v>
      </c>
      <c r="J31" s="71">
        <f>0</f>
        <v>0</v>
      </c>
      <c r="K31" s="71">
        <f>0</f>
        <v>0</v>
      </c>
      <c r="L31" s="71">
        <f>0</f>
        <v>0</v>
      </c>
      <c r="M31" s="71">
        <f>0</f>
        <v>0</v>
      </c>
      <c r="N31" s="71">
        <f>0</f>
        <v>0</v>
      </c>
      <c r="O31" s="71">
        <f>0</f>
        <v>0</v>
      </c>
      <c r="P31" s="71">
        <f>0</f>
        <v>0</v>
      </c>
      <c r="Q31" s="71">
        <f>0</f>
        <v>0</v>
      </c>
      <c r="R31" s="71">
        <f>0</f>
        <v>0</v>
      </c>
      <c r="S31" s="71">
        <f>0</f>
        <v>0</v>
      </c>
    </row>
    <row r="32" spans="1:19" ht="19.5" customHeight="1">
      <c r="A32" s="65" t="s">
        <v>171</v>
      </c>
      <c r="B32" s="72" t="s">
        <v>165</v>
      </c>
      <c r="C32" s="67">
        <f>0</f>
        <v>0</v>
      </c>
      <c r="D32" s="68">
        <f>0</f>
        <v>0</v>
      </c>
      <c r="E32" s="68">
        <f>9171369</f>
        <v>9171369</v>
      </c>
      <c r="F32" s="69">
        <f>5961692.85</f>
        <v>5961692.8499999996</v>
      </c>
      <c r="G32" s="70">
        <f>5056134</f>
        <v>5056134</v>
      </c>
      <c r="H32" s="71">
        <f>0</f>
        <v>0</v>
      </c>
      <c r="I32" s="71">
        <f>0</f>
        <v>0</v>
      </c>
      <c r="J32" s="71">
        <f>0</f>
        <v>0</v>
      </c>
      <c r="K32" s="71">
        <f>0</f>
        <v>0</v>
      </c>
      <c r="L32" s="71">
        <f>0</f>
        <v>0</v>
      </c>
      <c r="M32" s="71">
        <f>0</f>
        <v>0</v>
      </c>
      <c r="N32" s="71">
        <f>0</f>
        <v>0</v>
      </c>
      <c r="O32" s="71">
        <f>0</f>
        <v>0</v>
      </c>
      <c r="P32" s="71">
        <f>0</f>
        <v>0</v>
      </c>
      <c r="Q32" s="71">
        <f>0</f>
        <v>0</v>
      </c>
      <c r="R32" s="71">
        <f>0</f>
        <v>0</v>
      </c>
      <c r="S32" s="71">
        <f>0</f>
        <v>0</v>
      </c>
    </row>
    <row r="33" spans="1:19" ht="30" customHeight="1">
      <c r="A33" s="65" t="s">
        <v>172</v>
      </c>
      <c r="B33" s="66" t="s">
        <v>173</v>
      </c>
      <c r="C33" s="67">
        <f>0</f>
        <v>0</v>
      </c>
      <c r="D33" s="68">
        <f>0</f>
        <v>0</v>
      </c>
      <c r="E33" s="68">
        <f>0</f>
        <v>0</v>
      </c>
      <c r="F33" s="69">
        <f>0</f>
        <v>0</v>
      </c>
      <c r="G33" s="70">
        <f>0</f>
        <v>0</v>
      </c>
      <c r="H33" s="71">
        <f>0</f>
        <v>0</v>
      </c>
      <c r="I33" s="71">
        <f>0</f>
        <v>0</v>
      </c>
      <c r="J33" s="71">
        <f>0</f>
        <v>0</v>
      </c>
      <c r="K33" s="71">
        <f>0</f>
        <v>0</v>
      </c>
      <c r="L33" s="71">
        <f>0</f>
        <v>0</v>
      </c>
      <c r="M33" s="71">
        <f>0</f>
        <v>0</v>
      </c>
      <c r="N33" s="71">
        <f>0</f>
        <v>0</v>
      </c>
      <c r="O33" s="71">
        <f>0</f>
        <v>0</v>
      </c>
      <c r="P33" s="71">
        <f>0</f>
        <v>0</v>
      </c>
      <c r="Q33" s="71">
        <f>0</f>
        <v>0</v>
      </c>
      <c r="R33" s="71">
        <f>0</f>
        <v>0</v>
      </c>
      <c r="S33" s="71">
        <f>0</f>
        <v>0</v>
      </c>
    </row>
    <row r="34" spans="1:19" ht="18.75" customHeight="1">
      <c r="A34" s="65" t="s">
        <v>174</v>
      </c>
      <c r="B34" s="72" t="s">
        <v>165</v>
      </c>
      <c r="C34" s="67">
        <f>0</f>
        <v>0</v>
      </c>
      <c r="D34" s="68">
        <f>0</f>
        <v>0</v>
      </c>
      <c r="E34" s="68">
        <f>0</f>
        <v>0</v>
      </c>
      <c r="F34" s="69">
        <f>0</f>
        <v>0</v>
      </c>
      <c r="G34" s="70">
        <f>0</f>
        <v>0</v>
      </c>
      <c r="H34" s="71">
        <f>0</f>
        <v>0</v>
      </c>
      <c r="I34" s="71">
        <f>0</f>
        <v>0</v>
      </c>
      <c r="J34" s="71">
        <f>0</f>
        <v>0</v>
      </c>
      <c r="K34" s="71">
        <f>0</f>
        <v>0</v>
      </c>
      <c r="L34" s="71">
        <f>0</f>
        <v>0</v>
      </c>
      <c r="M34" s="71">
        <f>0</f>
        <v>0</v>
      </c>
      <c r="N34" s="71">
        <f>0</f>
        <v>0</v>
      </c>
      <c r="O34" s="71">
        <f>0</f>
        <v>0</v>
      </c>
      <c r="P34" s="71">
        <f>0</f>
        <v>0</v>
      </c>
      <c r="Q34" s="71">
        <f>0</f>
        <v>0</v>
      </c>
      <c r="R34" s="71">
        <f>0</f>
        <v>0</v>
      </c>
      <c r="S34" s="71">
        <f>0</f>
        <v>0</v>
      </c>
    </row>
    <row r="35" spans="1:19" ht="19.5" customHeight="1">
      <c r="A35" s="59">
        <v>5</v>
      </c>
      <c r="B35" s="101" t="s">
        <v>175</v>
      </c>
      <c r="C35" s="60">
        <f>7229323</f>
        <v>7229323</v>
      </c>
      <c r="D35" s="61">
        <f>8501375.48</f>
        <v>8501375.4800000004</v>
      </c>
      <c r="E35" s="61">
        <f>6560935</f>
        <v>6560935</v>
      </c>
      <c r="F35" s="62">
        <f>6560935</f>
        <v>6560935</v>
      </c>
      <c r="G35" s="63">
        <f>5788270</f>
        <v>5788270</v>
      </c>
      <c r="H35" s="64">
        <f>5264612</f>
        <v>5264612</v>
      </c>
      <c r="I35" s="64">
        <f>4542000</f>
        <v>4542000</v>
      </c>
      <c r="J35" s="64">
        <f>4742000</f>
        <v>4742000</v>
      </c>
      <c r="K35" s="64">
        <f>4242000</f>
        <v>4242000</v>
      </c>
      <c r="L35" s="64">
        <f>4392000</f>
        <v>4392000</v>
      </c>
      <c r="M35" s="64">
        <f>4592000</f>
        <v>4592000</v>
      </c>
      <c r="N35" s="64">
        <f t="shared" ref="N35:P36" si="2">4300000</f>
        <v>4300000</v>
      </c>
      <c r="O35" s="64">
        <f t="shared" si="2"/>
        <v>4300000</v>
      </c>
      <c r="P35" s="64">
        <f t="shared" si="2"/>
        <v>4300000</v>
      </c>
      <c r="Q35" s="64">
        <f>3600000</f>
        <v>3600000</v>
      </c>
      <c r="R35" s="64">
        <f>3000000</f>
        <v>3000000</v>
      </c>
      <c r="S35" s="64">
        <f>2900000</f>
        <v>2900000</v>
      </c>
    </row>
    <row r="36" spans="1:19" ht="32.25" customHeight="1">
      <c r="A36" s="65" t="s">
        <v>176</v>
      </c>
      <c r="B36" s="66" t="s">
        <v>177</v>
      </c>
      <c r="C36" s="67">
        <f>7229323</f>
        <v>7229323</v>
      </c>
      <c r="D36" s="68">
        <f>8501375.48</f>
        <v>8501375.4800000004</v>
      </c>
      <c r="E36" s="68">
        <f>6560935</f>
        <v>6560935</v>
      </c>
      <c r="F36" s="69">
        <f>6560935</f>
        <v>6560935</v>
      </c>
      <c r="G36" s="70">
        <f>5788270</f>
        <v>5788270</v>
      </c>
      <c r="H36" s="71">
        <f>5264612</f>
        <v>5264612</v>
      </c>
      <c r="I36" s="71">
        <f>4542000</f>
        <v>4542000</v>
      </c>
      <c r="J36" s="71">
        <f>4742000</f>
        <v>4742000</v>
      </c>
      <c r="K36" s="71">
        <f>4242000</f>
        <v>4242000</v>
      </c>
      <c r="L36" s="71">
        <f>4392000</f>
        <v>4392000</v>
      </c>
      <c r="M36" s="71">
        <f>4592000</f>
        <v>4592000</v>
      </c>
      <c r="N36" s="71">
        <f t="shared" si="2"/>
        <v>4300000</v>
      </c>
      <c r="O36" s="71">
        <f t="shared" si="2"/>
        <v>4300000</v>
      </c>
      <c r="P36" s="71">
        <f t="shared" si="2"/>
        <v>4300000</v>
      </c>
      <c r="Q36" s="71">
        <f>3600000</f>
        <v>3600000</v>
      </c>
      <c r="R36" s="71">
        <f>3000000</f>
        <v>3000000</v>
      </c>
      <c r="S36" s="71">
        <f>2900000</f>
        <v>2900000</v>
      </c>
    </row>
    <row r="37" spans="1:19" ht="57.75" customHeight="1">
      <c r="A37" s="65" t="s">
        <v>178</v>
      </c>
      <c r="B37" s="72" t="s">
        <v>179</v>
      </c>
      <c r="C37" s="67">
        <f>2000000</f>
        <v>2000000</v>
      </c>
      <c r="D37" s="68">
        <f>2000000</f>
        <v>2000000</v>
      </c>
      <c r="E37" s="68">
        <f>2000000</f>
        <v>2000000</v>
      </c>
      <c r="F37" s="69">
        <f>2000006</f>
        <v>2000006</v>
      </c>
      <c r="G37" s="70">
        <f>0</f>
        <v>0</v>
      </c>
      <c r="H37" s="71">
        <f>0</f>
        <v>0</v>
      </c>
      <c r="I37" s="71">
        <f>0</f>
        <v>0</v>
      </c>
      <c r="J37" s="71">
        <f>0</f>
        <v>0</v>
      </c>
      <c r="K37" s="71">
        <f>0</f>
        <v>0</v>
      </c>
      <c r="L37" s="71">
        <f>0</f>
        <v>0</v>
      </c>
      <c r="M37" s="71">
        <f>0</f>
        <v>0</v>
      </c>
      <c r="N37" s="71">
        <f>0</f>
        <v>0</v>
      </c>
      <c r="O37" s="71">
        <f>0</f>
        <v>0</v>
      </c>
      <c r="P37" s="71">
        <f>0</f>
        <v>0</v>
      </c>
      <c r="Q37" s="71">
        <f>0</f>
        <v>0</v>
      </c>
      <c r="R37" s="71">
        <f>0</f>
        <v>0</v>
      </c>
      <c r="S37" s="71">
        <f>0</f>
        <v>0</v>
      </c>
    </row>
    <row r="38" spans="1:19" ht="45.75" customHeight="1">
      <c r="A38" s="65" t="s">
        <v>180</v>
      </c>
      <c r="B38" s="73" t="s">
        <v>181</v>
      </c>
      <c r="C38" s="67">
        <f>0</f>
        <v>0</v>
      </c>
      <c r="D38" s="68">
        <f>0</f>
        <v>0</v>
      </c>
      <c r="E38" s="68">
        <f>0</f>
        <v>0</v>
      </c>
      <c r="F38" s="69">
        <f>0</f>
        <v>0</v>
      </c>
      <c r="G38" s="70">
        <f>0</f>
        <v>0</v>
      </c>
      <c r="H38" s="71">
        <f>0</f>
        <v>0</v>
      </c>
      <c r="I38" s="71">
        <f>0</f>
        <v>0</v>
      </c>
      <c r="J38" s="71">
        <f>0</f>
        <v>0</v>
      </c>
      <c r="K38" s="71">
        <f>0</f>
        <v>0</v>
      </c>
      <c r="L38" s="71">
        <f>0</f>
        <v>0</v>
      </c>
      <c r="M38" s="71">
        <f>0</f>
        <v>0</v>
      </c>
      <c r="N38" s="71">
        <f>0</f>
        <v>0</v>
      </c>
      <c r="O38" s="71">
        <f>0</f>
        <v>0</v>
      </c>
      <c r="P38" s="71">
        <f>0</f>
        <v>0</v>
      </c>
      <c r="Q38" s="71">
        <f>0</f>
        <v>0</v>
      </c>
      <c r="R38" s="71">
        <f>0</f>
        <v>0</v>
      </c>
      <c r="S38" s="71">
        <f>0</f>
        <v>0</v>
      </c>
    </row>
    <row r="39" spans="1:19" ht="42.75" customHeight="1">
      <c r="A39" s="65" t="s">
        <v>182</v>
      </c>
      <c r="B39" s="73" t="s">
        <v>183</v>
      </c>
      <c r="C39" s="67">
        <f>0</f>
        <v>0</v>
      </c>
      <c r="D39" s="68">
        <f>0</f>
        <v>0</v>
      </c>
      <c r="E39" s="68">
        <f>0</f>
        <v>0</v>
      </c>
      <c r="F39" s="69">
        <f>0</f>
        <v>0</v>
      </c>
      <c r="G39" s="70">
        <f>0</f>
        <v>0</v>
      </c>
      <c r="H39" s="71">
        <f>0</f>
        <v>0</v>
      </c>
      <c r="I39" s="71">
        <f>0</f>
        <v>0</v>
      </c>
      <c r="J39" s="71">
        <f>0</f>
        <v>0</v>
      </c>
      <c r="K39" s="71">
        <f>0</f>
        <v>0</v>
      </c>
      <c r="L39" s="71">
        <f>0</f>
        <v>0</v>
      </c>
      <c r="M39" s="71">
        <f>0</f>
        <v>0</v>
      </c>
      <c r="N39" s="71">
        <f>0</f>
        <v>0</v>
      </c>
      <c r="O39" s="71">
        <f>0</f>
        <v>0</v>
      </c>
      <c r="P39" s="71">
        <f>0</f>
        <v>0</v>
      </c>
      <c r="Q39" s="71">
        <f>0</f>
        <v>0</v>
      </c>
      <c r="R39" s="71">
        <f>0</f>
        <v>0</v>
      </c>
      <c r="S39" s="71">
        <f>0</f>
        <v>0</v>
      </c>
    </row>
    <row r="40" spans="1:19" ht="45.75" customHeight="1">
      <c r="A40" s="65" t="s">
        <v>184</v>
      </c>
      <c r="B40" s="73" t="s">
        <v>185</v>
      </c>
      <c r="C40" s="67">
        <f>2000000</f>
        <v>2000000</v>
      </c>
      <c r="D40" s="68">
        <f>2000000</f>
        <v>2000000</v>
      </c>
      <c r="E40" s="68">
        <f>2000000</f>
        <v>2000000</v>
      </c>
      <c r="F40" s="69">
        <f>2000006</f>
        <v>2000006</v>
      </c>
      <c r="G40" s="70">
        <f>0</f>
        <v>0</v>
      </c>
      <c r="H40" s="71">
        <f>0</f>
        <v>0</v>
      </c>
      <c r="I40" s="71">
        <f>0</f>
        <v>0</v>
      </c>
      <c r="J40" s="71">
        <f>0</f>
        <v>0</v>
      </c>
      <c r="K40" s="71">
        <f>0</f>
        <v>0</v>
      </c>
      <c r="L40" s="71">
        <f>0</f>
        <v>0</v>
      </c>
      <c r="M40" s="71">
        <f>0</f>
        <v>0</v>
      </c>
      <c r="N40" s="71">
        <f>0</f>
        <v>0</v>
      </c>
      <c r="O40" s="71">
        <f>0</f>
        <v>0</v>
      </c>
      <c r="P40" s="71">
        <f>0</f>
        <v>0</v>
      </c>
      <c r="Q40" s="71">
        <f>0</f>
        <v>0</v>
      </c>
      <c r="R40" s="71">
        <f>0</f>
        <v>0</v>
      </c>
      <c r="S40" s="71">
        <f>0</f>
        <v>0</v>
      </c>
    </row>
    <row r="41" spans="1:19" ht="18" customHeight="1">
      <c r="A41" s="65" t="s">
        <v>186</v>
      </c>
      <c r="B41" s="66" t="s">
        <v>187</v>
      </c>
      <c r="C41" s="67">
        <f>0</f>
        <v>0</v>
      </c>
      <c r="D41" s="68">
        <f>0</f>
        <v>0</v>
      </c>
      <c r="E41" s="68">
        <f>0</f>
        <v>0</v>
      </c>
      <c r="F41" s="69">
        <f>0</f>
        <v>0</v>
      </c>
      <c r="G41" s="70">
        <f>0</f>
        <v>0</v>
      </c>
      <c r="H41" s="71">
        <f>0</f>
        <v>0</v>
      </c>
      <c r="I41" s="71">
        <f>0</f>
        <v>0</v>
      </c>
      <c r="J41" s="71">
        <f>0</f>
        <v>0</v>
      </c>
      <c r="K41" s="71">
        <f>0</f>
        <v>0</v>
      </c>
      <c r="L41" s="71">
        <f>0</f>
        <v>0</v>
      </c>
      <c r="M41" s="71">
        <f>0</f>
        <v>0</v>
      </c>
      <c r="N41" s="71">
        <f>0</f>
        <v>0</v>
      </c>
      <c r="O41" s="71">
        <f>0</f>
        <v>0</v>
      </c>
      <c r="P41" s="71">
        <f>0</f>
        <v>0</v>
      </c>
      <c r="Q41" s="71">
        <f>0</f>
        <v>0</v>
      </c>
      <c r="R41" s="71">
        <f>0</f>
        <v>0</v>
      </c>
      <c r="S41" s="71">
        <f>0</f>
        <v>0</v>
      </c>
    </row>
    <row r="42" spans="1:19" ht="18" customHeight="1">
      <c r="A42" s="59">
        <v>6</v>
      </c>
      <c r="B42" s="101" t="s">
        <v>188</v>
      </c>
      <c r="C42" s="60">
        <f>48024902.57</f>
        <v>48024902.57</v>
      </c>
      <c r="D42" s="61">
        <f>46392864.69</f>
        <v>46392864.689999998</v>
      </c>
      <c r="E42" s="61">
        <f>50127168</f>
        <v>50127168</v>
      </c>
      <c r="F42" s="62">
        <f>50127167.81</f>
        <v>50127167.810000002</v>
      </c>
      <c r="G42" s="63">
        <f>51484136</f>
        <v>51484136</v>
      </c>
      <c r="H42" s="64">
        <f>45564762</f>
        <v>45564762</v>
      </c>
      <c r="I42" s="64">
        <f>40368000</f>
        <v>40368000</v>
      </c>
      <c r="J42" s="64">
        <f>35626000</f>
        <v>35626000</v>
      </c>
      <c r="K42" s="64">
        <f>31384000</f>
        <v>31384000</v>
      </c>
      <c r="L42" s="64">
        <f>26992000</f>
        <v>26992000</v>
      </c>
      <c r="M42" s="64">
        <f>22400000</f>
        <v>22400000</v>
      </c>
      <c r="N42" s="64">
        <f>18100000</f>
        <v>18100000</v>
      </c>
      <c r="O42" s="64">
        <f>13800000</f>
        <v>13800000</v>
      </c>
      <c r="P42" s="64">
        <f>9500000</f>
        <v>9500000</v>
      </c>
      <c r="Q42" s="64">
        <f>5900000</f>
        <v>5900000</v>
      </c>
      <c r="R42" s="64">
        <f>2900000</f>
        <v>2900000</v>
      </c>
      <c r="S42" s="64">
        <f>0</f>
        <v>0</v>
      </c>
    </row>
    <row r="43" spans="1:19" ht="71.25" customHeight="1">
      <c r="A43" s="59">
        <v>7</v>
      </c>
      <c r="B43" s="101" t="s">
        <v>189</v>
      </c>
      <c r="C43" s="60">
        <f>3273809.57</f>
        <v>3273809.57</v>
      </c>
      <c r="D43" s="61">
        <f>2619047.69</f>
        <v>2619047.69</v>
      </c>
      <c r="E43" s="61">
        <f>1964286</f>
        <v>1964286</v>
      </c>
      <c r="F43" s="62">
        <f>1964285.81</f>
        <v>1964285.81</v>
      </c>
      <c r="G43" s="63">
        <f>1309524</f>
        <v>1309524</v>
      </c>
      <c r="H43" s="64">
        <f>654762</f>
        <v>654762</v>
      </c>
      <c r="I43" s="64">
        <f>0</f>
        <v>0</v>
      </c>
      <c r="J43" s="64">
        <f>0</f>
        <v>0</v>
      </c>
      <c r="K43" s="64">
        <f>0</f>
        <v>0</v>
      </c>
      <c r="L43" s="64">
        <f>0</f>
        <v>0</v>
      </c>
      <c r="M43" s="64">
        <f>0</f>
        <v>0</v>
      </c>
      <c r="N43" s="64">
        <f>0</f>
        <v>0</v>
      </c>
      <c r="O43" s="64">
        <f>0</f>
        <v>0</v>
      </c>
      <c r="P43" s="64">
        <f>0</f>
        <v>0</v>
      </c>
      <c r="Q43" s="64">
        <f>0</f>
        <v>0</v>
      </c>
      <c r="R43" s="64">
        <f>0</f>
        <v>0</v>
      </c>
      <c r="S43" s="64">
        <f>0</f>
        <v>0</v>
      </c>
    </row>
    <row r="44" spans="1:19" ht="32.25" customHeight="1">
      <c r="A44" s="59">
        <v>8</v>
      </c>
      <c r="B44" s="101" t="s">
        <v>190</v>
      </c>
      <c r="C44" s="75" t="s">
        <v>191</v>
      </c>
      <c r="D44" s="76" t="s">
        <v>191</v>
      </c>
      <c r="E44" s="76" t="s">
        <v>191</v>
      </c>
      <c r="F44" s="77" t="s">
        <v>191</v>
      </c>
      <c r="G44" s="78" t="s">
        <v>191</v>
      </c>
      <c r="H44" s="79" t="s">
        <v>191</v>
      </c>
      <c r="I44" s="79" t="s">
        <v>191</v>
      </c>
      <c r="J44" s="79" t="s">
        <v>191</v>
      </c>
      <c r="K44" s="79" t="s">
        <v>191</v>
      </c>
      <c r="L44" s="79" t="s">
        <v>191</v>
      </c>
      <c r="M44" s="79" t="s">
        <v>191</v>
      </c>
      <c r="N44" s="79" t="s">
        <v>191</v>
      </c>
      <c r="O44" s="79" t="s">
        <v>191</v>
      </c>
      <c r="P44" s="79" t="s">
        <v>191</v>
      </c>
      <c r="Q44" s="79" t="s">
        <v>191</v>
      </c>
      <c r="R44" s="79" t="s">
        <v>191</v>
      </c>
      <c r="S44" s="79" t="s">
        <v>191</v>
      </c>
    </row>
    <row r="45" spans="1:19" ht="36" customHeight="1">
      <c r="A45" s="65" t="s">
        <v>192</v>
      </c>
      <c r="B45" s="66" t="s">
        <v>193</v>
      </c>
      <c r="C45" s="67">
        <f>6008937.14</f>
        <v>6008937.1399999997</v>
      </c>
      <c r="D45" s="68">
        <f>11835222.31</f>
        <v>11835222.310000001</v>
      </c>
      <c r="E45" s="68">
        <f>5784662</f>
        <v>5784662</v>
      </c>
      <c r="F45" s="69">
        <f>12233922.28</f>
        <v>12233922.279999999</v>
      </c>
      <c r="G45" s="70">
        <f>5639664</f>
        <v>5639664</v>
      </c>
      <c r="H45" s="71">
        <f>10298297</f>
        <v>10298297</v>
      </c>
      <c r="I45" s="71">
        <f>12400161</f>
        <v>12400161</v>
      </c>
      <c r="J45" s="71">
        <f>14182853</f>
        <v>14182853</v>
      </c>
      <c r="K45" s="71">
        <f>15451963</f>
        <v>15451963</v>
      </c>
      <c r="L45" s="71">
        <f>16624004</f>
        <v>16624004</v>
      </c>
      <c r="M45" s="71">
        <f>17848918</f>
        <v>17848918</v>
      </c>
      <c r="N45" s="71">
        <f>18962016</f>
        <v>18962016</v>
      </c>
      <c r="O45" s="71">
        <f>19950727</f>
        <v>19950727</v>
      </c>
      <c r="P45" s="71">
        <f>20978566</f>
        <v>20978566</v>
      </c>
      <c r="Q45" s="71">
        <f>21865620</f>
        <v>21865620</v>
      </c>
      <c r="R45" s="71">
        <f>22784641</f>
        <v>22784641</v>
      </c>
      <c r="S45" s="71">
        <f>23545474</f>
        <v>23545474</v>
      </c>
    </row>
    <row r="46" spans="1:19" ht="45" customHeight="1">
      <c r="A46" s="65" t="s">
        <v>194</v>
      </c>
      <c r="B46" s="66" t="s">
        <v>195</v>
      </c>
      <c r="C46" s="67">
        <f>9485687.08</f>
        <v>9485687.0800000001</v>
      </c>
      <c r="D46" s="68">
        <f>16301831.23</f>
        <v>16301831.23</v>
      </c>
      <c r="E46" s="68">
        <f>10566966</f>
        <v>10566966</v>
      </c>
      <c r="F46" s="69">
        <f>18724087.64</f>
        <v>18724087.640000001</v>
      </c>
      <c r="G46" s="70">
        <f>8684068</f>
        <v>8684068</v>
      </c>
      <c r="H46" s="71">
        <f>10298297</f>
        <v>10298297</v>
      </c>
      <c r="I46" s="71">
        <f>12400161</f>
        <v>12400161</v>
      </c>
      <c r="J46" s="71">
        <f>14182853</f>
        <v>14182853</v>
      </c>
      <c r="K46" s="71">
        <f>15451963</f>
        <v>15451963</v>
      </c>
      <c r="L46" s="71">
        <f>16624004</f>
        <v>16624004</v>
      </c>
      <c r="M46" s="71">
        <f>17848918</f>
        <v>17848918</v>
      </c>
      <c r="N46" s="71">
        <f>18962016</f>
        <v>18962016</v>
      </c>
      <c r="O46" s="71">
        <f>19950727</f>
        <v>19950727</v>
      </c>
      <c r="P46" s="71">
        <f>20978566</f>
        <v>20978566</v>
      </c>
      <c r="Q46" s="71">
        <f>21865620</f>
        <v>21865620</v>
      </c>
      <c r="R46" s="71">
        <f>22784641</f>
        <v>22784641</v>
      </c>
      <c r="S46" s="71">
        <f>23545474</f>
        <v>23545474</v>
      </c>
    </row>
    <row r="47" spans="1:19" ht="18" customHeight="1">
      <c r="A47" s="59">
        <v>9</v>
      </c>
      <c r="B47" s="101" t="s">
        <v>196</v>
      </c>
      <c r="C47" s="75" t="s">
        <v>191</v>
      </c>
      <c r="D47" s="76" t="s">
        <v>191</v>
      </c>
      <c r="E47" s="76" t="s">
        <v>191</v>
      </c>
      <c r="F47" s="77" t="s">
        <v>191</v>
      </c>
      <c r="G47" s="78" t="s">
        <v>191</v>
      </c>
      <c r="H47" s="79" t="s">
        <v>191</v>
      </c>
      <c r="I47" s="79" t="s">
        <v>191</v>
      </c>
      <c r="J47" s="79" t="s">
        <v>191</v>
      </c>
      <c r="K47" s="79" t="s">
        <v>191</v>
      </c>
      <c r="L47" s="79" t="s">
        <v>191</v>
      </c>
      <c r="M47" s="79" t="s">
        <v>191</v>
      </c>
      <c r="N47" s="79" t="s">
        <v>191</v>
      </c>
      <c r="O47" s="79" t="s">
        <v>191</v>
      </c>
      <c r="P47" s="79" t="s">
        <v>191</v>
      </c>
      <c r="Q47" s="79" t="s">
        <v>191</v>
      </c>
      <c r="R47" s="79" t="s">
        <v>191</v>
      </c>
      <c r="S47" s="79" t="s">
        <v>191</v>
      </c>
    </row>
    <row r="48" spans="1:19" ht="93.75" customHeight="1">
      <c r="A48" s="65" t="s">
        <v>197</v>
      </c>
      <c r="B48" s="66" t="s">
        <v>198</v>
      </c>
      <c r="C48" s="80">
        <f>0.0715</f>
        <v>7.1499999999999994E-2</v>
      </c>
      <c r="D48" s="81">
        <f>0.074</f>
        <v>7.3999999999999996E-2</v>
      </c>
      <c r="E48" s="81">
        <f>0.0568</f>
        <v>5.6800000000000003E-2</v>
      </c>
      <c r="F48" s="82">
        <f>0.0558</f>
        <v>5.5800000000000002E-2</v>
      </c>
      <c r="G48" s="83">
        <f>0.0685</f>
        <v>6.8500000000000005E-2</v>
      </c>
      <c r="H48" s="84">
        <f>0.0644</f>
        <v>6.4399999999999999E-2</v>
      </c>
      <c r="I48" s="84">
        <f>0.0568</f>
        <v>5.6800000000000003E-2</v>
      </c>
      <c r="J48" s="84">
        <f>0.0548</f>
        <v>5.4800000000000001E-2</v>
      </c>
      <c r="K48" s="84">
        <f>0.0491</f>
        <v>4.9099999999999998E-2</v>
      </c>
      <c r="L48" s="84">
        <f>0.032</f>
        <v>3.2000000000000001E-2</v>
      </c>
      <c r="M48" s="84">
        <f>0.0317</f>
        <v>3.1699999999999999E-2</v>
      </c>
      <c r="N48" s="84">
        <f>0.0285</f>
        <v>2.8500000000000001E-2</v>
      </c>
      <c r="O48" s="84">
        <f>0.0269</f>
        <v>2.69E-2</v>
      </c>
      <c r="P48" s="84">
        <f>0.0256</f>
        <v>2.5600000000000001E-2</v>
      </c>
      <c r="Q48" s="84">
        <f>0.0206</f>
        <v>2.06E-2</v>
      </c>
      <c r="R48" s="84">
        <f>0.0164</f>
        <v>1.6400000000000001E-2</v>
      </c>
      <c r="S48" s="84">
        <f>0.015</f>
        <v>1.4999999999999999E-2</v>
      </c>
    </row>
    <row r="49" spans="1:19" ht="94.5" customHeight="1">
      <c r="A49" s="65" t="s">
        <v>199</v>
      </c>
      <c r="B49" s="66" t="s">
        <v>200</v>
      </c>
      <c r="C49" s="80">
        <f>0.0547</f>
        <v>5.4699999999999999E-2</v>
      </c>
      <c r="D49" s="81">
        <f>0.0593</f>
        <v>5.9299999999999999E-2</v>
      </c>
      <c r="E49" s="81">
        <f>0.0432</f>
        <v>4.3200000000000002E-2</v>
      </c>
      <c r="F49" s="82">
        <f>0.0421</f>
        <v>4.2099999999999999E-2</v>
      </c>
      <c r="G49" s="83">
        <f>0.0685</f>
        <v>6.8500000000000005E-2</v>
      </c>
      <c r="H49" s="84">
        <f>0.0644</f>
        <v>6.4399999999999999E-2</v>
      </c>
      <c r="I49" s="84">
        <f>0.0568</f>
        <v>5.6800000000000003E-2</v>
      </c>
      <c r="J49" s="84">
        <f>0.0548</f>
        <v>5.4800000000000001E-2</v>
      </c>
      <c r="K49" s="84">
        <f>0.0491</f>
        <v>4.9099999999999998E-2</v>
      </c>
      <c r="L49" s="84">
        <f>0.032</f>
        <v>3.2000000000000001E-2</v>
      </c>
      <c r="M49" s="84">
        <f>0.0317</f>
        <v>3.1699999999999999E-2</v>
      </c>
      <c r="N49" s="84">
        <f>0.0285</f>
        <v>2.8500000000000001E-2</v>
      </c>
      <c r="O49" s="84">
        <f>0.0269</f>
        <v>2.69E-2</v>
      </c>
      <c r="P49" s="84">
        <f>0.0256</f>
        <v>2.5600000000000001E-2</v>
      </c>
      <c r="Q49" s="84">
        <f>0.0206</f>
        <v>2.06E-2</v>
      </c>
      <c r="R49" s="84">
        <f>0.0164</f>
        <v>1.6400000000000001E-2</v>
      </c>
      <c r="S49" s="84">
        <f>0.015</f>
        <v>1.4999999999999999E-2</v>
      </c>
    </row>
    <row r="50" spans="1:19" ht="71.25" customHeight="1">
      <c r="A50" s="65" t="s">
        <v>201</v>
      </c>
      <c r="B50" s="66" t="s">
        <v>202</v>
      </c>
      <c r="C50" s="67">
        <f>0</f>
        <v>0</v>
      </c>
      <c r="D50" s="68">
        <f>0</f>
        <v>0</v>
      </c>
      <c r="E50" s="68">
        <f>0</f>
        <v>0</v>
      </c>
      <c r="F50" s="69">
        <f>0</f>
        <v>0</v>
      </c>
      <c r="G50" s="70">
        <f>0</f>
        <v>0</v>
      </c>
      <c r="H50" s="71">
        <f>0</f>
        <v>0</v>
      </c>
      <c r="I50" s="71">
        <f>0</f>
        <v>0</v>
      </c>
      <c r="J50" s="71">
        <f>0</f>
        <v>0</v>
      </c>
      <c r="K50" s="71">
        <f>0</f>
        <v>0</v>
      </c>
      <c r="L50" s="71">
        <f>0</f>
        <v>0</v>
      </c>
      <c r="M50" s="71">
        <f>0</f>
        <v>0</v>
      </c>
      <c r="N50" s="71">
        <f>0</f>
        <v>0</v>
      </c>
      <c r="O50" s="71">
        <f>0</f>
        <v>0</v>
      </c>
      <c r="P50" s="71">
        <f>0</f>
        <v>0</v>
      </c>
      <c r="Q50" s="71">
        <f>0</f>
        <v>0</v>
      </c>
      <c r="R50" s="71">
        <f>0</f>
        <v>0</v>
      </c>
      <c r="S50" s="71">
        <f>0</f>
        <v>0</v>
      </c>
    </row>
    <row r="51" spans="1:19" ht="98.25" customHeight="1">
      <c r="A51" s="65" t="s">
        <v>203</v>
      </c>
      <c r="B51" s="66" t="s">
        <v>204</v>
      </c>
      <c r="C51" s="80">
        <f>0.0547</f>
        <v>5.4699999999999999E-2</v>
      </c>
      <c r="D51" s="81">
        <f>0.0593</f>
        <v>5.9299999999999999E-2</v>
      </c>
      <c r="E51" s="81">
        <f>0.0432</f>
        <v>4.3200000000000002E-2</v>
      </c>
      <c r="F51" s="82">
        <f>0.0421</f>
        <v>4.2099999999999999E-2</v>
      </c>
      <c r="G51" s="83">
        <f>0.0685</f>
        <v>6.8500000000000005E-2</v>
      </c>
      <c r="H51" s="84">
        <f>0.0644</f>
        <v>6.4399999999999999E-2</v>
      </c>
      <c r="I51" s="84">
        <f>0.0568</f>
        <v>5.6800000000000003E-2</v>
      </c>
      <c r="J51" s="84">
        <f>0.0548</f>
        <v>5.4800000000000001E-2</v>
      </c>
      <c r="K51" s="84">
        <f>0.0491</f>
        <v>4.9099999999999998E-2</v>
      </c>
      <c r="L51" s="84">
        <f>0.032</f>
        <v>3.2000000000000001E-2</v>
      </c>
      <c r="M51" s="84">
        <f>0.0317</f>
        <v>3.1699999999999999E-2</v>
      </c>
      <c r="N51" s="84">
        <f>0.0285</f>
        <v>2.8500000000000001E-2</v>
      </c>
      <c r="O51" s="84">
        <f>0.0269</f>
        <v>2.69E-2</v>
      </c>
      <c r="P51" s="84">
        <f>0.0256</f>
        <v>2.5600000000000001E-2</v>
      </c>
      <c r="Q51" s="84">
        <f>0.0206</f>
        <v>2.06E-2</v>
      </c>
      <c r="R51" s="84">
        <f>0.0164</f>
        <v>1.6400000000000001E-2</v>
      </c>
      <c r="S51" s="84">
        <f>0.015</f>
        <v>1.4999999999999999E-2</v>
      </c>
    </row>
    <row r="52" spans="1:19" ht="69.75" customHeight="1">
      <c r="A52" s="85" t="s">
        <v>205</v>
      </c>
      <c r="B52" s="86" t="s">
        <v>206</v>
      </c>
      <c r="C52" s="80">
        <f>0.0912</f>
        <v>9.1200000000000003E-2</v>
      </c>
      <c r="D52" s="81">
        <f>0.123</f>
        <v>0.123</v>
      </c>
      <c r="E52" s="81">
        <f>0.0726</f>
        <v>7.2599999999999998E-2</v>
      </c>
      <c r="F52" s="82">
        <f>0.0906</f>
        <v>9.06E-2</v>
      </c>
      <c r="G52" s="83">
        <f>0.0821</f>
        <v>8.2100000000000006E-2</v>
      </c>
      <c r="H52" s="84">
        <f>0.0894</f>
        <v>8.9399999999999993E-2</v>
      </c>
      <c r="I52" s="84">
        <f>0.089</f>
        <v>8.8999999999999996E-2</v>
      </c>
      <c r="J52" s="84">
        <f>0.0945</f>
        <v>9.4500000000000001E-2</v>
      </c>
      <c r="K52" s="84">
        <f>0.0987</f>
        <v>9.8699999999999996E-2</v>
      </c>
      <c r="L52" s="84">
        <f>0.1027</f>
        <v>0.1027</v>
      </c>
      <c r="M52" s="84">
        <f>0.1071</f>
        <v>0.1071</v>
      </c>
      <c r="N52" s="84">
        <f>0.1116</f>
        <v>0.1116</v>
      </c>
      <c r="O52" s="84">
        <f>0.1132</f>
        <v>0.1132</v>
      </c>
      <c r="P52" s="84">
        <f>0.1158</f>
        <v>0.1158</v>
      </c>
      <c r="Q52" s="84">
        <f>0.1175</f>
        <v>0.11749999999999999</v>
      </c>
      <c r="R52" s="84">
        <f>0.1192</f>
        <v>0.1192</v>
      </c>
      <c r="S52" s="84">
        <f>0.1201</f>
        <v>0.1201</v>
      </c>
    </row>
    <row r="53" spans="1:19" ht="82.5" customHeight="1">
      <c r="A53" s="65" t="s">
        <v>207</v>
      </c>
      <c r="B53" s="66" t="s">
        <v>208</v>
      </c>
      <c r="C53" s="75" t="s">
        <v>191</v>
      </c>
      <c r="D53" s="76" t="s">
        <v>191</v>
      </c>
      <c r="E53" s="76" t="s">
        <v>191</v>
      </c>
      <c r="F53" s="77" t="s">
        <v>191</v>
      </c>
      <c r="G53" s="83">
        <f>0.0956</f>
        <v>9.5600000000000004E-2</v>
      </c>
      <c r="H53" s="84">
        <f>0.0926</f>
        <v>9.2600000000000002E-2</v>
      </c>
      <c r="I53" s="84">
        <f>0.0814</f>
        <v>8.14E-2</v>
      </c>
      <c r="J53" s="84">
        <f>0.0868</f>
        <v>8.6800000000000002E-2</v>
      </c>
      <c r="K53" s="84">
        <f>0.091</f>
        <v>9.0999999999999998E-2</v>
      </c>
      <c r="L53" s="84">
        <f>0.0941</f>
        <v>9.4100000000000003E-2</v>
      </c>
      <c r="M53" s="84">
        <f>0.0986</f>
        <v>9.8599999999999993E-2</v>
      </c>
      <c r="N53" s="84">
        <f>0.1028</f>
        <v>0.1028</v>
      </c>
      <c r="O53" s="84">
        <f>0.1071</f>
        <v>0.1071</v>
      </c>
      <c r="P53" s="84">
        <f>0.1106</f>
        <v>0.1106</v>
      </c>
      <c r="Q53" s="84">
        <f>0.1135</f>
        <v>0.1135</v>
      </c>
      <c r="R53" s="84">
        <f>0.1155</f>
        <v>0.11550000000000001</v>
      </c>
      <c r="S53" s="84">
        <f>0.1175</f>
        <v>0.11749999999999999</v>
      </c>
    </row>
    <row r="54" spans="1:19" ht="84">
      <c r="A54" s="65" t="s">
        <v>209</v>
      </c>
      <c r="B54" s="72" t="s">
        <v>210</v>
      </c>
      <c r="C54" s="75" t="s">
        <v>191</v>
      </c>
      <c r="D54" s="76" t="s">
        <v>191</v>
      </c>
      <c r="E54" s="76" t="s">
        <v>191</v>
      </c>
      <c r="F54" s="77" t="s">
        <v>191</v>
      </c>
      <c r="G54" s="83">
        <f>0.1016</f>
        <v>0.1016</v>
      </c>
      <c r="H54" s="84">
        <f>0.0986</f>
        <v>9.8599999999999993E-2</v>
      </c>
      <c r="I54" s="84">
        <f>0.0874</f>
        <v>8.7400000000000005E-2</v>
      </c>
      <c r="J54" s="84">
        <f>0.0868</f>
        <v>8.6800000000000002E-2</v>
      </c>
      <c r="K54" s="84">
        <f>0.091</f>
        <v>9.0999999999999998E-2</v>
      </c>
      <c r="L54" s="84">
        <f>0.0941</f>
        <v>9.4100000000000003E-2</v>
      </c>
      <c r="M54" s="84">
        <f>0.0986</f>
        <v>9.8599999999999993E-2</v>
      </c>
      <c r="N54" s="84">
        <f>0.1028</f>
        <v>0.1028</v>
      </c>
      <c r="O54" s="84">
        <f>0.1071</f>
        <v>0.1071</v>
      </c>
      <c r="P54" s="84">
        <f>0.1106</f>
        <v>0.1106</v>
      </c>
      <c r="Q54" s="84">
        <f>0.1135</f>
        <v>0.1135</v>
      </c>
      <c r="R54" s="84">
        <f>0.1155</f>
        <v>0.11550000000000001</v>
      </c>
      <c r="S54" s="84">
        <f>0.1175</f>
        <v>0.11749999999999999</v>
      </c>
    </row>
    <row r="55" spans="1:19" ht="110.25" customHeight="1">
      <c r="A55" s="65" t="s">
        <v>211</v>
      </c>
      <c r="B55" s="66" t="s">
        <v>212</v>
      </c>
      <c r="C55" s="75" t="s">
        <v>191</v>
      </c>
      <c r="D55" s="76" t="s">
        <v>191</v>
      </c>
      <c r="E55" s="76" t="s">
        <v>191</v>
      </c>
      <c r="F55" s="77" t="s">
        <v>191</v>
      </c>
      <c r="G55" s="87" t="str">
        <f>IF(G51&lt;=G53,"Spełniona","Nie spełniona")</f>
        <v>Spełniona</v>
      </c>
      <c r="H55" s="88" t="str">
        <f t="shared" ref="H55:S55" si="3">IF(H51&lt;=H53,"Spełniona","Nie spełniona")</f>
        <v>Spełniona</v>
      </c>
      <c r="I55" s="88" t="str">
        <f t="shared" si="3"/>
        <v>Spełniona</v>
      </c>
      <c r="J55" s="88" t="str">
        <f t="shared" si="3"/>
        <v>Spełniona</v>
      </c>
      <c r="K55" s="88" t="str">
        <f t="shared" si="3"/>
        <v>Spełniona</v>
      </c>
      <c r="L55" s="88" t="str">
        <f t="shared" si="3"/>
        <v>Spełniona</v>
      </c>
      <c r="M55" s="88" t="str">
        <f t="shared" si="3"/>
        <v>Spełniona</v>
      </c>
      <c r="N55" s="88" t="str">
        <f t="shared" si="3"/>
        <v>Spełniona</v>
      </c>
      <c r="O55" s="88" t="str">
        <f t="shared" si="3"/>
        <v>Spełniona</v>
      </c>
      <c r="P55" s="88" t="str">
        <f t="shared" si="3"/>
        <v>Spełniona</v>
      </c>
      <c r="Q55" s="88" t="str">
        <f t="shared" si="3"/>
        <v>Spełniona</v>
      </c>
      <c r="R55" s="88" t="str">
        <f t="shared" si="3"/>
        <v>Spełniona</v>
      </c>
      <c r="S55" s="88" t="str">
        <f t="shared" si="3"/>
        <v>Spełniona</v>
      </c>
    </row>
    <row r="56" spans="1:19" ht="105" customHeight="1">
      <c r="A56" s="65" t="s">
        <v>213</v>
      </c>
      <c r="B56" s="72" t="s">
        <v>214</v>
      </c>
      <c r="C56" s="75" t="s">
        <v>191</v>
      </c>
      <c r="D56" s="76" t="s">
        <v>191</v>
      </c>
      <c r="E56" s="76" t="s">
        <v>191</v>
      </c>
      <c r="F56" s="77" t="s">
        <v>191</v>
      </c>
      <c r="G56" s="87" t="str">
        <f>IF(G51&lt;=G54,"Spełniona","Nie spełniona")</f>
        <v>Spełniona</v>
      </c>
      <c r="H56" s="88" t="str">
        <f t="shared" ref="H56:S56" si="4">IF(H51&lt;=H54,"Spełniona","Nie spełniona")</f>
        <v>Spełniona</v>
      </c>
      <c r="I56" s="88" t="str">
        <f t="shared" si="4"/>
        <v>Spełniona</v>
      </c>
      <c r="J56" s="88" t="str">
        <f t="shared" si="4"/>
        <v>Spełniona</v>
      </c>
      <c r="K56" s="88" t="str">
        <f t="shared" si="4"/>
        <v>Spełniona</v>
      </c>
      <c r="L56" s="88" t="str">
        <f t="shared" si="4"/>
        <v>Spełniona</v>
      </c>
      <c r="M56" s="88" t="str">
        <f t="shared" si="4"/>
        <v>Spełniona</v>
      </c>
      <c r="N56" s="88" t="str">
        <f t="shared" si="4"/>
        <v>Spełniona</v>
      </c>
      <c r="O56" s="88" t="str">
        <f t="shared" si="4"/>
        <v>Spełniona</v>
      </c>
      <c r="P56" s="88" t="str">
        <f t="shared" si="4"/>
        <v>Spełniona</v>
      </c>
      <c r="Q56" s="88" t="str">
        <f t="shared" si="4"/>
        <v>Spełniona</v>
      </c>
      <c r="R56" s="88" t="str">
        <f t="shared" si="4"/>
        <v>Spełniona</v>
      </c>
      <c r="S56" s="88" t="str">
        <f t="shared" si="4"/>
        <v>Spełniona</v>
      </c>
    </row>
    <row r="57" spans="1:19" ht="36" customHeight="1">
      <c r="A57" s="59">
        <v>10</v>
      </c>
      <c r="B57" s="101" t="s">
        <v>215</v>
      </c>
      <c r="C57" s="60">
        <f>0</f>
        <v>0</v>
      </c>
      <c r="D57" s="61">
        <f>0</f>
        <v>0</v>
      </c>
      <c r="E57" s="61">
        <f>0</f>
        <v>0</v>
      </c>
      <c r="F57" s="62">
        <f>0</f>
        <v>0</v>
      </c>
      <c r="G57" s="63">
        <f>0</f>
        <v>0</v>
      </c>
      <c r="H57" s="64">
        <f>5264612</f>
        <v>5264612</v>
      </c>
      <c r="I57" s="64">
        <f>4542000</f>
        <v>4542000</v>
      </c>
      <c r="J57" s="64">
        <f>4742000</f>
        <v>4742000</v>
      </c>
      <c r="K57" s="64">
        <f>4242000</f>
        <v>4242000</v>
      </c>
      <c r="L57" s="64">
        <f>4392000</f>
        <v>4392000</v>
      </c>
      <c r="M57" s="64">
        <f>4592000</f>
        <v>4592000</v>
      </c>
      <c r="N57" s="64">
        <f t="shared" ref="N57:P58" si="5">4300000</f>
        <v>4300000</v>
      </c>
      <c r="O57" s="64">
        <f t="shared" si="5"/>
        <v>4300000</v>
      </c>
      <c r="P57" s="64">
        <f t="shared" si="5"/>
        <v>4300000</v>
      </c>
      <c r="Q57" s="64">
        <f>3600000</f>
        <v>3600000</v>
      </c>
      <c r="R57" s="64">
        <f>3000000</f>
        <v>3000000</v>
      </c>
      <c r="S57" s="64">
        <f>2900000</f>
        <v>2900000</v>
      </c>
    </row>
    <row r="58" spans="1:19" ht="35.25" customHeight="1">
      <c r="A58" s="65" t="s">
        <v>216</v>
      </c>
      <c r="B58" s="66" t="s">
        <v>217</v>
      </c>
      <c r="C58" s="67">
        <f>0</f>
        <v>0</v>
      </c>
      <c r="D58" s="68">
        <f>0</f>
        <v>0</v>
      </c>
      <c r="E58" s="68">
        <f>0</f>
        <v>0</v>
      </c>
      <c r="F58" s="69">
        <f>0</f>
        <v>0</v>
      </c>
      <c r="G58" s="70">
        <f>0</f>
        <v>0</v>
      </c>
      <c r="H58" s="71">
        <f>5264612</f>
        <v>5264612</v>
      </c>
      <c r="I58" s="71">
        <f>4542000</f>
        <v>4542000</v>
      </c>
      <c r="J58" s="71">
        <f>4742000</f>
        <v>4742000</v>
      </c>
      <c r="K58" s="71">
        <f>4242000</f>
        <v>4242000</v>
      </c>
      <c r="L58" s="71">
        <f>4392000</f>
        <v>4392000</v>
      </c>
      <c r="M58" s="71">
        <f>4592000</f>
        <v>4592000</v>
      </c>
      <c r="N58" s="71">
        <f t="shared" si="5"/>
        <v>4300000</v>
      </c>
      <c r="O58" s="71">
        <f t="shared" si="5"/>
        <v>4300000</v>
      </c>
      <c r="P58" s="71">
        <f t="shared" si="5"/>
        <v>4300000</v>
      </c>
      <c r="Q58" s="71">
        <f>3600000</f>
        <v>3600000</v>
      </c>
      <c r="R58" s="71">
        <f>3000000</f>
        <v>3000000</v>
      </c>
      <c r="S58" s="71">
        <f>2900000</f>
        <v>2900000</v>
      </c>
    </row>
    <row r="59" spans="1:19" ht="35.25" customHeight="1">
      <c r="A59" s="59">
        <v>11</v>
      </c>
      <c r="B59" s="101" t="s">
        <v>218</v>
      </c>
      <c r="C59" s="75" t="s">
        <v>191</v>
      </c>
      <c r="D59" s="76" t="s">
        <v>191</v>
      </c>
      <c r="E59" s="76" t="s">
        <v>191</v>
      </c>
      <c r="F59" s="77" t="s">
        <v>191</v>
      </c>
      <c r="G59" s="78" t="s">
        <v>191</v>
      </c>
      <c r="H59" s="79" t="s">
        <v>191</v>
      </c>
      <c r="I59" s="79" t="s">
        <v>191</v>
      </c>
      <c r="J59" s="79" t="s">
        <v>191</v>
      </c>
      <c r="K59" s="79" t="s">
        <v>191</v>
      </c>
      <c r="L59" s="79" t="s">
        <v>191</v>
      </c>
      <c r="M59" s="79" t="s">
        <v>191</v>
      </c>
      <c r="N59" s="79" t="s">
        <v>191</v>
      </c>
      <c r="O59" s="79" t="s">
        <v>191</v>
      </c>
      <c r="P59" s="79" t="s">
        <v>191</v>
      </c>
      <c r="Q59" s="79" t="s">
        <v>191</v>
      </c>
      <c r="R59" s="79" t="s">
        <v>191</v>
      </c>
      <c r="S59" s="79" t="s">
        <v>191</v>
      </c>
    </row>
    <row r="60" spans="1:19" ht="32.25" customHeight="1">
      <c r="A60" s="65" t="s">
        <v>219</v>
      </c>
      <c r="B60" s="66" t="s">
        <v>220</v>
      </c>
      <c r="C60" s="67">
        <f>64574748.58</f>
        <v>64574748.579999998</v>
      </c>
      <c r="D60" s="68">
        <f>67696183.63</f>
        <v>67696183.629999995</v>
      </c>
      <c r="E60" s="68">
        <f>73616808</f>
        <v>73616808</v>
      </c>
      <c r="F60" s="69">
        <f>71787197.01</f>
        <v>71787197.010000005</v>
      </c>
      <c r="G60" s="70">
        <f>78933403</f>
        <v>78933403</v>
      </c>
      <c r="H60" s="71">
        <f>78601542</f>
        <v>78601542</v>
      </c>
      <c r="I60" s="71">
        <f>80566581</f>
        <v>80566581</v>
      </c>
      <c r="J60" s="71">
        <f>82580746</f>
        <v>82580746</v>
      </c>
      <c r="K60" s="71">
        <f>84645265</f>
        <v>84645265</v>
      </c>
      <c r="L60" s="71">
        <f>86761397</f>
        <v>86761397</v>
      </c>
      <c r="M60" s="71">
        <f>88930432</f>
        <v>88930432</v>
      </c>
      <c r="N60" s="71">
        <f>91153693</f>
        <v>91153693</v>
      </c>
      <c r="O60" s="71">
        <f>93432535</f>
        <v>93432535</v>
      </c>
      <c r="P60" s="71">
        <f>95768348</f>
        <v>95768348</v>
      </c>
      <c r="Q60" s="71">
        <f>98162557</f>
        <v>98162557</v>
      </c>
      <c r="R60" s="71">
        <f>100616621</f>
        <v>100616621</v>
      </c>
      <c r="S60" s="71">
        <f>103132037</f>
        <v>103132037</v>
      </c>
    </row>
    <row r="61" spans="1:19" ht="33" customHeight="1">
      <c r="A61" s="65" t="s">
        <v>221</v>
      </c>
      <c r="B61" s="66" t="s">
        <v>222</v>
      </c>
      <c r="C61" s="67">
        <f>9861886.2</f>
        <v>9861886.1999999993</v>
      </c>
      <c r="D61" s="68">
        <f>9942354.83</f>
        <v>9942354.8300000001</v>
      </c>
      <c r="E61" s="68">
        <f>11924128</f>
        <v>11924128</v>
      </c>
      <c r="F61" s="69">
        <f>10703885.07</f>
        <v>10703885.07</v>
      </c>
      <c r="G61" s="70">
        <f>11917722</f>
        <v>11917722</v>
      </c>
      <c r="H61" s="71">
        <f>13062250</f>
        <v>13062250</v>
      </c>
      <c r="I61" s="71">
        <f>13388806</f>
        <v>13388806</v>
      </c>
      <c r="J61" s="71">
        <f>13723526</f>
        <v>13723526</v>
      </c>
      <c r="K61" s="71">
        <f>14066614</f>
        <v>14066614</v>
      </c>
      <c r="L61" s="71">
        <f>14418279</f>
        <v>14418279</v>
      </c>
      <c r="M61" s="71">
        <f>14778736</f>
        <v>14778736</v>
      </c>
      <c r="N61" s="71">
        <f>15148204</f>
        <v>15148204</v>
      </c>
      <c r="O61" s="71">
        <f>15526909</f>
        <v>15526909</v>
      </c>
      <c r="P61" s="71">
        <f>15915082</f>
        <v>15915082</v>
      </c>
      <c r="Q61" s="71">
        <f>16312959</f>
        <v>16312959</v>
      </c>
      <c r="R61" s="71">
        <f>16720783</f>
        <v>16720783</v>
      </c>
      <c r="S61" s="71">
        <f>17138803</f>
        <v>17138803</v>
      </c>
    </row>
    <row r="62" spans="1:19" ht="33.75" customHeight="1">
      <c r="A62" s="65" t="s">
        <v>223</v>
      </c>
      <c r="B62" s="66" t="s">
        <v>224</v>
      </c>
      <c r="C62" s="67">
        <f>4693324.07</f>
        <v>4693324.07</v>
      </c>
      <c r="D62" s="68">
        <f>19651893.88</f>
        <v>19651893.879999999</v>
      </c>
      <c r="E62" s="68">
        <f>29773946</f>
        <v>29773946</v>
      </c>
      <c r="F62" s="69">
        <f>28121021.88</f>
        <v>28121021.879999999</v>
      </c>
      <c r="G62" s="70">
        <f>8672009</f>
        <v>8672009</v>
      </c>
      <c r="H62" s="71">
        <f>10433315</f>
        <v>10433315</v>
      </c>
      <c r="I62" s="71">
        <f>9277941</f>
        <v>9277941</v>
      </c>
      <c r="J62" s="71">
        <f>5003541</f>
        <v>5003541</v>
      </c>
      <c r="K62" s="71">
        <f>903540</f>
        <v>903540</v>
      </c>
      <c r="L62" s="71">
        <f>0</f>
        <v>0</v>
      </c>
      <c r="M62" s="71">
        <f>0</f>
        <v>0</v>
      </c>
      <c r="N62" s="71">
        <f>0</f>
        <v>0</v>
      </c>
      <c r="O62" s="71">
        <f>0</f>
        <v>0</v>
      </c>
      <c r="P62" s="71">
        <f>0</f>
        <v>0</v>
      </c>
      <c r="Q62" s="71">
        <f>0</f>
        <v>0</v>
      </c>
      <c r="R62" s="71">
        <f>0</f>
        <v>0</v>
      </c>
      <c r="S62" s="71">
        <f>0</f>
        <v>0</v>
      </c>
    </row>
    <row r="63" spans="1:19" ht="18" customHeight="1">
      <c r="A63" s="65" t="s">
        <v>225</v>
      </c>
      <c r="B63" s="72" t="s">
        <v>226</v>
      </c>
      <c r="C63" s="67">
        <f>860587.73</f>
        <v>860587.73</v>
      </c>
      <c r="D63" s="68">
        <f>1317922.84</f>
        <v>1317922.8400000001</v>
      </c>
      <c r="E63" s="68">
        <f>2544849</f>
        <v>2544849</v>
      </c>
      <c r="F63" s="69">
        <f>1763345.01</f>
        <v>1763345.01</v>
      </c>
      <c r="G63" s="70">
        <f>2635437</f>
        <v>2635437</v>
      </c>
      <c r="H63" s="71">
        <f>1743315</f>
        <v>1743315</v>
      </c>
      <c r="I63" s="71">
        <f>1277941</f>
        <v>1277941</v>
      </c>
      <c r="J63" s="71">
        <f>903541</f>
        <v>903541</v>
      </c>
      <c r="K63" s="71">
        <f>903540</f>
        <v>903540</v>
      </c>
      <c r="L63" s="71">
        <f>0</f>
        <v>0</v>
      </c>
      <c r="M63" s="71">
        <f>0</f>
        <v>0</v>
      </c>
      <c r="N63" s="71">
        <f>0</f>
        <v>0</v>
      </c>
      <c r="O63" s="71">
        <f>0</f>
        <v>0</v>
      </c>
      <c r="P63" s="71">
        <f>0</f>
        <v>0</v>
      </c>
      <c r="Q63" s="71">
        <f>0</f>
        <v>0</v>
      </c>
      <c r="R63" s="71">
        <f>0</f>
        <v>0</v>
      </c>
      <c r="S63" s="71">
        <f>0</f>
        <v>0</v>
      </c>
    </row>
    <row r="64" spans="1:19" ht="18" customHeight="1">
      <c r="A64" s="65" t="s">
        <v>227</v>
      </c>
      <c r="B64" s="72" t="s">
        <v>228</v>
      </c>
      <c r="C64" s="67">
        <f>3832736.34</f>
        <v>3832736.34</v>
      </c>
      <c r="D64" s="68">
        <f>18333971.04</f>
        <v>18333971.039999999</v>
      </c>
      <c r="E64" s="68">
        <f>27229097</f>
        <v>27229097</v>
      </c>
      <c r="F64" s="69">
        <f>26357676.87</f>
        <v>26357676.870000001</v>
      </c>
      <c r="G64" s="70">
        <f>6036572</f>
        <v>6036572</v>
      </c>
      <c r="H64" s="71">
        <f>8690000</f>
        <v>8690000</v>
      </c>
      <c r="I64" s="71">
        <f>8000000</f>
        <v>8000000</v>
      </c>
      <c r="J64" s="71">
        <f>4100000</f>
        <v>4100000</v>
      </c>
      <c r="K64" s="71">
        <f>0</f>
        <v>0</v>
      </c>
      <c r="L64" s="71">
        <f>0</f>
        <v>0</v>
      </c>
      <c r="M64" s="71">
        <f>0</f>
        <v>0</v>
      </c>
      <c r="N64" s="71">
        <f>0</f>
        <v>0</v>
      </c>
      <c r="O64" s="71">
        <f>0</f>
        <v>0</v>
      </c>
      <c r="P64" s="71">
        <f>0</f>
        <v>0</v>
      </c>
      <c r="Q64" s="71">
        <f>0</f>
        <v>0</v>
      </c>
      <c r="R64" s="71">
        <f>0</f>
        <v>0</v>
      </c>
      <c r="S64" s="71">
        <f>0</f>
        <v>0</v>
      </c>
    </row>
    <row r="65" spans="1:19" ht="18" customHeight="1">
      <c r="A65" s="65" t="s">
        <v>229</v>
      </c>
      <c r="B65" s="66" t="s">
        <v>230</v>
      </c>
      <c r="C65" s="67">
        <f>3638806.34</f>
        <v>3638806.34</v>
      </c>
      <c r="D65" s="68">
        <f>16269990.03</f>
        <v>16269990.029999999</v>
      </c>
      <c r="E65" s="68">
        <f>26836967</f>
        <v>26836967</v>
      </c>
      <c r="F65" s="69">
        <f>26044576.95</f>
        <v>26044576.949999999</v>
      </c>
      <c r="G65" s="70">
        <f>5966000</f>
        <v>5966000</v>
      </c>
      <c r="H65" s="71">
        <f>8690000</f>
        <v>8690000</v>
      </c>
      <c r="I65" s="71">
        <f>8000000</f>
        <v>8000000</v>
      </c>
      <c r="J65" s="71">
        <f>4100000</f>
        <v>4100000</v>
      </c>
      <c r="K65" s="71">
        <f>0</f>
        <v>0</v>
      </c>
      <c r="L65" s="71">
        <f>0</f>
        <v>0</v>
      </c>
      <c r="M65" s="71">
        <f>0</f>
        <v>0</v>
      </c>
      <c r="N65" s="71">
        <f>0</f>
        <v>0</v>
      </c>
      <c r="O65" s="71">
        <f>0</f>
        <v>0</v>
      </c>
      <c r="P65" s="71">
        <f>0</f>
        <v>0</v>
      </c>
      <c r="Q65" s="71">
        <f>0</f>
        <v>0</v>
      </c>
      <c r="R65" s="71">
        <f>0</f>
        <v>0</v>
      </c>
      <c r="S65" s="71">
        <f>0</f>
        <v>0</v>
      </c>
    </row>
    <row r="66" spans="1:19" ht="18" customHeight="1">
      <c r="A66" s="65" t="s">
        <v>231</v>
      </c>
      <c r="B66" s="66" t="s">
        <v>232</v>
      </c>
      <c r="C66" s="67">
        <f>4953899.43</f>
        <v>4953899.43</v>
      </c>
      <c r="D66" s="68">
        <f>8914706.04</f>
        <v>8914706.0399999991</v>
      </c>
      <c r="E66" s="68">
        <f>8135047</f>
        <v>8135047</v>
      </c>
      <c r="F66" s="69">
        <f>8129712.37</f>
        <v>8129712.3700000001</v>
      </c>
      <c r="G66" s="70">
        <f>9750753</f>
        <v>9750753</v>
      </c>
      <c r="H66" s="71">
        <f>63685</f>
        <v>63685</v>
      </c>
      <c r="I66" s="71">
        <f>1188161</f>
        <v>1188161</v>
      </c>
      <c r="J66" s="71">
        <f>6140853</f>
        <v>6140853</v>
      </c>
      <c r="K66" s="71">
        <f>11829963</f>
        <v>11829963</v>
      </c>
      <c r="L66" s="71">
        <f>12572004</f>
        <v>12572004</v>
      </c>
      <c r="M66" s="71">
        <f>13606918</f>
        <v>13606918</v>
      </c>
      <c r="N66" s="71">
        <f>15212016</f>
        <v>15212016</v>
      </c>
      <c r="O66" s="71">
        <f>16000727</f>
        <v>16000727</v>
      </c>
      <c r="P66" s="71">
        <f>17028566</f>
        <v>17028566</v>
      </c>
      <c r="Q66" s="71">
        <f>18615620</f>
        <v>18615620</v>
      </c>
      <c r="R66" s="71">
        <f>20134641</f>
        <v>20134641</v>
      </c>
      <c r="S66" s="71">
        <f>20995474</f>
        <v>20995474</v>
      </c>
    </row>
    <row r="67" spans="1:19" ht="18" customHeight="1">
      <c r="A67" s="65" t="s">
        <v>233</v>
      </c>
      <c r="B67" s="66" t="s">
        <v>234</v>
      </c>
      <c r="C67" s="67">
        <f>89494</f>
        <v>89494</v>
      </c>
      <c r="D67" s="68">
        <f>712834</f>
        <v>712834</v>
      </c>
      <c r="E67" s="68">
        <f>893680</f>
        <v>893680</v>
      </c>
      <c r="F67" s="69">
        <f>732019.04</f>
        <v>732019.04</v>
      </c>
      <c r="G67" s="70">
        <f>460572</f>
        <v>460572</v>
      </c>
      <c r="H67" s="71">
        <f>0</f>
        <v>0</v>
      </c>
      <c r="I67" s="71">
        <f>0</f>
        <v>0</v>
      </c>
      <c r="J67" s="71">
        <f>0</f>
        <v>0</v>
      </c>
      <c r="K67" s="71">
        <f>0</f>
        <v>0</v>
      </c>
      <c r="L67" s="71">
        <f>0</f>
        <v>0</v>
      </c>
      <c r="M67" s="71">
        <f>0</f>
        <v>0</v>
      </c>
      <c r="N67" s="71">
        <f>0</f>
        <v>0</v>
      </c>
      <c r="O67" s="71">
        <f>0</f>
        <v>0</v>
      </c>
      <c r="P67" s="71">
        <f>0</f>
        <v>0</v>
      </c>
      <c r="Q67" s="71">
        <f>0</f>
        <v>0</v>
      </c>
      <c r="R67" s="71">
        <f>0</f>
        <v>0</v>
      </c>
      <c r="S67" s="71">
        <f>0</f>
        <v>0</v>
      </c>
    </row>
    <row r="68" spans="1:19" ht="46.5" customHeight="1">
      <c r="A68" s="59">
        <v>12</v>
      </c>
      <c r="B68" s="101" t="s">
        <v>235</v>
      </c>
      <c r="C68" s="75" t="s">
        <v>191</v>
      </c>
      <c r="D68" s="76" t="s">
        <v>191</v>
      </c>
      <c r="E68" s="76" t="s">
        <v>191</v>
      </c>
      <c r="F68" s="77" t="s">
        <v>191</v>
      </c>
      <c r="G68" s="78" t="s">
        <v>191</v>
      </c>
      <c r="H68" s="79" t="s">
        <v>191</v>
      </c>
      <c r="I68" s="79" t="s">
        <v>191</v>
      </c>
      <c r="J68" s="79" t="s">
        <v>191</v>
      </c>
      <c r="K68" s="79" t="s">
        <v>191</v>
      </c>
      <c r="L68" s="79" t="s">
        <v>191</v>
      </c>
      <c r="M68" s="79" t="s">
        <v>191</v>
      </c>
      <c r="N68" s="79" t="s">
        <v>191</v>
      </c>
      <c r="O68" s="79" t="s">
        <v>191</v>
      </c>
      <c r="P68" s="79" t="s">
        <v>191</v>
      </c>
      <c r="Q68" s="79" t="s">
        <v>191</v>
      </c>
      <c r="R68" s="79" t="s">
        <v>191</v>
      </c>
      <c r="S68" s="79" t="s">
        <v>191</v>
      </c>
    </row>
    <row r="69" spans="1:19" ht="45" customHeight="1">
      <c r="A69" s="65" t="s">
        <v>236</v>
      </c>
      <c r="B69" s="66" t="s">
        <v>237</v>
      </c>
      <c r="C69" s="67">
        <f>1030177.5</f>
        <v>1030177.5</v>
      </c>
      <c r="D69" s="68">
        <f>1117061.86</f>
        <v>1117061.8600000001</v>
      </c>
      <c r="E69" s="68">
        <f>2106997</f>
        <v>2106997</v>
      </c>
      <c r="F69" s="69">
        <f>1625820.8</f>
        <v>1625820.8</v>
      </c>
      <c r="G69" s="70">
        <f>2068120</f>
        <v>2068120</v>
      </c>
      <c r="H69" s="71">
        <f>1152585</f>
        <v>1152585</v>
      </c>
      <c r="I69" s="71">
        <f>903541</f>
        <v>903541</v>
      </c>
      <c r="J69" s="71">
        <f>903541</f>
        <v>903541</v>
      </c>
      <c r="K69" s="71">
        <f>903540</f>
        <v>903540</v>
      </c>
      <c r="L69" s="71">
        <f>0</f>
        <v>0</v>
      </c>
      <c r="M69" s="71">
        <f>0</f>
        <v>0</v>
      </c>
      <c r="N69" s="71">
        <f>0</f>
        <v>0</v>
      </c>
      <c r="O69" s="71">
        <f>0</f>
        <v>0</v>
      </c>
      <c r="P69" s="71">
        <f>0</f>
        <v>0</v>
      </c>
      <c r="Q69" s="71">
        <f>0</f>
        <v>0</v>
      </c>
      <c r="R69" s="71">
        <f>0</f>
        <v>0</v>
      </c>
      <c r="S69" s="71">
        <f>0</f>
        <v>0</v>
      </c>
    </row>
    <row r="70" spans="1:19" ht="33.75" customHeight="1">
      <c r="A70" s="65" t="s">
        <v>238</v>
      </c>
      <c r="B70" s="89" t="s">
        <v>239</v>
      </c>
      <c r="C70" s="67">
        <f>1007962.48</f>
        <v>1007962.48</v>
      </c>
      <c r="D70" s="68">
        <f>1117061.86</f>
        <v>1117061.8600000001</v>
      </c>
      <c r="E70" s="68">
        <f>1976621</f>
        <v>1976621</v>
      </c>
      <c r="F70" s="69">
        <f>1560662.78</f>
        <v>1560662.78</v>
      </c>
      <c r="G70" s="70">
        <f>1930046</f>
        <v>1930046</v>
      </c>
      <c r="H70" s="71">
        <f>996720</f>
        <v>996720</v>
      </c>
      <c r="I70" s="71">
        <f>0</f>
        <v>0</v>
      </c>
      <c r="J70" s="71">
        <f>0</f>
        <v>0</v>
      </c>
      <c r="K70" s="71">
        <f>0</f>
        <v>0</v>
      </c>
      <c r="L70" s="71">
        <f>0</f>
        <v>0</v>
      </c>
      <c r="M70" s="71">
        <f>0</f>
        <v>0</v>
      </c>
      <c r="N70" s="71">
        <f>0</f>
        <v>0</v>
      </c>
      <c r="O70" s="71">
        <f>0</f>
        <v>0</v>
      </c>
      <c r="P70" s="71">
        <f>0</f>
        <v>0</v>
      </c>
      <c r="Q70" s="71">
        <f>0</f>
        <v>0</v>
      </c>
      <c r="R70" s="71">
        <f>0</f>
        <v>0</v>
      </c>
      <c r="S70" s="71">
        <f>0</f>
        <v>0</v>
      </c>
    </row>
    <row r="71" spans="1:19" ht="58.5" customHeight="1">
      <c r="A71" s="65" t="s">
        <v>240</v>
      </c>
      <c r="B71" s="90" t="s">
        <v>241</v>
      </c>
      <c r="C71" s="67">
        <f>1007962.48</f>
        <v>1007962.48</v>
      </c>
      <c r="D71" s="68">
        <f>1117061.86</f>
        <v>1117061.8600000001</v>
      </c>
      <c r="E71" s="68">
        <f>1976621</f>
        <v>1976621</v>
      </c>
      <c r="F71" s="69">
        <f>1560662.78</f>
        <v>1560662.78</v>
      </c>
      <c r="G71" s="70">
        <f>1930046</f>
        <v>1930046</v>
      </c>
      <c r="H71" s="71">
        <f>996720</f>
        <v>996720</v>
      </c>
      <c r="I71" s="71">
        <f>0</f>
        <v>0</v>
      </c>
      <c r="J71" s="71">
        <f>0</f>
        <v>0</v>
      </c>
      <c r="K71" s="71">
        <f>0</f>
        <v>0</v>
      </c>
      <c r="L71" s="71">
        <f>0</f>
        <v>0</v>
      </c>
      <c r="M71" s="71">
        <f>0</f>
        <v>0</v>
      </c>
      <c r="N71" s="71">
        <f>0</f>
        <v>0</v>
      </c>
      <c r="O71" s="71">
        <f>0</f>
        <v>0</v>
      </c>
      <c r="P71" s="71">
        <f>0</f>
        <v>0</v>
      </c>
      <c r="Q71" s="71">
        <f>0</f>
        <v>0</v>
      </c>
      <c r="R71" s="71">
        <f>0</f>
        <v>0</v>
      </c>
      <c r="S71" s="71">
        <f>0</f>
        <v>0</v>
      </c>
    </row>
    <row r="72" spans="1:19" ht="46.5" customHeight="1">
      <c r="A72" s="65" t="s">
        <v>242</v>
      </c>
      <c r="B72" s="66" t="s">
        <v>243</v>
      </c>
      <c r="C72" s="67">
        <f>0</f>
        <v>0</v>
      </c>
      <c r="D72" s="68">
        <f>181441</f>
        <v>181441</v>
      </c>
      <c r="E72" s="68">
        <f>586345</f>
        <v>586345</v>
      </c>
      <c r="F72" s="69">
        <f>586344.48</f>
        <v>586344.48</v>
      </c>
      <c r="G72" s="70">
        <f>0</f>
        <v>0</v>
      </c>
      <c r="H72" s="71">
        <f>0</f>
        <v>0</v>
      </c>
      <c r="I72" s="71">
        <f>0</f>
        <v>0</v>
      </c>
      <c r="J72" s="71">
        <f>0</f>
        <v>0</v>
      </c>
      <c r="K72" s="71">
        <f>0</f>
        <v>0</v>
      </c>
      <c r="L72" s="71">
        <f>0</f>
        <v>0</v>
      </c>
      <c r="M72" s="71">
        <f>0</f>
        <v>0</v>
      </c>
      <c r="N72" s="71">
        <f>0</f>
        <v>0</v>
      </c>
      <c r="O72" s="71">
        <f>0</f>
        <v>0</v>
      </c>
      <c r="P72" s="71">
        <f>0</f>
        <v>0</v>
      </c>
      <c r="Q72" s="71">
        <f>0</f>
        <v>0</v>
      </c>
      <c r="R72" s="71">
        <f>0</f>
        <v>0</v>
      </c>
      <c r="S72" s="71">
        <f>0</f>
        <v>0</v>
      </c>
    </row>
    <row r="73" spans="1:19" ht="33" customHeight="1">
      <c r="A73" s="65" t="s">
        <v>244</v>
      </c>
      <c r="B73" s="89" t="s">
        <v>239</v>
      </c>
      <c r="C73" s="67">
        <f>0</f>
        <v>0</v>
      </c>
      <c r="D73" s="68">
        <f>1120</f>
        <v>1120</v>
      </c>
      <c r="E73" s="68">
        <f>586345</f>
        <v>586345</v>
      </c>
      <c r="F73" s="69">
        <f>586344.48</f>
        <v>586344.48</v>
      </c>
      <c r="G73" s="70">
        <f>0</f>
        <v>0</v>
      </c>
      <c r="H73" s="71">
        <f>0</f>
        <v>0</v>
      </c>
      <c r="I73" s="71">
        <f>0</f>
        <v>0</v>
      </c>
      <c r="J73" s="71">
        <f>0</f>
        <v>0</v>
      </c>
      <c r="K73" s="71">
        <f>0</f>
        <v>0</v>
      </c>
      <c r="L73" s="71">
        <f>0</f>
        <v>0</v>
      </c>
      <c r="M73" s="71">
        <f>0</f>
        <v>0</v>
      </c>
      <c r="N73" s="71">
        <f>0</f>
        <v>0</v>
      </c>
      <c r="O73" s="71">
        <f>0</f>
        <v>0</v>
      </c>
      <c r="P73" s="71">
        <f>0</f>
        <v>0</v>
      </c>
      <c r="Q73" s="71">
        <f>0</f>
        <v>0</v>
      </c>
      <c r="R73" s="71">
        <f>0</f>
        <v>0</v>
      </c>
      <c r="S73" s="71">
        <f>0</f>
        <v>0</v>
      </c>
    </row>
    <row r="74" spans="1:19" ht="58.5" customHeight="1">
      <c r="A74" s="65" t="s">
        <v>245</v>
      </c>
      <c r="B74" s="90" t="s">
        <v>246</v>
      </c>
      <c r="C74" s="67">
        <f>0</f>
        <v>0</v>
      </c>
      <c r="D74" s="68">
        <f>1120</f>
        <v>1120</v>
      </c>
      <c r="E74" s="68">
        <f>586345</f>
        <v>586345</v>
      </c>
      <c r="F74" s="69">
        <f>586344.48</f>
        <v>586344.48</v>
      </c>
      <c r="G74" s="70">
        <f>0</f>
        <v>0</v>
      </c>
      <c r="H74" s="71">
        <f>0</f>
        <v>0</v>
      </c>
      <c r="I74" s="71">
        <f>0</f>
        <v>0</v>
      </c>
      <c r="J74" s="71">
        <f>0</f>
        <v>0</v>
      </c>
      <c r="K74" s="71">
        <f>0</f>
        <v>0</v>
      </c>
      <c r="L74" s="71">
        <f>0</f>
        <v>0</v>
      </c>
      <c r="M74" s="71">
        <f>0</f>
        <v>0</v>
      </c>
      <c r="N74" s="71">
        <f>0</f>
        <v>0</v>
      </c>
      <c r="O74" s="71">
        <f>0</f>
        <v>0</v>
      </c>
      <c r="P74" s="71">
        <f>0</f>
        <v>0</v>
      </c>
      <c r="Q74" s="71">
        <f>0</f>
        <v>0</v>
      </c>
      <c r="R74" s="71">
        <f>0</f>
        <v>0</v>
      </c>
      <c r="S74" s="71">
        <f>0</f>
        <v>0</v>
      </c>
    </row>
    <row r="75" spans="1:19" ht="45.75" customHeight="1">
      <c r="A75" s="65" t="s">
        <v>247</v>
      </c>
      <c r="B75" s="66" t="s">
        <v>248</v>
      </c>
      <c r="C75" s="67">
        <f>860587.73</f>
        <v>860587.73</v>
      </c>
      <c r="D75" s="68">
        <f>1214289.48</f>
        <v>1214289.48</v>
      </c>
      <c r="E75" s="68">
        <f>2194649</f>
        <v>2194649</v>
      </c>
      <c r="F75" s="69">
        <f>1441015.01</f>
        <v>1441015.01</v>
      </c>
      <c r="G75" s="70">
        <f>2259037</f>
        <v>2259037</v>
      </c>
      <c r="H75" s="71">
        <f>1368915</f>
        <v>1368915</v>
      </c>
      <c r="I75" s="71">
        <f>903541</f>
        <v>903541</v>
      </c>
      <c r="J75" s="71">
        <f>903541</f>
        <v>903541</v>
      </c>
      <c r="K75" s="71">
        <f>903540</f>
        <v>903540</v>
      </c>
      <c r="L75" s="71">
        <f>0</f>
        <v>0</v>
      </c>
      <c r="M75" s="71">
        <f>0</f>
        <v>0</v>
      </c>
      <c r="N75" s="71">
        <f>0</f>
        <v>0</v>
      </c>
      <c r="O75" s="71">
        <f>0</f>
        <v>0</v>
      </c>
      <c r="P75" s="71">
        <f>0</f>
        <v>0</v>
      </c>
      <c r="Q75" s="71">
        <f>0</f>
        <v>0</v>
      </c>
      <c r="R75" s="71">
        <f>0</f>
        <v>0</v>
      </c>
      <c r="S75" s="71">
        <f>0</f>
        <v>0</v>
      </c>
    </row>
    <row r="76" spans="1:19" ht="36.75" customHeight="1">
      <c r="A76" s="65" t="s">
        <v>249</v>
      </c>
      <c r="B76" s="89" t="s">
        <v>250</v>
      </c>
      <c r="C76" s="67">
        <f>860587.73</f>
        <v>860587.73</v>
      </c>
      <c r="D76" s="68">
        <f>1117060.7</f>
        <v>1117060.7</v>
      </c>
      <c r="E76" s="68">
        <f>1976621</f>
        <v>1976621</v>
      </c>
      <c r="F76" s="69">
        <f>1322318.02</f>
        <v>1322318.02</v>
      </c>
      <c r="G76" s="70">
        <f>2018630</f>
        <v>2018630</v>
      </c>
      <c r="H76" s="71">
        <f>1146480</f>
        <v>1146480</v>
      </c>
      <c r="I76" s="71">
        <f>0</f>
        <v>0</v>
      </c>
      <c r="J76" s="71">
        <f>0</f>
        <v>0</v>
      </c>
      <c r="K76" s="71">
        <f>0</f>
        <v>0</v>
      </c>
      <c r="L76" s="71">
        <f>0</f>
        <v>0</v>
      </c>
      <c r="M76" s="71">
        <f>0</f>
        <v>0</v>
      </c>
      <c r="N76" s="71">
        <f>0</f>
        <v>0</v>
      </c>
      <c r="O76" s="71">
        <f>0</f>
        <v>0</v>
      </c>
      <c r="P76" s="71">
        <f>0</f>
        <v>0</v>
      </c>
      <c r="Q76" s="71">
        <f>0</f>
        <v>0</v>
      </c>
      <c r="R76" s="71">
        <f>0</f>
        <v>0</v>
      </c>
      <c r="S76" s="71">
        <f>0</f>
        <v>0</v>
      </c>
    </row>
    <row r="77" spans="1:19" ht="70.5" customHeight="1">
      <c r="A77" s="65" t="s">
        <v>251</v>
      </c>
      <c r="B77" s="72" t="s">
        <v>252</v>
      </c>
      <c r="C77" s="67">
        <f>860587.73</f>
        <v>860587.73</v>
      </c>
      <c r="D77" s="68">
        <f>1117060.7</f>
        <v>1117060.7</v>
      </c>
      <c r="E77" s="68">
        <f>1976621</f>
        <v>1976621</v>
      </c>
      <c r="F77" s="69">
        <f>1322318.02</f>
        <v>1322318.02</v>
      </c>
      <c r="G77" s="70">
        <f>2018630</f>
        <v>2018630</v>
      </c>
      <c r="H77" s="71">
        <f>1146480</f>
        <v>1146480</v>
      </c>
      <c r="I77" s="71">
        <f>0</f>
        <v>0</v>
      </c>
      <c r="J77" s="71">
        <f>0</f>
        <v>0</v>
      </c>
      <c r="K77" s="71">
        <f>0</f>
        <v>0</v>
      </c>
      <c r="L77" s="71">
        <f>0</f>
        <v>0</v>
      </c>
      <c r="M77" s="71">
        <f>0</f>
        <v>0</v>
      </c>
      <c r="N77" s="71">
        <f>0</f>
        <v>0</v>
      </c>
      <c r="O77" s="71">
        <f>0</f>
        <v>0</v>
      </c>
      <c r="P77" s="71">
        <f>0</f>
        <v>0</v>
      </c>
      <c r="Q77" s="71">
        <f>0</f>
        <v>0</v>
      </c>
      <c r="R77" s="71">
        <f>0</f>
        <v>0</v>
      </c>
      <c r="S77" s="71">
        <f>0</f>
        <v>0</v>
      </c>
    </row>
    <row r="78" spans="1:19" ht="47.25" customHeight="1">
      <c r="A78" s="65" t="s">
        <v>253</v>
      </c>
      <c r="B78" s="66" t="s">
        <v>254</v>
      </c>
      <c r="C78" s="67">
        <f>11600</f>
        <v>11600</v>
      </c>
      <c r="D78" s="68">
        <f>861627.63</f>
        <v>861627.63</v>
      </c>
      <c r="E78" s="68">
        <f>273680</f>
        <v>273680</v>
      </c>
      <c r="F78" s="69">
        <f>204170.41</f>
        <v>204170.41</v>
      </c>
      <c r="G78" s="70">
        <f>70572</f>
        <v>70572</v>
      </c>
      <c r="H78" s="71">
        <f>0</f>
        <v>0</v>
      </c>
      <c r="I78" s="71">
        <f>0</f>
        <v>0</v>
      </c>
      <c r="J78" s="71">
        <f>0</f>
        <v>0</v>
      </c>
      <c r="K78" s="71">
        <f>0</f>
        <v>0</v>
      </c>
      <c r="L78" s="71">
        <f>0</f>
        <v>0</v>
      </c>
      <c r="M78" s="71">
        <f>0</f>
        <v>0</v>
      </c>
      <c r="N78" s="71">
        <f>0</f>
        <v>0</v>
      </c>
      <c r="O78" s="71">
        <f>0</f>
        <v>0</v>
      </c>
      <c r="P78" s="71">
        <f>0</f>
        <v>0</v>
      </c>
      <c r="Q78" s="71">
        <f>0</f>
        <v>0</v>
      </c>
      <c r="R78" s="71">
        <f>0</f>
        <v>0</v>
      </c>
      <c r="S78" s="71">
        <f>0</f>
        <v>0</v>
      </c>
    </row>
    <row r="79" spans="1:19" ht="40.5" customHeight="1">
      <c r="A79" s="65" t="s">
        <v>255</v>
      </c>
      <c r="B79" s="89" t="s">
        <v>256</v>
      </c>
      <c r="C79" s="67">
        <f>1120</f>
        <v>1120</v>
      </c>
      <c r="D79" s="68">
        <f>586344.48</f>
        <v>586344.48</v>
      </c>
      <c r="E79" s="68">
        <f>0</f>
        <v>0</v>
      </c>
      <c r="F79" s="69">
        <f>0</f>
        <v>0</v>
      </c>
      <c r="G79" s="70">
        <f>0</f>
        <v>0</v>
      </c>
      <c r="H79" s="71">
        <f>0</f>
        <v>0</v>
      </c>
      <c r="I79" s="71">
        <f>0</f>
        <v>0</v>
      </c>
      <c r="J79" s="71">
        <f>0</f>
        <v>0</v>
      </c>
      <c r="K79" s="71">
        <f>0</f>
        <v>0</v>
      </c>
      <c r="L79" s="71">
        <f>0</f>
        <v>0</v>
      </c>
      <c r="M79" s="71">
        <f>0</f>
        <v>0</v>
      </c>
      <c r="N79" s="71">
        <f>0</f>
        <v>0</v>
      </c>
      <c r="O79" s="71">
        <f>0</f>
        <v>0</v>
      </c>
      <c r="P79" s="71">
        <f>0</f>
        <v>0</v>
      </c>
      <c r="Q79" s="71">
        <f>0</f>
        <v>0</v>
      </c>
      <c r="R79" s="71">
        <f>0</f>
        <v>0</v>
      </c>
      <c r="S79" s="71">
        <f>0</f>
        <v>0</v>
      </c>
    </row>
    <row r="80" spans="1:19" ht="69.75" customHeight="1">
      <c r="A80" s="65" t="s">
        <v>257</v>
      </c>
      <c r="B80" s="72" t="s">
        <v>258</v>
      </c>
      <c r="C80" s="67">
        <f>1120</f>
        <v>1120</v>
      </c>
      <c r="D80" s="68">
        <f>586344.48</f>
        <v>586344.48</v>
      </c>
      <c r="E80" s="68">
        <f>0</f>
        <v>0</v>
      </c>
      <c r="F80" s="69">
        <f>0</f>
        <v>0</v>
      </c>
      <c r="G80" s="70">
        <f>0</f>
        <v>0</v>
      </c>
      <c r="H80" s="71">
        <f>0</f>
        <v>0</v>
      </c>
      <c r="I80" s="71">
        <f>0</f>
        <v>0</v>
      </c>
      <c r="J80" s="71">
        <f>0</f>
        <v>0</v>
      </c>
      <c r="K80" s="71">
        <f>0</f>
        <v>0</v>
      </c>
      <c r="L80" s="71">
        <f>0</f>
        <v>0</v>
      </c>
      <c r="M80" s="71">
        <f>0</f>
        <v>0</v>
      </c>
      <c r="N80" s="71">
        <f>0</f>
        <v>0</v>
      </c>
      <c r="O80" s="71">
        <f>0</f>
        <v>0</v>
      </c>
      <c r="P80" s="71">
        <f>0</f>
        <v>0</v>
      </c>
      <c r="Q80" s="71">
        <f>0</f>
        <v>0</v>
      </c>
      <c r="R80" s="71">
        <f>0</f>
        <v>0</v>
      </c>
      <c r="S80" s="71">
        <f>0</f>
        <v>0</v>
      </c>
    </row>
    <row r="81" spans="1:19" ht="70.5" customHeight="1">
      <c r="A81" s="65" t="s">
        <v>259</v>
      </c>
      <c r="B81" s="66" t="s">
        <v>260</v>
      </c>
      <c r="C81" s="67">
        <f>10480</f>
        <v>10480</v>
      </c>
      <c r="D81" s="68">
        <f>372511.93</f>
        <v>372511.93</v>
      </c>
      <c r="E81" s="68">
        <f>491708</f>
        <v>491708</v>
      </c>
      <c r="F81" s="69">
        <f>322867.4</f>
        <v>322867.40000000002</v>
      </c>
      <c r="G81" s="70">
        <f>310979</f>
        <v>310979</v>
      </c>
      <c r="H81" s="71">
        <f>222435</f>
        <v>222435</v>
      </c>
      <c r="I81" s="71">
        <f t="shared" ref="I81:J84" si="6">903541</f>
        <v>903541</v>
      </c>
      <c r="J81" s="71">
        <f t="shared" si="6"/>
        <v>903541</v>
      </c>
      <c r="K81" s="71">
        <f>903540</f>
        <v>903540</v>
      </c>
      <c r="L81" s="71">
        <f>0</f>
        <v>0</v>
      </c>
      <c r="M81" s="71">
        <f>0</f>
        <v>0</v>
      </c>
      <c r="N81" s="71">
        <f>0</f>
        <v>0</v>
      </c>
      <c r="O81" s="71">
        <f>0</f>
        <v>0</v>
      </c>
      <c r="P81" s="71">
        <f>0</f>
        <v>0</v>
      </c>
      <c r="Q81" s="71">
        <f>0</f>
        <v>0</v>
      </c>
      <c r="R81" s="71">
        <f>0</f>
        <v>0</v>
      </c>
      <c r="S81" s="71">
        <f>0</f>
        <v>0</v>
      </c>
    </row>
    <row r="82" spans="1:19" ht="33.75" customHeight="1">
      <c r="A82" s="65" t="s">
        <v>261</v>
      </c>
      <c r="B82" s="72" t="s">
        <v>262</v>
      </c>
      <c r="C82" s="67">
        <f>10480</f>
        <v>10480</v>
      </c>
      <c r="D82" s="68">
        <f>372511.93</f>
        <v>372511.93</v>
      </c>
      <c r="E82" s="68">
        <f>491708</f>
        <v>491708</v>
      </c>
      <c r="F82" s="69">
        <f>322867.4</f>
        <v>322867.40000000002</v>
      </c>
      <c r="G82" s="70">
        <f>310979</f>
        <v>310979</v>
      </c>
      <c r="H82" s="71">
        <f>222435</f>
        <v>222435</v>
      </c>
      <c r="I82" s="71">
        <f t="shared" si="6"/>
        <v>903541</v>
      </c>
      <c r="J82" s="71">
        <f t="shared" si="6"/>
        <v>903541</v>
      </c>
      <c r="K82" s="71">
        <f>903540</f>
        <v>903540</v>
      </c>
      <c r="L82" s="71">
        <f>0</f>
        <v>0</v>
      </c>
      <c r="M82" s="71">
        <f>0</f>
        <v>0</v>
      </c>
      <c r="N82" s="71">
        <f>0</f>
        <v>0</v>
      </c>
      <c r="O82" s="71">
        <f>0</f>
        <v>0</v>
      </c>
      <c r="P82" s="71">
        <f>0</f>
        <v>0</v>
      </c>
      <c r="Q82" s="71">
        <f>0</f>
        <v>0</v>
      </c>
      <c r="R82" s="71">
        <f>0</f>
        <v>0</v>
      </c>
      <c r="S82" s="71">
        <f>0</f>
        <v>0</v>
      </c>
    </row>
    <row r="83" spans="1:19" ht="72.75" customHeight="1">
      <c r="A83" s="65" t="s">
        <v>263</v>
      </c>
      <c r="B83" s="66" t="s">
        <v>264</v>
      </c>
      <c r="C83" s="67">
        <f>10480</f>
        <v>10480</v>
      </c>
      <c r="D83" s="68">
        <f>372511.93</f>
        <v>372511.93</v>
      </c>
      <c r="E83" s="68">
        <f>491708</f>
        <v>491708</v>
      </c>
      <c r="F83" s="69">
        <f>322867.4</f>
        <v>322867.40000000002</v>
      </c>
      <c r="G83" s="70">
        <f>310979</f>
        <v>310979</v>
      </c>
      <c r="H83" s="71">
        <f>222435</f>
        <v>222435</v>
      </c>
      <c r="I83" s="71">
        <f t="shared" si="6"/>
        <v>903541</v>
      </c>
      <c r="J83" s="71">
        <f t="shared" si="6"/>
        <v>903541</v>
      </c>
      <c r="K83" s="71">
        <f>903540</f>
        <v>903540</v>
      </c>
      <c r="L83" s="71">
        <f>0</f>
        <v>0</v>
      </c>
      <c r="M83" s="71">
        <f>0</f>
        <v>0</v>
      </c>
      <c r="N83" s="71">
        <f>0</f>
        <v>0</v>
      </c>
      <c r="O83" s="71">
        <f>0</f>
        <v>0</v>
      </c>
      <c r="P83" s="71">
        <f>0</f>
        <v>0</v>
      </c>
      <c r="Q83" s="71">
        <f>0</f>
        <v>0</v>
      </c>
      <c r="R83" s="71">
        <f>0</f>
        <v>0</v>
      </c>
      <c r="S83" s="71">
        <f>0</f>
        <v>0</v>
      </c>
    </row>
    <row r="84" spans="1:19" ht="39.75" customHeight="1">
      <c r="A84" s="65" t="s">
        <v>265</v>
      </c>
      <c r="B84" s="72" t="s">
        <v>262</v>
      </c>
      <c r="C84" s="67">
        <f>10480</f>
        <v>10480</v>
      </c>
      <c r="D84" s="68">
        <f>372511.93</f>
        <v>372511.93</v>
      </c>
      <c r="E84" s="68">
        <f>491708</f>
        <v>491708</v>
      </c>
      <c r="F84" s="69">
        <f>322867.4</f>
        <v>322867.40000000002</v>
      </c>
      <c r="G84" s="70">
        <f>310979</f>
        <v>310979</v>
      </c>
      <c r="H84" s="71">
        <f>222435</f>
        <v>222435</v>
      </c>
      <c r="I84" s="71">
        <f t="shared" si="6"/>
        <v>903541</v>
      </c>
      <c r="J84" s="71">
        <f t="shared" si="6"/>
        <v>903541</v>
      </c>
      <c r="K84" s="71">
        <f>903540</f>
        <v>903540</v>
      </c>
      <c r="L84" s="71">
        <f>0</f>
        <v>0</v>
      </c>
      <c r="M84" s="71">
        <f>0</f>
        <v>0</v>
      </c>
      <c r="N84" s="71">
        <f>0</f>
        <v>0</v>
      </c>
      <c r="O84" s="71">
        <f>0</f>
        <v>0</v>
      </c>
      <c r="P84" s="71">
        <f>0</f>
        <v>0</v>
      </c>
      <c r="Q84" s="71">
        <f>0</f>
        <v>0</v>
      </c>
      <c r="R84" s="71">
        <f>0</f>
        <v>0</v>
      </c>
      <c r="S84" s="71">
        <f>0</f>
        <v>0</v>
      </c>
    </row>
    <row r="85" spans="1:19" ht="96" customHeight="1">
      <c r="A85" s="65" t="s">
        <v>266</v>
      </c>
      <c r="B85" s="66" t="s">
        <v>267</v>
      </c>
      <c r="C85" s="67">
        <f>0</f>
        <v>0</v>
      </c>
      <c r="D85" s="68">
        <f>0</f>
        <v>0</v>
      </c>
      <c r="E85" s="68">
        <f>0</f>
        <v>0</v>
      </c>
      <c r="F85" s="69">
        <f>0</f>
        <v>0</v>
      </c>
      <c r="G85" s="70">
        <f>0</f>
        <v>0</v>
      </c>
      <c r="H85" s="71">
        <f>0</f>
        <v>0</v>
      </c>
      <c r="I85" s="71">
        <f>0</f>
        <v>0</v>
      </c>
      <c r="J85" s="71">
        <f>0</f>
        <v>0</v>
      </c>
      <c r="K85" s="71">
        <f>0</f>
        <v>0</v>
      </c>
      <c r="L85" s="71">
        <f>0</f>
        <v>0</v>
      </c>
      <c r="M85" s="71">
        <f>0</f>
        <v>0</v>
      </c>
      <c r="N85" s="71">
        <f>0</f>
        <v>0</v>
      </c>
      <c r="O85" s="71">
        <f>0</f>
        <v>0</v>
      </c>
      <c r="P85" s="71">
        <f>0</f>
        <v>0</v>
      </c>
      <c r="Q85" s="71">
        <f>0</f>
        <v>0</v>
      </c>
      <c r="R85" s="71">
        <f>0</f>
        <v>0</v>
      </c>
      <c r="S85" s="71">
        <f>0</f>
        <v>0</v>
      </c>
    </row>
    <row r="86" spans="1:19" ht="36" customHeight="1">
      <c r="A86" s="65" t="s">
        <v>268</v>
      </c>
      <c r="B86" s="72" t="s">
        <v>262</v>
      </c>
      <c r="C86" s="67">
        <f>0</f>
        <v>0</v>
      </c>
      <c r="D86" s="68">
        <f>0</f>
        <v>0</v>
      </c>
      <c r="E86" s="68">
        <f>0</f>
        <v>0</v>
      </c>
      <c r="F86" s="69">
        <f>0</f>
        <v>0</v>
      </c>
      <c r="G86" s="70">
        <f>0</f>
        <v>0</v>
      </c>
      <c r="H86" s="71">
        <f>0</f>
        <v>0</v>
      </c>
      <c r="I86" s="71">
        <f>0</f>
        <v>0</v>
      </c>
      <c r="J86" s="71">
        <f>0</f>
        <v>0</v>
      </c>
      <c r="K86" s="71">
        <f>0</f>
        <v>0</v>
      </c>
      <c r="L86" s="71">
        <f>0</f>
        <v>0</v>
      </c>
      <c r="M86" s="71">
        <f>0</f>
        <v>0</v>
      </c>
      <c r="N86" s="71">
        <f>0</f>
        <v>0</v>
      </c>
      <c r="O86" s="71">
        <f>0</f>
        <v>0</v>
      </c>
      <c r="P86" s="71">
        <f>0</f>
        <v>0</v>
      </c>
      <c r="Q86" s="71">
        <f>0</f>
        <v>0</v>
      </c>
      <c r="R86" s="71">
        <f>0</f>
        <v>0</v>
      </c>
      <c r="S86" s="71">
        <f>0</f>
        <v>0</v>
      </c>
    </row>
    <row r="87" spans="1:19" ht="84">
      <c r="A87" s="65" t="s">
        <v>269</v>
      </c>
      <c r="B87" s="66" t="s">
        <v>270</v>
      </c>
      <c r="C87" s="67">
        <f>0</f>
        <v>0</v>
      </c>
      <c r="D87" s="68">
        <f>0</f>
        <v>0</v>
      </c>
      <c r="E87" s="68">
        <f>0</f>
        <v>0</v>
      </c>
      <c r="F87" s="69">
        <f>0</f>
        <v>0</v>
      </c>
      <c r="G87" s="70">
        <f>0</f>
        <v>0</v>
      </c>
      <c r="H87" s="71">
        <f>0</f>
        <v>0</v>
      </c>
      <c r="I87" s="71">
        <f>0</f>
        <v>0</v>
      </c>
      <c r="J87" s="71">
        <f>0</f>
        <v>0</v>
      </c>
      <c r="K87" s="71">
        <f>0</f>
        <v>0</v>
      </c>
      <c r="L87" s="71">
        <f>0</f>
        <v>0</v>
      </c>
      <c r="M87" s="71">
        <f>0</f>
        <v>0</v>
      </c>
      <c r="N87" s="71">
        <f>0</f>
        <v>0</v>
      </c>
      <c r="O87" s="71">
        <f>0</f>
        <v>0</v>
      </c>
      <c r="P87" s="71">
        <f>0</f>
        <v>0</v>
      </c>
      <c r="Q87" s="71">
        <f>0</f>
        <v>0</v>
      </c>
      <c r="R87" s="71">
        <f>0</f>
        <v>0</v>
      </c>
      <c r="S87" s="71">
        <f>0</f>
        <v>0</v>
      </c>
    </row>
    <row r="88" spans="1:19" ht="36.75" customHeight="1">
      <c r="A88" s="65" t="s">
        <v>271</v>
      </c>
      <c r="B88" s="72" t="s">
        <v>262</v>
      </c>
      <c r="C88" s="67">
        <f>0</f>
        <v>0</v>
      </c>
      <c r="D88" s="68">
        <f>0</f>
        <v>0</v>
      </c>
      <c r="E88" s="68">
        <f>0</f>
        <v>0</v>
      </c>
      <c r="F88" s="69">
        <f>0</f>
        <v>0</v>
      </c>
      <c r="G88" s="70">
        <f>0</f>
        <v>0</v>
      </c>
      <c r="H88" s="71">
        <f>0</f>
        <v>0</v>
      </c>
      <c r="I88" s="71">
        <f>0</f>
        <v>0</v>
      </c>
      <c r="J88" s="71">
        <f>0</f>
        <v>0</v>
      </c>
      <c r="K88" s="71">
        <f>0</f>
        <v>0</v>
      </c>
      <c r="L88" s="71">
        <f>0</f>
        <v>0</v>
      </c>
      <c r="M88" s="71">
        <f>0</f>
        <v>0</v>
      </c>
      <c r="N88" s="71">
        <f>0</f>
        <v>0</v>
      </c>
      <c r="O88" s="71">
        <f>0</f>
        <v>0</v>
      </c>
      <c r="P88" s="71">
        <f>0</f>
        <v>0</v>
      </c>
      <c r="Q88" s="71">
        <f>0</f>
        <v>0</v>
      </c>
      <c r="R88" s="71">
        <f>0</f>
        <v>0</v>
      </c>
      <c r="S88" s="71">
        <f>0</f>
        <v>0</v>
      </c>
    </row>
    <row r="89" spans="1:19" ht="54.75" customHeight="1">
      <c r="A89" s="59">
        <v>13</v>
      </c>
      <c r="B89" s="91" t="s">
        <v>272</v>
      </c>
      <c r="C89" s="75" t="s">
        <v>191</v>
      </c>
      <c r="D89" s="76" t="s">
        <v>191</v>
      </c>
      <c r="E89" s="76" t="s">
        <v>191</v>
      </c>
      <c r="F89" s="77" t="s">
        <v>191</v>
      </c>
      <c r="G89" s="78" t="s">
        <v>191</v>
      </c>
      <c r="H89" s="79" t="s">
        <v>191</v>
      </c>
      <c r="I89" s="79" t="s">
        <v>191</v>
      </c>
      <c r="J89" s="79" t="s">
        <v>191</v>
      </c>
      <c r="K89" s="79" t="s">
        <v>191</v>
      </c>
      <c r="L89" s="79" t="s">
        <v>191</v>
      </c>
      <c r="M89" s="79" t="s">
        <v>191</v>
      </c>
      <c r="N89" s="79" t="s">
        <v>191</v>
      </c>
      <c r="O89" s="79" t="s">
        <v>191</v>
      </c>
      <c r="P89" s="79" t="s">
        <v>191</v>
      </c>
      <c r="Q89" s="79" t="s">
        <v>191</v>
      </c>
      <c r="R89" s="79" t="s">
        <v>191</v>
      </c>
      <c r="S89" s="79" t="s">
        <v>191</v>
      </c>
    </row>
    <row r="90" spans="1:19" ht="66.75" customHeight="1">
      <c r="A90" s="65" t="s">
        <v>273</v>
      </c>
      <c r="B90" s="66" t="s">
        <v>274</v>
      </c>
      <c r="C90" s="67">
        <f>3273809.57</f>
        <v>3273809.57</v>
      </c>
      <c r="D90" s="68">
        <f>2619047.69</f>
        <v>2619047.69</v>
      </c>
      <c r="E90" s="68">
        <f>1964286</f>
        <v>1964286</v>
      </c>
      <c r="F90" s="69">
        <f>1964285.81</f>
        <v>1964285.81</v>
      </c>
      <c r="G90" s="70">
        <f>1309524</f>
        <v>1309524</v>
      </c>
      <c r="H90" s="71">
        <f>654762</f>
        <v>654762</v>
      </c>
      <c r="I90" s="71">
        <f>0</f>
        <v>0</v>
      </c>
      <c r="J90" s="71">
        <f>0</f>
        <v>0</v>
      </c>
      <c r="K90" s="71">
        <f>0</f>
        <v>0</v>
      </c>
      <c r="L90" s="71">
        <f>0</f>
        <v>0</v>
      </c>
      <c r="M90" s="71">
        <f>0</f>
        <v>0</v>
      </c>
      <c r="N90" s="71">
        <f>0</f>
        <v>0</v>
      </c>
      <c r="O90" s="71">
        <f>0</f>
        <v>0</v>
      </c>
      <c r="P90" s="71">
        <f>0</f>
        <v>0</v>
      </c>
      <c r="Q90" s="71">
        <f>0</f>
        <v>0</v>
      </c>
      <c r="R90" s="71">
        <f>0</f>
        <v>0</v>
      </c>
      <c r="S90" s="71">
        <f>0</f>
        <v>0</v>
      </c>
    </row>
    <row r="91" spans="1:19" ht="60">
      <c r="A91" s="65" t="s">
        <v>275</v>
      </c>
      <c r="B91" s="66" t="s">
        <v>276</v>
      </c>
      <c r="C91" s="67">
        <f>0</f>
        <v>0</v>
      </c>
      <c r="D91" s="68">
        <f>0</f>
        <v>0</v>
      </c>
      <c r="E91" s="68">
        <f>0</f>
        <v>0</v>
      </c>
      <c r="F91" s="69">
        <f>0</f>
        <v>0</v>
      </c>
      <c r="G91" s="70">
        <f>0</f>
        <v>0</v>
      </c>
      <c r="H91" s="71">
        <f>0</f>
        <v>0</v>
      </c>
      <c r="I91" s="71">
        <f>0</f>
        <v>0</v>
      </c>
      <c r="J91" s="71">
        <f>0</f>
        <v>0</v>
      </c>
      <c r="K91" s="71">
        <f>0</f>
        <v>0</v>
      </c>
      <c r="L91" s="71">
        <f>0</f>
        <v>0</v>
      </c>
      <c r="M91" s="71">
        <f>0</f>
        <v>0</v>
      </c>
      <c r="N91" s="71">
        <f>0</f>
        <v>0</v>
      </c>
      <c r="O91" s="71">
        <f>0</f>
        <v>0</v>
      </c>
      <c r="P91" s="71">
        <f>0</f>
        <v>0</v>
      </c>
      <c r="Q91" s="71">
        <f>0</f>
        <v>0</v>
      </c>
      <c r="R91" s="71">
        <f>0</f>
        <v>0</v>
      </c>
      <c r="S91" s="71">
        <f>0</f>
        <v>0</v>
      </c>
    </row>
    <row r="92" spans="1:19" ht="48" customHeight="1">
      <c r="A92" s="65" t="s">
        <v>277</v>
      </c>
      <c r="B92" s="66" t="s">
        <v>278</v>
      </c>
      <c r="C92" s="67">
        <f>0</f>
        <v>0</v>
      </c>
      <c r="D92" s="68">
        <f>0</f>
        <v>0</v>
      </c>
      <c r="E92" s="68">
        <f>0</f>
        <v>0</v>
      </c>
      <c r="F92" s="69">
        <f>0</f>
        <v>0</v>
      </c>
      <c r="G92" s="70">
        <f>0</f>
        <v>0</v>
      </c>
      <c r="H92" s="71">
        <f>0</f>
        <v>0</v>
      </c>
      <c r="I92" s="71">
        <f>0</f>
        <v>0</v>
      </c>
      <c r="J92" s="71">
        <f>0</f>
        <v>0</v>
      </c>
      <c r="K92" s="71">
        <f>0</f>
        <v>0</v>
      </c>
      <c r="L92" s="71">
        <f>0</f>
        <v>0</v>
      </c>
      <c r="M92" s="71">
        <f>0</f>
        <v>0</v>
      </c>
      <c r="N92" s="71">
        <f>0</f>
        <v>0</v>
      </c>
      <c r="O92" s="71">
        <f>0</f>
        <v>0</v>
      </c>
      <c r="P92" s="71">
        <f>0</f>
        <v>0</v>
      </c>
      <c r="Q92" s="71">
        <f>0</f>
        <v>0</v>
      </c>
      <c r="R92" s="71">
        <f>0</f>
        <v>0</v>
      </c>
      <c r="S92" s="71">
        <f>0</f>
        <v>0</v>
      </c>
    </row>
    <row r="93" spans="1:19" ht="69.75" customHeight="1">
      <c r="A93" s="65" t="s">
        <v>279</v>
      </c>
      <c r="B93" s="66" t="s">
        <v>280</v>
      </c>
      <c r="C93" s="67">
        <f>654761.88</f>
        <v>654761.88</v>
      </c>
      <c r="D93" s="68">
        <f>654761.88</f>
        <v>654761.88</v>
      </c>
      <c r="E93" s="68">
        <f>654762</f>
        <v>654762</v>
      </c>
      <c r="F93" s="69">
        <f>654761.88</f>
        <v>654761.88</v>
      </c>
      <c r="G93" s="70">
        <f>654762</f>
        <v>654762</v>
      </c>
      <c r="H93" s="71">
        <f>654762</f>
        <v>654762</v>
      </c>
      <c r="I93" s="71">
        <f>654762</f>
        <v>654762</v>
      </c>
      <c r="J93" s="71">
        <f>0</f>
        <v>0</v>
      </c>
      <c r="K93" s="71">
        <f>0</f>
        <v>0</v>
      </c>
      <c r="L93" s="71">
        <f>0</f>
        <v>0</v>
      </c>
      <c r="M93" s="71">
        <f>0</f>
        <v>0</v>
      </c>
      <c r="N93" s="71">
        <f>0</f>
        <v>0</v>
      </c>
      <c r="O93" s="71">
        <f>0</f>
        <v>0</v>
      </c>
      <c r="P93" s="71">
        <f>0</f>
        <v>0</v>
      </c>
      <c r="Q93" s="71">
        <f>0</f>
        <v>0</v>
      </c>
      <c r="R93" s="71">
        <f>0</f>
        <v>0</v>
      </c>
      <c r="S93" s="71">
        <f>0</f>
        <v>0</v>
      </c>
    </row>
    <row r="94" spans="1:19" ht="70.5" customHeight="1">
      <c r="A94" s="65" t="s">
        <v>281</v>
      </c>
      <c r="B94" s="66" t="s">
        <v>282</v>
      </c>
      <c r="C94" s="67">
        <f>0</f>
        <v>0</v>
      </c>
      <c r="D94" s="68">
        <f>0</f>
        <v>0</v>
      </c>
      <c r="E94" s="68">
        <f>0</f>
        <v>0</v>
      </c>
      <c r="F94" s="69">
        <f>0</f>
        <v>0</v>
      </c>
      <c r="G94" s="70">
        <f>0</f>
        <v>0</v>
      </c>
      <c r="H94" s="71">
        <f>0</f>
        <v>0</v>
      </c>
      <c r="I94" s="71">
        <f>0</f>
        <v>0</v>
      </c>
      <c r="J94" s="71">
        <f>0</f>
        <v>0</v>
      </c>
      <c r="K94" s="71">
        <f>0</f>
        <v>0</v>
      </c>
      <c r="L94" s="71">
        <f>0</f>
        <v>0</v>
      </c>
      <c r="M94" s="71">
        <f>0</f>
        <v>0</v>
      </c>
      <c r="N94" s="71">
        <f>0</f>
        <v>0</v>
      </c>
      <c r="O94" s="71">
        <f>0</f>
        <v>0</v>
      </c>
      <c r="P94" s="71">
        <f>0</f>
        <v>0</v>
      </c>
      <c r="Q94" s="71">
        <f>0</f>
        <v>0</v>
      </c>
      <c r="R94" s="71">
        <f>0</f>
        <v>0</v>
      </c>
      <c r="S94" s="71">
        <f>0</f>
        <v>0</v>
      </c>
    </row>
    <row r="95" spans="1:19" ht="60.75" customHeight="1">
      <c r="A95" s="65" t="s">
        <v>283</v>
      </c>
      <c r="B95" s="66" t="s">
        <v>284</v>
      </c>
      <c r="C95" s="67">
        <f>0</f>
        <v>0</v>
      </c>
      <c r="D95" s="68">
        <f>0</f>
        <v>0</v>
      </c>
      <c r="E95" s="68">
        <f>0</f>
        <v>0</v>
      </c>
      <c r="F95" s="69">
        <f>0</f>
        <v>0</v>
      </c>
      <c r="G95" s="70">
        <f>0</f>
        <v>0</v>
      </c>
      <c r="H95" s="71">
        <f>0</f>
        <v>0</v>
      </c>
      <c r="I95" s="71">
        <f>0</f>
        <v>0</v>
      </c>
      <c r="J95" s="71">
        <f>0</f>
        <v>0</v>
      </c>
      <c r="K95" s="71">
        <f>0</f>
        <v>0</v>
      </c>
      <c r="L95" s="71">
        <f>0</f>
        <v>0</v>
      </c>
      <c r="M95" s="71">
        <f>0</f>
        <v>0</v>
      </c>
      <c r="N95" s="71">
        <f>0</f>
        <v>0</v>
      </c>
      <c r="O95" s="71">
        <f>0</f>
        <v>0</v>
      </c>
      <c r="P95" s="71">
        <f>0</f>
        <v>0</v>
      </c>
      <c r="Q95" s="71">
        <f>0</f>
        <v>0</v>
      </c>
      <c r="R95" s="71">
        <f>0</f>
        <v>0</v>
      </c>
      <c r="S95" s="71">
        <f>0</f>
        <v>0</v>
      </c>
    </row>
    <row r="96" spans="1:19" ht="45" customHeight="1">
      <c r="A96" s="65" t="s">
        <v>285</v>
      </c>
      <c r="B96" s="66" t="s">
        <v>286</v>
      </c>
      <c r="C96" s="67">
        <f>0</f>
        <v>0</v>
      </c>
      <c r="D96" s="68">
        <f>0</f>
        <v>0</v>
      </c>
      <c r="E96" s="68">
        <f>0</f>
        <v>0</v>
      </c>
      <c r="F96" s="69">
        <f>0</f>
        <v>0</v>
      </c>
      <c r="G96" s="70">
        <f>0</f>
        <v>0</v>
      </c>
      <c r="H96" s="71">
        <f>0</f>
        <v>0</v>
      </c>
      <c r="I96" s="71">
        <f>0</f>
        <v>0</v>
      </c>
      <c r="J96" s="71">
        <f>0</f>
        <v>0</v>
      </c>
      <c r="K96" s="71">
        <f>0</f>
        <v>0</v>
      </c>
      <c r="L96" s="71">
        <f>0</f>
        <v>0</v>
      </c>
      <c r="M96" s="71">
        <f>0</f>
        <v>0</v>
      </c>
      <c r="N96" s="71">
        <f>0</f>
        <v>0</v>
      </c>
      <c r="O96" s="71">
        <f>0</f>
        <v>0</v>
      </c>
      <c r="P96" s="71">
        <f>0</f>
        <v>0</v>
      </c>
      <c r="Q96" s="71">
        <f>0</f>
        <v>0</v>
      </c>
      <c r="R96" s="71">
        <f>0</f>
        <v>0</v>
      </c>
      <c r="S96" s="71">
        <f>0</f>
        <v>0</v>
      </c>
    </row>
    <row r="97" spans="1:19" ht="18.75" customHeight="1">
      <c r="A97" s="59">
        <v>14</v>
      </c>
      <c r="B97" s="101" t="s">
        <v>287</v>
      </c>
      <c r="C97" s="75" t="s">
        <v>191</v>
      </c>
      <c r="D97" s="76" t="s">
        <v>191</v>
      </c>
      <c r="E97" s="76" t="s">
        <v>191</v>
      </c>
      <c r="F97" s="77" t="s">
        <v>191</v>
      </c>
      <c r="G97" s="78" t="s">
        <v>191</v>
      </c>
      <c r="H97" s="79" t="s">
        <v>191</v>
      </c>
      <c r="I97" s="79" t="s">
        <v>191</v>
      </c>
      <c r="J97" s="79" t="s">
        <v>191</v>
      </c>
      <c r="K97" s="79" t="s">
        <v>191</v>
      </c>
      <c r="L97" s="79" t="s">
        <v>191</v>
      </c>
      <c r="M97" s="79" t="s">
        <v>191</v>
      </c>
      <c r="N97" s="79" t="s">
        <v>191</v>
      </c>
      <c r="O97" s="79" t="s">
        <v>191</v>
      </c>
      <c r="P97" s="79" t="s">
        <v>191</v>
      </c>
      <c r="Q97" s="79" t="s">
        <v>191</v>
      </c>
      <c r="R97" s="79" t="s">
        <v>191</v>
      </c>
      <c r="S97" s="79" t="s">
        <v>191</v>
      </c>
    </row>
    <row r="98" spans="1:19" ht="59.25" customHeight="1">
      <c r="A98" s="65" t="s">
        <v>288</v>
      </c>
      <c r="B98" s="66" t="s">
        <v>289</v>
      </c>
      <c r="C98" s="67">
        <f>7229323</f>
        <v>7229323</v>
      </c>
      <c r="D98" s="68">
        <f>6677276</f>
        <v>6677276</v>
      </c>
      <c r="E98" s="68">
        <f>6560935</f>
        <v>6560935</v>
      </c>
      <c r="F98" s="69">
        <f>6560935</f>
        <v>6560935</v>
      </c>
      <c r="G98" s="70">
        <f>5788270</f>
        <v>5788270</v>
      </c>
      <c r="H98" s="71">
        <f>5164612</f>
        <v>5164612</v>
      </c>
      <c r="I98" s="71">
        <f>4342000</f>
        <v>4342000</v>
      </c>
      <c r="J98" s="71">
        <f>4442000</f>
        <v>4442000</v>
      </c>
      <c r="K98" s="71">
        <f>3742000</f>
        <v>3742000</v>
      </c>
      <c r="L98" s="71">
        <f>3892000</f>
        <v>3892000</v>
      </c>
      <c r="M98" s="71">
        <f>3992000</f>
        <v>3992000</v>
      </c>
      <c r="N98" s="71">
        <f>3700000</f>
        <v>3700000</v>
      </c>
      <c r="O98" s="71">
        <f>3700000</f>
        <v>3700000</v>
      </c>
      <c r="P98" s="71">
        <f>3700000</f>
        <v>3700000</v>
      </c>
      <c r="Q98" s="71">
        <f>2300000</f>
        <v>2300000</v>
      </c>
      <c r="R98" s="71">
        <f>1700000</f>
        <v>1700000</v>
      </c>
      <c r="S98" s="71">
        <f>1700000</f>
        <v>1700000</v>
      </c>
    </row>
    <row r="99" spans="1:19" ht="34.5" customHeight="1">
      <c r="A99" s="65" t="s">
        <v>290</v>
      </c>
      <c r="B99" s="66" t="s">
        <v>291</v>
      </c>
      <c r="C99" s="67">
        <f>3273809.57</f>
        <v>3273809.57</v>
      </c>
      <c r="D99" s="68">
        <f>2619047.69</f>
        <v>2619047.69</v>
      </c>
      <c r="E99" s="68">
        <f>1964286</f>
        <v>1964286</v>
      </c>
      <c r="F99" s="69">
        <f>1964285.81</f>
        <v>1964285.81</v>
      </c>
      <c r="G99" s="70">
        <f>1309524</f>
        <v>1309524</v>
      </c>
      <c r="H99" s="71">
        <f>654762</f>
        <v>654762</v>
      </c>
      <c r="I99" s="71">
        <f>0</f>
        <v>0</v>
      </c>
      <c r="J99" s="71">
        <f>0</f>
        <v>0</v>
      </c>
      <c r="K99" s="71">
        <f>0</f>
        <v>0</v>
      </c>
      <c r="L99" s="71">
        <f>0</f>
        <v>0</v>
      </c>
      <c r="M99" s="71">
        <f>0</f>
        <v>0</v>
      </c>
      <c r="N99" s="71">
        <f>0</f>
        <v>0</v>
      </c>
      <c r="O99" s="71">
        <f>0</f>
        <v>0</v>
      </c>
      <c r="P99" s="71">
        <f>0</f>
        <v>0</v>
      </c>
      <c r="Q99" s="71">
        <f>0</f>
        <v>0</v>
      </c>
      <c r="R99" s="71">
        <f>0</f>
        <v>0</v>
      </c>
      <c r="S99" s="71">
        <f>0</f>
        <v>0</v>
      </c>
    </row>
    <row r="100" spans="1:19" ht="18.75" customHeight="1">
      <c r="A100" s="65" t="s">
        <v>292</v>
      </c>
      <c r="B100" s="66" t="s">
        <v>293</v>
      </c>
      <c r="C100" s="67">
        <f>654761.88</f>
        <v>654761.88</v>
      </c>
      <c r="D100" s="68">
        <f>654761.88</f>
        <v>654761.88</v>
      </c>
      <c r="E100" s="68">
        <f>654762</f>
        <v>654762</v>
      </c>
      <c r="F100" s="69">
        <f>654761.88</f>
        <v>654761.88</v>
      </c>
      <c r="G100" s="70">
        <f>654762</f>
        <v>654762</v>
      </c>
      <c r="H100" s="71">
        <f>654762</f>
        <v>654762</v>
      </c>
      <c r="I100" s="71">
        <f>654762</f>
        <v>654762</v>
      </c>
      <c r="J100" s="71">
        <f>0</f>
        <v>0</v>
      </c>
      <c r="K100" s="71">
        <f>0</f>
        <v>0</v>
      </c>
      <c r="L100" s="71">
        <f>0</f>
        <v>0</v>
      </c>
      <c r="M100" s="71">
        <f>0</f>
        <v>0</v>
      </c>
      <c r="N100" s="71">
        <f>0</f>
        <v>0</v>
      </c>
      <c r="O100" s="71">
        <f>0</f>
        <v>0</v>
      </c>
      <c r="P100" s="71">
        <f>0</f>
        <v>0</v>
      </c>
      <c r="Q100" s="71">
        <f>0</f>
        <v>0</v>
      </c>
      <c r="R100" s="71">
        <f>0</f>
        <v>0</v>
      </c>
      <c r="S100" s="71">
        <f>0</f>
        <v>0</v>
      </c>
    </row>
    <row r="101" spans="1:19" ht="33" customHeight="1">
      <c r="A101" s="65" t="s">
        <v>294</v>
      </c>
      <c r="B101" s="72" t="s">
        <v>295</v>
      </c>
      <c r="C101" s="67">
        <f>0</f>
        <v>0</v>
      </c>
      <c r="D101" s="68">
        <f>0</f>
        <v>0</v>
      </c>
      <c r="E101" s="68">
        <f>0</f>
        <v>0</v>
      </c>
      <c r="F101" s="69">
        <f>0</f>
        <v>0</v>
      </c>
      <c r="G101" s="70">
        <f>0</f>
        <v>0</v>
      </c>
      <c r="H101" s="71">
        <f>0</f>
        <v>0</v>
      </c>
      <c r="I101" s="71">
        <f>0</f>
        <v>0</v>
      </c>
      <c r="J101" s="71">
        <f>0</f>
        <v>0</v>
      </c>
      <c r="K101" s="71">
        <f>0</f>
        <v>0</v>
      </c>
      <c r="L101" s="71">
        <f>0</f>
        <v>0</v>
      </c>
      <c r="M101" s="71">
        <f>0</f>
        <v>0</v>
      </c>
      <c r="N101" s="71">
        <f>0</f>
        <v>0</v>
      </c>
      <c r="O101" s="71">
        <f>0</f>
        <v>0</v>
      </c>
      <c r="P101" s="71">
        <f>0</f>
        <v>0</v>
      </c>
      <c r="Q101" s="71">
        <f>0</f>
        <v>0</v>
      </c>
      <c r="R101" s="71">
        <f>0</f>
        <v>0</v>
      </c>
      <c r="S101" s="71">
        <f>0</f>
        <v>0</v>
      </c>
    </row>
    <row r="102" spans="1:19" ht="50.25" customHeight="1">
      <c r="A102" s="65" t="s">
        <v>296</v>
      </c>
      <c r="B102" s="72" t="s">
        <v>297</v>
      </c>
      <c r="C102" s="67">
        <f>654761.88</f>
        <v>654761.88</v>
      </c>
      <c r="D102" s="68">
        <f>654761.88</f>
        <v>654761.88</v>
      </c>
      <c r="E102" s="68">
        <f>654762</f>
        <v>654762</v>
      </c>
      <c r="F102" s="69">
        <f>654761.88</f>
        <v>654761.88</v>
      </c>
      <c r="G102" s="70">
        <f>654762</f>
        <v>654762</v>
      </c>
      <c r="H102" s="71">
        <f>654762</f>
        <v>654762</v>
      </c>
      <c r="I102" s="71">
        <f>654762</f>
        <v>654762</v>
      </c>
      <c r="J102" s="71">
        <f>0</f>
        <v>0</v>
      </c>
      <c r="K102" s="71">
        <f>0</f>
        <v>0</v>
      </c>
      <c r="L102" s="71">
        <f>0</f>
        <v>0</v>
      </c>
      <c r="M102" s="71">
        <f>0</f>
        <v>0</v>
      </c>
      <c r="N102" s="71">
        <f>0</f>
        <v>0</v>
      </c>
      <c r="O102" s="71">
        <f>0</f>
        <v>0</v>
      </c>
      <c r="P102" s="71">
        <f>0</f>
        <v>0</v>
      </c>
      <c r="Q102" s="71">
        <f>0</f>
        <v>0</v>
      </c>
      <c r="R102" s="71">
        <f>0</f>
        <v>0</v>
      </c>
      <c r="S102" s="71">
        <f>0</f>
        <v>0</v>
      </c>
    </row>
    <row r="103" spans="1:19" ht="36.75" customHeight="1">
      <c r="A103" s="65" t="s">
        <v>298</v>
      </c>
      <c r="B103" s="72" t="s">
        <v>299</v>
      </c>
      <c r="C103" s="67">
        <f>0</f>
        <v>0</v>
      </c>
      <c r="D103" s="68">
        <f>0</f>
        <v>0</v>
      </c>
      <c r="E103" s="68">
        <f>0</f>
        <v>0</v>
      </c>
      <c r="F103" s="69">
        <f>0</f>
        <v>0</v>
      </c>
      <c r="G103" s="70">
        <f>0</f>
        <v>0</v>
      </c>
      <c r="H103" s="71">
        <f>0</f>
        <v>0</v>
      </c>
      <c r="I103" s="71">
        <f>0</f>
        <v>0</v>
      </c>
      <c r="J103" s="71">
        <f>0</f>
        <v>0</v>
      </c>
      <c r="K103" s="71">
        <f>0</f>
        <v>0</v>
      </c>
      <c r="L103" s="71">
        <f>0</f>
        <v>0</v>
      </c>
      <c r="M103" s="71">
        <f>0</f>
        <v>0</v>
      </c>
      <c r="N103" s="71">
        <f>0</f>
        <v>0</v>
      </c>
      <c r="O103" s="71">
        <f>0</f>
        <v>0</v>
      </c>
      <c r="P103" s="71">
        <f>0</f>
        <v>0</v>
      </c>
      <c r="Q103" s="71">
        <f>0</f>
        <v>0</v>
      </c>
      <c r="R103" s="71">
        <f>0</f>
        <v>0</v>
      </c>
      <c r="S103" s="71">
        <f>0</f>
        <v>0</v>
      </c>
    </row>
    <row r="104" spans="1:19" ht="36" customHeight="1">
      <c r="A104" s="92" t="s">
        <v>300</v>
      </c>
      <c r="B104" s="93" t="s">
        <v>301</v>
      </c>
      <c r="C104" s="94">
        <f>0</f>
        <v>0</v>
      </c>
      <c r="D104" s="95">
        <f>0</f>
        <v>0</v>
      </c>
      <c r="E104" s="95">
        <f>0</f>
        <v>0</v>
      </c>
      <c r="F104" s="96">
        <f>0</f>
        <v>0</v>
      </c>
      <c r="G104" s="97">
        <f>0</f>
        <v>0</v>
      </c>
      <c r="H104" s="98">
        <f>0</f>
        <v>0</v>
      </c>
      <c r="I104" s="98">
        <f>0</f>
        <v>0</v>
      </c>
      <c r="J104" s="98">
        <f>0</f>
        <v>0</v>
      </c>
      <c r="K104" s="98">
        <f>0</f>
        <v>0</v>
      </c>
      <c r="L104" s="98">
        <f>0</f>
        <v>0</v>
      </c>
      <c r="M104" s="98">
        <f>0</f>
        <v>0</v>
      </c>
      <c r="N104" s="98">
        <f>0</f>
        <v>0</v>
      </c>
      <c r="O104" s="98">
        <f>0</f>
        <v>0</v>
      </c>
      <c r="P104" s="98">
        <f>0</f>
        <v>0</v>
      </c>
      <c r="Q104" s="98">
        <f>0</f>
        <v>0</v>
      </c>
      <c r="R104" s="98">
        <f>0</f>
        <v>0</v>
      </c>
      <c r="S104" s="98">
        <f>0</f>
        <v>0</v>
      </c>
    </row>
  </sheetData>
  <sheetProtection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3385826771653544" bottom="1.299212598425197" header="0.74803149606299213" footer="0.43307086614173229"/>
  <pageSetup paperSize="9" scale="58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2" manualBreakCount="2">
    <brk id="46" max="18" man="1"/>
    <brk id="8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118" zoomScaleNormal="118" workbookViewId="0">
      <pane ySplit="4" topLeftCell="A23" activePane="bottomLeft" state="frozen"/>
      <selection pane="bottomLeft" activeCell="N57" sqref="N57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 customHeight="1"/>
    <row r="3" spans="1:12" ht="31.5" customHeight="1">
      <c r="A3" s="127" t="s">
        <v>1</v>
      </c>
      <c r="B3" s="127" t="s">
        <v>2</v>
      </c>
      <c r="C3" s="127" t="s">
        <v>3</v>
      </c>
      <c r="D3" s="127" t="s">
        <v>4</v>
      </c>
      <c r="E3" s="127"/>
      <c r="F3" s="127" t="s">
        <v>5</v>
      </c>
      <c r="G3" s="128"/>
      <c r="H3" s="128"/>
      <c r="I3" s="117"/>
      <c r="J3" s="117"/>
      <c r="K3" s="117"/>
      <c r="L3" s="127" t="s">
        <v>6</v>
      </c>
    </row>
    <row r="4" spans="1:12" s="2" customFormat="1" ht="23.25" customHeight="1">
      <c r="A4" s="127"/>
      <c r="B4" s="127"/>
      <c r="C4" s="127"/>
      <c r="D4" s="116" t="s">
        <v>7</v>
      </c>
      <c r="E4" s="116" t="s">
        <v>8</v>
      </c>
      <c r="F4" s="127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27"/>
    </row>
    <row r="5" spans="1:12" s="46" customFormat="1" ht="1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</row>
    <row r="6" spans="1:12" s="7" customFormat="1" ht="18.75" customHeight="1">
      <c r="A6" s="5" t="s">
        <v>9</v>
      </c>
      <c r="B6" s="125" t="s">
        <v>10</v>
      </c>
      <c r="C6" s="125"/>
      <c r="D6" s="125"/>
      <c r="E6" s="125"/>
      <c r="F6" s="6">
        <f t="shared" ref="F6:L7" si="0">SUM(F9,F19,F22)</f>
        <v>44550021</v>
      </c>
      <c r="G6" s="6">
        <f t="shared" si="0"/>
        <v>8672009</v>
      </c>
      <c r="H6" s="6">
        <f t="shared" si="0"/>
        <v>10433315</v>
      </c>
      <c r="I6" s="6">
        <f t="shared" si="0"/>
        <v>9277941</v>
      </c>
      <c r="J6" s="6">
        <f t="shared" si="0"/>
        <v>5003541</v>
      </c>
      <c r="K6" s="6">
        <f t="shared" si="0"/>
        <v>903540</v>
      </c>
      <c r="L6" s="6">
        <f t="shared" si="0"/>
        <v>34290346</v>
      </c>
    </row>
    <row r="7" spans="1:12" s="7" customFormat="1" ht="18.75" customHeight="1">
      <c r="A7" s="5" t="s">
        <v>11</v>
      </c>
      <c r="B7" s="125" t="s">
        <v>12</v>
      </c>
      <c r="C7" s="125"/>
      <c r="D7" s="125"/>
      <c r="E7" s="125"/>
      <c r="F7" s="6">
        <f t="shared" si="0"/>
        <v>9010936</v>
      </c>
      <c r="G7" s="6">
        <f t="shared" si="0"/>
        <v>2635437</v>
      </c>
      <c r="H7" s="6">
        <f t="shared" si="0"/>
        <v>1743315</v>
      </c>
      <c r="I7" s="6">
        <f t="shared" si="0"/>
        <v>1277941</v>
      </c>
      <c r="J7" s="6">
        <f t="shared" si="0"/>
        <v>903541</v>
      </c>
      <c r="K7" s="6">
        <f t="shared" si="0"/>
        <v>903540</v>
      </c>
      <c r="L7" s="6">
        <f t="shared" si="0"/>
        <v>7463774</v>
      </c>
    </row>
    <row r="8" spans="1:12" s="7" customFormat="1" ht="18.75" customHeight="1">
      <c r="A8" s="5" t="s">
        <v>13</v>
      </c>
      <c r="B8" s="125" t="s">
        <v>14</v>
      </c>
      <c r="C8" s="125"/>
      <c r="D8" s="125"/>
      <c r="E8" s="125"/>
      <c r="F8" s="6">
        <f t="shared" ref="F8:L8" si="1">SUM(F17,F21,F26)</f>
        <v>35539085</v>
      </c>
      <c r="G8" s="6">
        <f t="shared" si="1"/>
        <v>6036572</v>
      </c>
      <c r="H8" s="6">
        <f t="shared" si="1"/>
        <v>8690000</v>
      </c>
      <c r="I8" s="6">
        <f t="shared" si="1"/>
        <v>8000000</v>
      </c>
      <c r="J8" s="6">
        <f>SUM(J17,J21,J26)</f>
        <v>4100000</v>
      </c>
      <c r="K8" s="6">
        <f t="shared" si="1"/>
        <v>0</v>
      </c>
      <c r="L8" s="6">
        <f t="shared" si="1"/>
        <v>26826572</v>
      </c>
    </row>
    <row r="9" spans="1:12" s="9" customFormat="1" ht="48.75" customHeight="1">
      <c r="A9" s="5" t="s">
        <v>15</v>
      </c>
      <c r="B9" s="125" t="s">
        <v>16</v>
      </c>
      <c r="C9" s="125"/>
      <c r="D9" s="125"/>
      <c r="E9" s="125"/>
      <c r="F9" s="8">
        <f>SUM(F10,F17)</f>
        <v>7728093</v>
      </c>
      <c r="G9" s="8">
        <f>SUM(G10,G17)</f>
        <v>2329609</v>
      </c>
      <c r="H9" s="8">
        <f>SUM(H10,H17)</f>
        <v>1368915</v>
      </c>
      <c r="I9" s="8">
        <f t="shared" ref="I9:K9" si="2">SUM(I10,I17)</f>
        <v>903541</v>
      </c>
      <c r="J9" s="8">
        <f t="shared" si="2"/>
        <v>903541</v>
      </c>
      <c r="K9" s="8">
        <f t="shared" si="2"/>
        <v>903540</v>
      </c>
      <c r="L9" s="8">
        <f>SUM(L10,L17)</f>
        <v>6409146</v>
      </c>
    </row>
    <row r="10" spans="1:12" s="7" customFormat="1" ht="18.75" customHeight="1">
      <c r="A10" s="5" t="s">
        <v>17</v>
      </c>
      <c r="B10" s="125" t="s">
        <v>12</v>
      </c>
      <c r="C10" s="125"/>
      <c r="D10" s="125"/>
      <c r="E10" s="125"/>
      <c r="F10" s="6">
        <f>SUM(F11:F16)</f>
        <v>7405976</v>
      </c>
      <c r="G10" s="6">
        <f t="shared" ref="G10:K10" si="3">SUM(G11:G16)</f>
        <v>2259037</v>
      </c>
      <c r="H10" s="6">
        <f t="shared" si="3"/>
        <v>1368915</v>
      </c>
      <c r="I10" s="6">
        <f t="shared" si="3"/>
        <v>903541</v>
      </c>
      <c r="J10" s="6">
        <f t="shared" si="3"/>
        <v>903541</v>
      </c>
      <c r="K10" s="6">
        <f t="shared" si="3"/>
        <v>903540</v>
      </c>
      <c r="L10" s="6">
        <f>SUM(L11:L16)</f>
        <v>6338574</v>
      </c>
    </row>
    <row r="11" spans="1:12" s="115" customFormat="1" ht="42" customHeight="1">
      <c r="A11" s="111" t="s">
        <v>113</v>
      </c>
      <c r="B11" s="112" t="s">
        <v>21</v>
      </c>
      <c r="C11" s="113" t="s">
        <v>18</v>
      </c>
      <c r="D11" s="111">
        <v>2017</v>
      </c>
      <c r="E11" s="111">
        <v>2019</v>
      </c>
      <c r="F11" s="114">
        <v>514780</v>
      </c>
      <c r="G11" s="114">
        <f>239726+23029</f>
        <v>262755</v>
      </c>
      <c r="H11" s="114"/>
      <c r="I11" s="114"/>
      <c r="J11" s="114"/>
      <c r="K11" s="114"/>
      <c r="L11" s="114">
        <f>SUM(G11:K11)</f>
        <v>262755</v>
      </c>
    </row>
    <row r="12" spans="1:12" s="115" customFormat="1" ht="42" customHeight="1">
      <c r="A12" s="111" t="s">
        <v>114</v>
      </c>
      <c r="B12" s="112" t="s">
        <v>23</v>
      </c>
      <c r="C12" s="113" t="s">
        <v>19</v>
      </c>
      <c r="D12" s="111">
        <v>2018</v>
      </c>
      <c r="E12" s="111">
        <v>2019</v>
      </c>
      <c r="F12" s="114">
        <v>645924</v>
      </c>
      <c r="G12" s="114">
        <f>129185+2</f>
        <v>129187</v>
      </c>
      <c r="H12" s="114"/>
      <c r="I12" s="114"/>
      <c r="J12" s="114"/>
      <c r="K12" s="114"/>
      <c r="L12" s="114">
        <f t="shared" ref="L12:L16" si="4">SUM(G12:K12)</f>
        <v>129187</v>
      </c>
    </row>
    <row r="13" spans="1:12" s="115" customFormat="1" ht="48" customHeight="1">
      <c r="A13" s="111" t="s">
        <v>115</v>
      </c>
      <c r="B13" s="112" t="s">
        <v>24</v>
      </c>
      <c r="C13" s="113" t="s">
        <v>18</v>
      </c>
      <c r="D13" s="111">
        <v>2018</v>
      </c>
      <c r="E13" s="111">
        <v>2020</v>
      </c>
      <c r="F13" s="114">
        <v>2794923</v>
      </c>
      <c r="G13" s="114">
        <f>1182832+98550</f>
        <v>1281382</v>
      </c>
      <c r="H13" s="114">
        <f>1197543+17358</f>
        <v>1214901</v>
      </c>
      <c r="I13" s="114"/>
      <c r="J13" s="114"/>
      <c r="K13" s="114"/>
      <c r="L13" s="114">
        <f t="shared" si="4"/>
        <v>2496283</v>
      </c>
    </row>
    <row r="14" spans="1:12" s="14" customFormat="1" ht="54" customHeight="1">
      <c r="A14" s="12" t="s">
        <v>20</v>
      </c>
      <c r="B14" s="10" t="s">
        <v>110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302</v>
      </c>
      <c r="B16" s="10" t="s">
        <v>303</v>
      </c>
      <c r="C16" s="11" t="s">
        <v>304</v>
      </c>
      <c r="D16" s="12">
        <v>2018</v>
      </c>
      <c r="E16" s="12">
        <v>2020</v>
      </c>
      <c r="F16" s="16">
        <v>96210</v>
      </c>
      <c r="G16" s="16">
        <v>76968</v>
      </c>
      <c r="H16" s="16">
        <v>19242</v>
      </c>
      <c r="I16" s="16"/>
      <c r="J16" s="16"/>
      <c r="K16" s="16"/>
      <c r="L16" s="13">
        <f t="shared" si="4"/>
        <v>96210</v>
      </c>
    </row>
    <row r="17" spans="1:14" s="7" customFormat="1" ht="18.75" customHeight="1">
      <c r="A17" s="5" t="s">
        <v>26</v>
      </c>
      <c r="B17" s="125" t="s">
        <v>14</v>
      </c>
      <c r="C17" s="125"/>
      <c r="D17" s="125"/>
      <c r="E17" s="125"/>
      <c r="F17" s="6">
        <f>SUM(F18:F18)</f>
        <v>322117</v>
      </c>
      <c r="G17" s="6">
        <f t="shared" ref="G17:L17" si="5">SUM(G18:G18)</f>
        <v>70572</v>
      </c>
      <c r="H17" s="6">
        <f>SUM(H18:H18)</f>
        <v>0</v>
      </c>
      <c r="I17" s="6">
        <f t="shared" si="5"/>
        <v>0</v>
      </c>
      <c r="J17" s="6"/>
      <c r="K17" s="6"/>
      <c r="L17" s="6">
        <f t="shared" si="5"/>
        <v>70572</v>
      </c>
      <c r="M17" s="15"/>
      <c r="N17" s="15"/>
    </row>
    <row r="18" spans="1:14" s="14" customFormat="1" ht="44.25" customHeight="1">
      <c r="A18" s="39" t="s">
        <v>27</v>
      </c>
      <c r="B18" s="10" t="s">
        <v>28</v>
      </c>
      <c r="C18" s="11" t="s">
        <v>29</v>
      </c>
      <c r="D18" s="12">
        <v>2016</v>
      </c>
      <c r="E18" s="12">
        <v>2019</v>
      </c>
      <c r="F18" s="13">
        <f>322117</f>
        <v>322117</v>
      </c>
      <c r="G18" s="13">
        <v>70572</v>
      </c>
      <c r="H18" s="13"/>
      <c r="I18" s="13"/>
      <c r="J18" s="13"/>
      <c r="K18" s="13"/>
      <c r="L18" s="13">
        <f>SUM(G18:K18)</f>
        <v>70572</v>
      </c>
    </row>
    <row r="19" spans="1:14" s="9" customFormat="1" ht="18.75" customHeight="1">
      <c r="A19" s="5" t="s">
        <v>30</v>
      </c>
      <c r="B19" s="125" t="s">
        <v>31</v>
      </c>
      <c r="C19" s="125"/>
      <c r="D19" s="125"/>
      <c r="E19" s="125"/>
      <c r="F19" s="8">
        <f t="shared" ref="F19:K19" si="6">SUM(F20:F21)</f>
        <v>0</v>
      </c>
      <c r="G19" s="8">
        <f t="shared" si="6"/>
        <v>0</v>
      </c>
      <c r="H19" s="8">
        <f>SUM(H20:H21)</f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>SUM(G19:H19)</f>
        <v>0</v>
      </c>
    </row>
    <row r="20" spans="1:14" s="9" customFormat="1" ht="18.75" customHeight="1">
      <c r="A20" s="5" t="s">
        <v>32</v>
      </c>
      <c r="B20" s="125" t="s">
        <v>12</v>
      </c>
      <c r="C20" s="125"/>
      <c r="D20" s="125"/>
      <c r="E20" s="125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SUM(G20:H20)</f>
        <v>0</v>
      </c>
    </row>
    <row r="21" spans="1:14" s="9" customFormat="1" ht="18.75" customHeight="1">
      <c r="A21" s="5" t="s">
        <v>33</v>
      </c>
      <c r="B21" s="125" t="s">
        <v>14</v>
      </c>
      <c r="C21" s="125"/>
      <c r="D21" s="125"/>
      <c r="E21" s="125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>SUM(G21:H21)</f>
        <v>0</v>
      </c>
    </row>
    <row r="22" spans="1:14" s="9" customFormat="1" ht="18.75" customHeight="1">
      <c r="A22" s="5" t="s">
        <v>34</v>
      </c>
      <c r="B22" s="125" t="s">
        <v>35</v>
      </c>
      <c r="C22" s="125"/>
      <c r="D22" s="125"/>
      <c r="E22" s="125"/>
      <c r="F22" s="8">
        <f>SUM(F23,F26)</f>
        <v>36821928</v>
      </c>
      <c r="G22" s="8">
        <f>SUM(G23,G26)</f>
        <v>6342400</v>
      </c>
      <c r="H22" s="8">
        <f>SUM(H23,H26)</f>
        <v>9064400</v>
      </c>
      <c r="I22" s="8">
        <f>SUM(I23,I26)</f>
        <v>8374400</v>
      </c>
      <c r="J22" s="8">
        <f t="shared" ref="J22:K22" si="7">SUM(J23,J26)</f>
        <v>4100000</v>
      </c>
      <c r="K22" s="8">
        <f t="shared" si="7"/>
        <v>0</v>
      </c>
      <c r="L22" s="8">
        <f>SUM(L23,L26)</f>
        <v>27881200</v>
      </c>
    </row>
    <row r="23" spans="1:14" s="9" customFormat="1" ht="18.75" customHeight="1">
      <c r="A23" s="5" t="s">
        <v>36</v>
      </c>
      <c r="B23" s="125" t="s">
        <v>12</v>
      </c>
      <c r="C23" s="125"/>
      <c r="D23" s="125"/>
      <c r="E23" s="125"/>
      <c r="F23" s="8">
        <f>SUM(F24:F25)</f>
        <v>1604960</v>
      </c>
      <c r="G23" s="8">
        <f t="shared" ref="G23:H23" si="8">SUM(G24:G25)</f>
        <v>376400</v>
      </c>
      <c r="H23" s="8">
        <f t="shared" si="8"/>
        <v>374400</v>
      </c>
      <c r="I23" s="8">
        <f>SUM(I24:I25)</f>
        <v>374400</v>
      </c>
      <c r="J23" s="8"/>
      <c r="K23" s="8"/>
      <c r="L23" s="8">
        <f>SUM(L24:L25)</f>
        <v>1125200</v>
      </c>
    </row>
    <row r="24" spans="1:14" s="17" customFormat="1" ht="36" customHeight="1">
      <c r="A24" s="12" t="s">
        <v>37</v>
      </c>
      <c r="B24" s="10" t="s">
        <v>38</v>
      </c>
      <c r="C24" s="11" t="s">
        <v>29</v>
      </c>
      <c r="D24" s="12">
        <v>2017</v>
      </c>
      <c r="E24" s="12">
        <v>2019</v>
      </c>
      <c r="F24" s="16">
        <f>240000+5000</f>
        <v>245000</v>
      </c>
      <c r="G24" s="16">
        <v>80000</v>
      </c>
      <c r="H24" s="16"/>
      <c r="I24" s="16"/>
      <c r="J24" s="16"/>
      <c r="K24" s="16"/>
      <c r="L24" s="16">
        <f>SUM(G24:K24)</f>
        <v>80000</v>
      </c>
    </row>
    <row r="25" spans="1:14" s="14" customFormat="1" ht="52.5" customHeight="1">
      <c r="A25" s="12" t="s">
        <v>39</v>
      </c>
      <c r="B25" s="10" t="s">
        <v>40</v>
      </c>
      <c r="C25" s="11" t="s">
        <v>41</v>
      </c>
      <c r="D25" s="12">
        <v>2017</v>
      </c>
      <c r="E25" s="12">
        <v>2021</v>
      </c>
      <c r="F25" s="13">
        <v>1359960</v>
      </c>
      <c r="G25" s="13">
        <v>296400</v>
      </c>
      <c r="H25" s="13">
        <v>374400</v>
      </c>
      <c r="I25" s="13">
        <v>374400</v>
      </c>
      <c r="J25" s="13"/>
      <c r="K25" s="13"/>
      <c r="L25" s="13">
        <f>SUM(G25:K25)</f>
        <v>1045200</v>
      </c>
    </row>
    <row r="26" spans="1:14" s="9" customFormat="1" ht="18.75" customHeight="1">
      <c r="A26" s="5" t="s">
        <v>42</v>
      </c>
      <c r="B26" s="125" t="s">
        <v>14</v>
      </c>
      <c r="C26" s="125"/>
      <c r="D26" s="125"/>
      <c r="E26" s="125"/>
      <c r="F26" s="8">
        <f t="shared" ref="F26:L26" si="9">SUM(F27:F60)</f>
        <v>35216968</v>
      </c>
      <c r="G26" s="8">
        <f t="shared" si="9"/>
        <v>5966000</v>
      </c>
      <c r="H26" s="8">
        <f t="shared" si="9"/>
        <v>8690000</v>
      </c>
      <c r="I26" s="8">
        <f t="shared" si="9"/>
        <v>8000000</v>
      </c>
      <c r="J26" s="8">
        <f t="shared" si="9"/>
        <v>4100000</v>
      </c>
      <c r="K26" s="8">
        <f t="shared" si="9"/>
        <v>0</v>
      </c>
      <c r="L26" s="8">
        <f t="shared" si="9"/>
        <v>26756000</v>
      </c>
    </row>
    <row r="27" spans="1:14" s="14" customFormat="1" ht="35.25" customHeight="1">
      <c r="A27" s="12" t="s">
        <v>43</v>
      </c>
      <c r="B27" s="10" t="s">
        <v>44</v>
      </c>
      <c r="C27" s="11" t="s">
        <v>45</v>
      </c>
      <c r="D27" s="12">
        <v>2014</v>
      </c>
      <c r="E27" s="12">
        <v>2020</v>
      </c>
      <c r="F27" s="13">
        <v>744637</v>
      </c>
      <c r="G27" s="13">
        <v>0</v>
      </c>
      <c r="H27" s="13">
        <v>150000</v>
      </c>
      <c r="I27" s="13"/>
      <c r="J27" s="13"/>
      <c r="K27" s="13"/>
      <c r="L27" s="13">
        <f>SUM(G27:K27)</f>
        <v>150000</v>
      </c>
    </row>
    <row r="28" spans="1:14" s="14" customFormat="1" ht="35.25" customHeight="1">
      <c r="A28" s="12" t="s">
        <v>46</v>
      </c>
      <c r="B28" s="10" t="s">
        <v>112</v>
      </c>
      <c r="C28" s="11" t="s">
        <v>45</v>
      </c>
      <c r="D28" s="12">
        <v>2015</v>
      </c>
      <c r="E28" s="12">
        <v>2019</v>
      </c>
      <c r="F28" s="13">
        <f>750000+200000</f>
        <v>950000</v>
      </c>
      <c r="G28" s="13">
        <v>200000</v>
      </c>
      <c r="H28" s="13"/>
      <c r="I28" s="13"/>
      <c r="J28" s="13"/>
      <c r="K28" s="13"/>
      <c r="L28" s="13">
        <f t="shared" ref="L28:L60" si="10">SUM(G28:K28)</f>
        <v>200000</v>
      </c>
    </row>
    <row r="29" spans="1:14" s="14" customFormat="1" ht="51" customHeight="1">
      <c r="A29" s="12" t="s">
        <v>47</v>
      </c>
      <c r="B29" s="10" t="s">
        <v>49</v>
      </c>
      <c r="C29" s="11" t="s">
        <v>29</v>
      </c>
      <c r="D29" s="12">
        <v>2011</v>
      </c>
      <c r="E29" s="12">
        <v>2021</v>
      </c>
      <c r="F29" s="16">
        <f>1342416-61350+200000</f>
        <v>1481066</v>
      </c>
      <c r="G29" s="16">
        <v>200000</v>
      </c>
      <c r="H29" s="16">
        <v>500000</v>
      </c>
      <c r="I29" s="16">
        <v>500000</v>
      </c>
      <c r="J29" s="13"/>
      <c r="K29" s="13"/>
      <c r="L29" s="13">
        <f t="shared" si="10"/>
        <v>1200000</v>
      </c>
    </row>
    <row r="30" spans="1:14" s="14" customFormat="1" ht="34.5" customHeight="1">
      <c r="A30" s="12" t="s">
        <v>48</v>
      </c>
      <c r="B30" s="10" t="s">
        <v>305</v>
      </c>
      <c r="C30" s="11" t="s">
        <v>45</v>
      </c>
      <c r="D30" s="12">
        <v>2016</v>
      </c>
      <c r="E30" s="12">
        <v>2019</v>
      </c>
      <c r="F30" s="16">
        <f>549815-310000-190000+1600000-1600000+200000</f>
        <v>249815</v>
      </c>
      <c r="G30" s="16">
        <v>200000</v>
      </c>
      <c r="H30" s="16"/>
      <c r="I30" s="16"/>
      <c r="J30" s="16"/>
      <c r="K30" s="16"/>
      <c r="L30" s="13">
        <f t="shared" si="10"/>
        <v>200000</v>
      </c>
    </row>
    <row r="31" spans="1:14" ht="46.5" customHeight="1">
      <c r="A31" s="12" t="s">
        <v>50</v>
      </c>
      <c r="B31" s="10" t="s">
        <v>54</v>
      </c>
      <c r="C31" s="11" t="s">
        <v>45</v>
      </c>
      <c r="D31" s="12">
        <v>2017</v>
      </c>
      <c r="E31" s="12">
        <v>2020</v>
      </c>
      <c r="F31" s="16">
        <f>200000+280000</f>
        <v>480000</v>
      </c>
      <c r="G31" s="16">
        <v>0</v>
      </c>
      <c r="H31" s="16">
        <v>440000</v>
      </c>
      <c r="I31" s="16"/>
      <c r="J31" s="13"/>
      <c r="K31" s="13"/>
      <c r="L31" s="13">
        <f t="shared" si="10"/>
        <v>440000</v>
      </c>
    </row>
    <row r="32" spans="1:14" ht="33.75" customHeight="1">
      <c r="A32" s="12" t="s">
        <v>51</v>
      </c>
      <c r="B32" s="10" t="s">
        <v>57</v>
      </c>
      <c r="C32" s="11" t="s">
        <v>45</v>
      </c>
      <c r="D32" s="12">
        <v>2017</v>
      </c>
      <c r="E32" s="12">
        <v>2020</v>
      </c>
      <c r="F32" s="16">
        <f>300000+200000-80000</f>
        <v>420000</v>
      </c>
      <c r="G32" s="16">
        <v>70000</v>
      </c>
      <c r="H32" s="16">
        <v>250000</v>
      </c>
      <c r="I32" s="16"/>
      <c r="J32" s="13"/>
      <c r="K32" s="13"/>
      <c r="L32" s="13">
        <f t="shared" si="10"/>
        <v>320000</v>
      </c>
    </row>
    <row r="33" spans="1:12" ht="36.75" customHeight="1">
      <c r="A33" s="12" t="s">
        <v>52</v>
      </c>
      <c r="B33" s="10" t="s">
        <v>60</v>
      </c>
      <c r="C33" s="11" t="s">
        <v>45</v>
      </c>
      <c r="D33" s="12">
        <v>2017</v>
      </c>
      <c r="E33" s="12">
        <v>2020</v>
      </c>
      <c r="F33" s="16">
        <f>500000+50000+200000-100000</f>
        <v>650000</v>
      </c>
      <c r="G33" s="16">
        <v>150000</v>
      </c>
      <c r="H33" s="16">
        <v>150000</v>
      </c>
      <c r="I33" s="16"/>
      <c r="J33" s="13"/>
      <c r="K33" s="13"/>
      <c r="L33" s="13">
        <f t="shared" si="10"/>
        <v>300000</v>
      </c>
    </row>
    <row r="34" spans="1:12" ht="39.75" customHeight="1">
      <c r="A34" s="12" t="s">
        <v>53</v>
      </c>
      <c r="B34" s="10" t="s">
        <v>64</v>
      </c>
      <c r="C34" s="11" t="s">
        <v>45</v>
      </c>
      <c r="D34" s="12">
        <v>2017</v>
      </c>
      <c r="E34" s="12">
        <v>2020</v>
      </c>
      <c r="F34" s="16">
        <f>250000+100000</f>
        <v>350000</v>
      </c>
      <c r="G34" s="16">
        <v>0</v>
      </c>
      <c r="H34" s="16">
        <v>100000</v>
      </c>
      <c r="I34" s="16"/>
      <c r="J34" s="13"/>
      <c r="K34" s="13"/>
      <c r="L34" s="13">
        <f t="shared" si="10"/>
        <v>100000</v>
      </c>
    </row>
    <row r="35" spans="1:12" ht="48" customHeight="1">
      <c r="A35" s="12" t="s">
        <v>55</v>
      </c>
      <c r="B35" s="10" t="s">
        <v>66</v>
      </c>
      <c r="C35" s="11" t="s">
        <v>45</v>
      </c>
      <c r="D35" s="12">
        <v>2017</v>
      </c>
      <c r="E35" s="12">
        <v>2020</v>
      </c>
      <c r="F35" s="16">
        <f>250000+200000</f>
        <v>450000</v>
      </c>
      <c r="G35" s="16">
        <v>0</v>
      </c>
      <c r="H35" s="16">
        <v>200000</v>
      </c>
      <c r="I35" s="16"/>
      <c r="J35" s="13"/>
      <c r="K35" s="13"/>
      <c r="L35" s="13">
        <f t="shared" si="10"/>
        <v>200000</v>
      </c>
    </row>
    <row r="36" spans="1:12" ht="37.5" customHeight="1">
      <c r="A36" s="12" t="s">
        <v>56</v>
      </c>
      <c r="B36" s="10" t="s">
        <v>69</v>
      </c>
      <c r="C36" s="11" t="s">
        <v>45</v>
      </c>
      <c r="D36" s="12">
        <v>2017</v>
      </c>
      <c r="E36" s="12">
        <v>2020</v>
      </c>
      <c r="F36" s="16">
        <f>200000+300000</f>
        <v>500000</v>
      </c>
      <c r="G36" s="16">
        <v>0</v>
      </c>
      <c r="H36" s="16">
        <v>300000</v>
      </c>
      <c r="I36" s="16"/>
      <c r="J36" s="13"/>
      <c r="K36" s="13"/>
      <c r="L36" s="13">
        <f t="shared" si="10"/>
        <v>300000</v>
      </c>
    </row>
    <row r="37" spans="1:12" ht="33" customHeight="1">
      <c r="A37" s="12" t="s">
        <v>58</v>
      </c>
      <c r="B37" s="10" t="s">
        <v>73</v>
      </c>
      <c r="C37" s="11" t="s">
        <v>45</v>
      </c>
      <c r="D37" s="12">
        <v>2017</v>
      </c>
      <c r="E37" s="12">
        <v>2020</v>
      </c>
      <c r="F37" s="16">
        <f>675000+100000+100000</f>
        <v>875000</v>
      </c>
      <c r="G37" s="16">
        <v>100000</v>
      </c>
      <c r="H37" s="16">
        <v>100000</v>
      </c>
      <c r="I37" s="16"/>
      <c r="J37" s="13"/>
      <c r="K37" s="13"/>
      <c r="L37" s="13">
        <f t="shared" si="10"/>
        <v>200000</v>
      </c>
    </row>
    <row r="38" spans="1:12" ht="35.25" customHeight="1">
      <c r="A38" s="12" t="s">
        <v>59</v>
      </c>
      <c r="B38" s="10" t="s">
        <v>76</v>
      </c>
      <c r="C38" s="11" t="s">
        <v>45</v>
      </c>
      <c r="D38" s="12">
        <v>2017</v>
      </c>
      <c r="E38" s="12">
        <v>2020</v>
      </c>
      <c r="F38" s="16">
        <v>545000</v>
      </c>
      <c r="G38" s="16">
        <v>250000</v>
      </c>
      <c r="H38" s="16">
        <v>100000</v>
      </c>
      <c r="I38" s="16"/>
      <c r="J38" s="13"/>
      <c r="K38" s="13"/>
      <c r="L38" s="13">
        <f t="shared" si="10"/>
        <v>350000</v>
      </c>
    </row>
    <row r="39" spans="1:12" ht="32.25" customHeight="1">
      <c r="A39" s="12" t="s">
        <v>61</v>
      </c>
      <c r="B39" s="31" t="s">
        <v>79</v>
      </c>
      <c r="C39" s="32" t="s">
        <v>45</v>
      </c>
      <c r="D39" s="30">
        <v>2017</v>
      </c>
      <c r="E39" s="12">
        <v>2020</v>
      </c>
      <c r="F39" s="102">
        <f>295000+100000</f>
        <v>395000</v>
      </c>
      <c r="G39" s="102">
        <v>0</v>
      </c>
      <c r="H39" s="102">
        <v>100000</v>
      </c>
      <c r="I39" s="102"/>
      <c r="J39" s="33"/>
      <c r="K39" s="33"/>
      <c r="L39" s="13">
        <f t="shared" si="10"/>
        <v>100000</v>
      </c>
    </row>
    <row r="40" spans="1:12" s="37" customFormat="1" ht="33" customHeight="1">
      <c r="A40" s="12" t="s">
        <v>62</v>
      </c>
      <c r="B40" s="10" t="s">
        <v>81</v>
      </c>
      <c r="C40" s="11" t="s">
        <v>82</v>
      </c>
      <c r="D40" s="12">
        <v>2018</v>
      </c>
      <c r="E40" s="12">
        <v>2022</v>
      </c>
      <c r="F40" s="16">
        <v>13238450</v>
      </c>
      <c r="G40" s="16">
        <v>50000</v>
      </c>
      <c r="H40" s="16">
        <v>4000000</v>
      </c>
      <c r="I40" s="16">
        <v>5000000</v>
      </c>
      <c r="J40" s="16">
        <v>4100000</v>
      </c>
      <c r="K40" s="16"/>
      <c r="L40" s="13">
        <f t="shared" si="10"/>
        <v>13150000</v>
      </c>
    </row>
    <row r="41" spans="1:12" s="38" customFormat="1" ht="42.75" customHeight="1">
      <c r="A41" s="12" t="s">
        <v>63</v>
      </c>
      <c r="B41" s="10" t="s">
        <v>84</v>
      </c>
      <c r="C41" s="11" t="s">
        <v>85</v>
      </c>
      <c r="D41" s="12">
        <v>2018</v>
      </c>
      <c r="E41" s="12">
        <v>2021</v>
      </c>
      <c r="F41" s="16">
        <v>2030000</v>
      </c>
      <c r="G41" s="16">
        <v>0</v>
      </c>
      <c r="H41" s="16">
        <v>1000000</v>
      </c>
      <c r="I41" s="16">
        <v>1000000</v>
      </c>
      <c r="J41" s="13"/>
      <c r="K41" s="13"/>
      <c r="L41" s="13">
        <f t="shared" si="10"/>
        <v>2000000</v>
      </c>
    </row>
    <row r="42" spans="1:12" s="37" customFormat="1" ht="36.75" customHeight="1">
      <c r="A42" s="12" t="s">
        <v>65</v>
      </c>
      <c r="B42" s="42" t="s">
        <v>92</v>
      </c>
      <c r="C42" s="11" t="s">
        <v>109</v>
      </c>
      <c r="D42" s="12">
        <v>2018</v>
      </c>
      <c r="E42" s="12">
        <v>2019</v>
      </c>
      <c r="F42" s="16">
        <f>3150000-200000</f>
        <v>2950000</v>
      </c>
      <c r="G42" s="16">
        <v>2800000</v>
      </c>
      <c r="H42" s="16"/>
      <c r="I42" s="16"/>
      <c r="J42" s="16"/>
      <c r="K42" s="16"/>
      <c r="L42" s="13">
        <f t="shared" si="10"/>
        <v>2800000</v>
      </c>
    </row>
    <row r="43" spans="1:12" ht="36.75" customHeight="1">
      <c r="A43" s="12" t="s">
        <v>67</v>
      </c>
      <c r="B43" s="103" t="s">
        <v>88</v>
      </c>
      <c r="C43" s="35" t="s">
        <v>45</v>
      </c>
      <c r="D43" s="34">
        <v>2017</v>
      </c>
      <c r="E43" s="34">
        <v>2021</v>
      </c>
      <c r="F43" s="104">
        <v>850000</v>
      </c>
      <c r="G43" s="104">
        <v>0</v>
      </c>
      <c r="H43" s="104">
        <v>100000</v>
      </c>
      <c r="I43" s="104">
        <v>300000</v>
      </c>
      <c r="J43" s="36"/>
      <c r="K43" s="36"/>
      <c r="L43" s="13">
        <f t="shared" si="10"/>
        <v>400000</v>
      </c>
    </row>
    <row r="44" spans="1:12" ht="37.9" customHeight="1">
      <c r="A44" s="12" t="s">
        <v>68</v>
      </c>
      <c r="B44" s="18" t="s">
        <v>90</v>
      </c>
      <c r="C44" s="19" t="s">
        <v>45</v>
      </c>
      <c r="D44" s="12">
        <v>2017</v>
      </c>
      <c r="E44" s="12">
        <v>2019</v>
      </c>
      <c r="F44" s="29">
        <f>241000+100000</f>
        <v>341000</v>
      </c>
      <c r="G44" s="105">
        <v>100000</v>
      </c>
      <c r="H44" s="105"/>
      <c r="I44" s="105"/>
      <c r="J44" s="20"/>
      <c r="K44" s="20"/>
      <c r="L44" s="13">
        <f t="shared" si="10"/>
        <v>100000</v>
      </c>
    </row>
    <row r="45" spans="1:12" ht="37.9" customHeight="1">
      <c r="A45" s="12" t="s">
        <v>70</v>
      </c>
      <c r="B45" s="21" t="s">
        <v>91</v>
      </c>
      <c r="C45" s="22" t="s">
        <v>45</v>
      </c>
      <c r="D45" s="30">
        <v>2017</v>
      </c>
      <c r="E45" s="30">
        <v>2020</v>
      </c>
      <c r="F45" s="106">
        <f>180000+150000</f>
        <v>330000</v>
      </c>
      <c r="G45" s="106">
        <v>0</v>
      </c>
      <c r="H45" s="106">
        <v>150000</v>
      </c>
      <c r="I45" s="106"/>
      <c r="J45" s="23"/>
      <c r="K45" s="23"/>
      <c r="L45" s="13">
        <f t="shared" si="10"/>
        <v>150000</v>
      </c>
    </row>
    <row r="46" spans="1:12" ht="34.15" customHeight="1">
      <c r="A46" s="12" t="s">
        <v>71</v>
      </c>
      <c r="B46" s="42" t="s">
        <v>93</v>
      </c>
      <c r="C46" s="11" t="s">
        <v>45</v>
      </c>
      <c r="D46" s="12">
        <v>2018</v>
      </c>
      <c r="E46" s="30">
        <v>2020</v>
      </c>
      <c r="F46" s="107">
        <f>300000+100000</f>
        <v>400000</v>
      </c>
      <c r="G46" s="107">
        <v>0</v>
      </c>
      <c r="H46" s="107">
        <v>100000</v>
      </c>
      <c r="I46" s="107"/>
      <c r="J46" s="24"/>
      <c r="K46" s="24"/>
      <c r="L46" s="13">
        <f t="shared" si="10"/>
        <v>100000</v>
      </c>
    </row>
    <row r="47" spans="1:12" ht="32.450000000000003" customHeight="1">
      <c r="A47" s="12" t="s">
        <v>72</v>
      </c>
      <c r="B47" s="42" t="s">
        <v>94</v>
      </c>
      <c r="C47" s="11" t="s">
        <v>45</v>
      </c>
      <c r="D47" s="12">
        <v>2018</v>
      </c>
      <c r="E47" s="30">
        <v>2020</v>
      </c>
      <c r="F47" s="107">
        <f>20000+100000</f>
        <v>120000</v>
      </c>
      <c r="G47" s="107">
        <v>50000</v>
      </c>
      <c r="H47" s="107">
        <v>50000</v>
      </c>
      <c r="I47" s="107"/>
      <c r="J47" s="24"/>
      <c r="K47" s="24"/>
      <c r="L47" s="13">
        <f t="shared" si="10"/>
        <v>100000</v>
      </c>
    </row>
    <row r="48" spans="1:12" ht="45" customHeight="1">
      <c r="A48" s="12" t="s">
        <v>74</v>
      </c>
      <c r="B48" s="42" t="s">
        <v>95</v>
      </c>
      <c r="C48" s="11" t="s">
        <v>45</v>
      </c>
      <c r="D48" s="12">
        <v>2018</v>
      </c>
      <c r="E48" s="12">
        <v>2019</v>
      </c>
      <c r="F48" s="107">
        <f>120000+200000-50000</f>
        <v>270000</v>
      </c>
      <c r="G48" s="107">
        <v>150000</v>
      </c>
      <c r="H48" s="107"/>
      <c r="I48" s="107"/>
      <c r="J48" s="24"/>
      <c r="K48" s="24"/>
      <c r="L48" s="13">
        <f t="shared" si="10"/>
        <v>150000</v>
      </c>
    </row>
    <row r="49" spans="1:13" ht="30.6" customHeight="1">
      <c r="A49" s="12" t="s">
        <v>75</v>
      </c>
      <c r="B49" s="42" t="s">
        <v>96</v>
      </c>
      <c r="C49" s="11" t="s">
        <v>45</v>
      </c>
      <c r="D49" s="12">
        <v>2018</v>
      </c>
      <c r="E49" s="12">
        <v>2020</v>
      </c>
      <c r="F49" s="107">
        <f>100000+300000</f>
        <v>400000</v>
      </c>
      <c r="G49" s="107">
        <v>150000</v>
      </c>
      <c r="H49" s="107">
        <v>150000</v>
      </c>
      <c r="I49" s="107"/>
      <c r="J49" s="24"/>
      <c r="K49" s="24"/>
      <c r="L49" s="13">
        <f t="shared" si="10"/>
        <v>300000</v>
      </c>
    </row>
    <row r="50" spans="1:13" ht="31.9" customHeight="1">
      <c r="A50" s="12" t="s">
        <v>77</v>
      </c>
      <c r="B50" s="42" t="s">
        <v>97</v>
      </c>
      <c r="C50" s="11" t="s">
        <v>45</v>
      </c>
      <c r="D50" s="12">
        <v>2018</v>
      </c>
      <c r="E50" s="12">
        <v>2019</v>
      </c>
      <c r="F50" s="107">
        <f>340000+200000+100000</f>
        <v>640000</v>
      </c>
      <c r="G50" s="107">
        <v>300000</v>
      </c>
      <c r="H50" s="107"/>
      <c r="I50" s="107"/>
      <c r="J50" s="24"/>
      <c r="K50" s="24"/>
      <c r="L50" s="13">
        <f t="shared" si="10"/>
        <v>300000</v>
      </c>
    </row>
    <row r="51" spans="1:13" ht="32.450000000000003" customHeight="1">
      <c r="A51" s="12" t="s">
        <v>78</v>
      </c>
      <c r="B51" s="42" t="s">
        <v>98</v>
      </c>
      <c r="C51" s="11" t="s">
        <v>45</v>
      </c>
      <c r="D51" s="12">
        <v>2018</v>
      </c>
      <c r="E51" s="12">
        <v>2019</v>
      </c>
      <c r="F51" s="107">
        <f>290000+300000</f>
        <v>590000</v>
      </c>
      <c r="G51" s="107">
        <v>300000</v>
      </c>
      <c r="H51" s="107"/>
      <c r="I51" s="107"/>
      <c r="J51" s="24"/>
      <c r="K51" s="24"/>
      <c r="L51" s="13">
        <f t="shared" si="10"/>
        <v>300000</v>
      </c>
    </row>
    <row r="52" spans="1:13" ht="35.450000000000003" customHeight="1">
      <c r="A52" s="12" t="s">
        <v>80</v>
      </c>
      <c r="B52" s="44" t="s">
        <v>99</v>
      </c>
      <c r="C52" s="25" t="s">
        <v>45</v>
      </c>
      <c r="D52" s="40">
        <v>2018</v>
      </c>
      <c r="E52" s="40">
        <v>2019</v>
      </c>
      <c r="F52" s="26">
        <v>1110000</v>
      </c>
      <c r="G52" s="26">
        <v>400000</v>
      </c>
      <c r="H52" s="26">
        <v>0</v>
      </c>
      <c r="I52" s="26"/>
      <c r="J52" s="26"/>
      <c r="K52" s="26"/>
      <c r="L52" s="13">
        <f t="shared" si="10"/>
        <v>400000</v>
      </c>
    </row>
    <row r="53" spans="1:13" ht="37.9" customHeight="1">
      <c r="A53" s="12" t="s">
        <v>83</v>
      </c>
      <c r="B53" s="43" t="s">
        <v>100</v>
      </c>
      <c r="C53" s="27" t="s">
        <v>45</v>
      </c>
      <c r="D53" s="41">
        <v>2018</v>
      </c>
      <c r="E53" s="41">
        <v>2020</v>
      </c>
      <c r="F53" s="28">
        <v>150000</v>
      </c>
      <c r="G53" s="28">
        <v>0</v>
      </c>
      <c r="H53" s="28">
        <v>50000</v>
      </c>
      <c r="I53" s="28"/>
      <c r="J53" s="28"/>
      <c r="K53" s="28"/>
      <c r="L53" s="13">
        <f t="shared" si="10"/>
        <v>50000</v>
      </c>
    </row>
    <row r="54" spans="1:13" ht="33.6" customHeight="1">
      <c r="A54" s="12" t="s">
        <v>86</v>
      </c>
      <c r="B54" s="42" t="s">
        <v>101</v>
      </c>
      <c r="C54" s="27" t="s">
        <v>45</v>
      </c>
      <c r="D54" s="41">
        <v>2018</v>
      </c>
      <c r="E54" s="41">
        <v>2019</v>
      </c>
      <c r="F54" s="28">
        <v>340000</v>
      </c>
      <c r="G54" s="28">
        <v>200000</v>
      </c>
      <c r="H54" s="28"/>
      <c r="I54" s="28"/>
      <c r="J54" s="28"/>
      <c r="K54" s="28"/>
      <c r="L54" s="13">
        <f t="shared" si="10"/>
        <v>200000</v>
      </c>
    </row>
    <row r="55" spans="1:13" ht="33.6" customHeight="1">
      <c r="A55" s="12" t="s">
        <v>87</v>
      </c>
      <c r="B55" s="42" t="s">
        <v>102</v>
      </c>
      <c r="C55" s="27" t="s">
        <v>45</v>
      </c>
      <c r="D55" s="41">
        <v>2018</v>
      </c>
      <c r="E55" s="41">
        <v>2020</v>
      </c>
      <c r="F55" s="28">
        <v>350000</v>
      </c>
      <c r="G55" s="28">
        <v>0</v>
      </c>
      <c r="H55" s="28">
        <v>100000</v>
      </c>
      <c r="I55" s="28"/>
      <c r="J55" s="28"/>
      <c r="K55" s="28"/>
      <c r="L55" s="13">
        <f t="shared" si="10"/>
        <v>100000</v>
      </c>
    </row>
    <row r="56" spans="1:13" ht="31.15" customHeight="1">
      <c r="A56" s="12" t="s">
        <v>89</v>
      </c>
      <c r="B56" s="44" t="s">
        <v>103</v>
      </c>
      <c r="C56" s="27" t="s">
        <v>45</v>
      </c>
      <c r="D56" s="41">
        <v>2018</v>
      </c>
      <c r="E56" s="41">
        <v>2019</v>
      </c>
      <c r="F56" s="28">
        <v>496000</v>
      </c>
      <c r="G56" s="28">
        <v>146000</v>
      </c>
      <c r="H56" s="28"/>
      <c r="I56" s="28"/>
      <c r="J56" s="28"/>
      <c r="K56" s="28"/>
      <c r="L56" s="13">
        <f t="shared" si="10"/>
        <v>146000</v>
      </c>
    </row>
    <row r="57" spans="1:13" ht="32.450000000000003" customHeight="1">
      <c r="A57" s="12" t="s">
        <v>105</v>
      </c>
      <c r="B57" s="118" t="s">
        <v>111</v>
      </c>
      <c r="C57" s="119" t="s">
        <v>45</v>
      </c>
      <c r="D57" s="41">
        <v>2018</v>
      </c>
      <c r="E57" s="41">
        <v>2020</v>
      </c>
      <c r="F57" s="28">
        <v>450000</v>
      </c>
      <c r="G57" s="28">
        <v>0</v>
      </c>
      <c r="H57" s="28">
        <v>250000</v>
      </c>
      <c r="I57" s="28"/>
      <c r="J57" s="28"/>
      <c r="K57" s="28"/>
      <c r="L57" s="13">
        <f t="shared" si="10"/>
        <v>250000</v>
      </c>
    </row>
    <row r="58" spans="1:13" ht="36" customHeight="1">
      <c r="A58" s="12" t="s">
        <v>106</v>
      </c>
      <c r="B58" s="108" t="s">
        <v>104</v>
      </c>
      <c r="C58" s="27" t="s">
        <v>45</v>
      </c>
      <c r="D58" s="41">
        <v>2018</v>
      </c>
      <c r="E58" s="41">
        <v>2020</v>
      </c>
      <c r="F58" s="28">
        <v>225000</v>
      </c>
      <c r="G58" s="28">
        <v>50000</v>
      </c>
      <c r="H58" s="28">
        <v>50000</v>
      </c>
      <c r="I58" s="28"/>
      <c r="J58" s="28"/>
      <c r="K58" s="28"/>
      <c r="L58" s="13">
        <f t="shared" si="10"/>
        <v>100000</v>
      </c>
      <c r="M58" s="48"/>
    </row>
    <row r="59" spans="1:13" ht="37.5" customHeight="1">
      <c r="A59" s="12" t="s">
        <v>107</v>
      </c>
      <c r="B59" s="109" t="s">
        <v>116</v>
      </c>
      <c r="C59" s="27" t="s">
        <v>45</v>
      </c>
      <c r="D59" s="12">
        <v>2018</v>
      </c>
      <c r="E59" s="12">
        <v>2021</v>
      </c>
      <c r="F59" s="110">
        <v>1550000</v>
      </c>
      <c r="G59" s="110">
        <v>0</v>
      </c>
      <c r="H59" s="110">
        <v>300000</v>
      </c>
      <c r="I59" s="47">
        <v>1200000</v>
      </c>
      <c r="J59" s="47"/>
      <c r="K59" s="47"/>
      <c r="L59" s="13">
        <f t="shared" si="10"/>
        <v>1500000</v>
      </c>
      <c r="M59" s="38"/>
    </row>
    <row r="60" spans="1:13" ht="30" customHeight="1">
      <c r="A60" s="12" t="s">
        <v>108</v>
      </c>
      <c r="B60" s="109" t="s">
        <v>307</v>
      </c>
      <c r="C60" s="27" t="s">
        <v>45</v>
      </c>
      <c r="D60" s="120">
        <v>2017</v>
      </c>
      <c r="E60" s="120">
        <v>2019</v>
      </c>
      <c r="F60" s="110">
        <v>296000</v>
      </c>
      <c r="G60" s="110">
        <v>100000</v>
      </c>
      <c r="H60" s="110"/>
      <c r="I60" s="47"/>
      <c r="J60" s="47"/>
      <c r="K60" s="47"/>
      <c r="L60" s="13">
        <f t="shared" si="10"/>
        <v>100000</v>
      </c>
      <c r="M60" s="38"/>
    </row>
    <row r="61" spans="1:13">
      <c r="L61" s="38"/>
      <c r="M61" s="38"/>
    </row>
  </sheetData>
  <sheetProtection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26:E26"/>
    <mergeCell ref="B6:E6"/>
    <mergeCell ref="B7:E7"/>
    <mergeCell ref="B8:E8"/>
    <mergeCell ref="B9:E9"/>
    <mergeCell ref="B10:E10"/>
    <mergeCell ref="B17:E17"/>
    <mergeCell ref="B19:E19"/>
    <mergeCell ref="B20:E20"/>
    <mergeCell ref="B21:E21"/>
    <mergeCell ref="B22:E22"/>
    <mergeCell ref="B23:E23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2019-03-28T10:17:52Z</dcterms:modified>
</cp:coreProperties>
</file>