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53222"/>
  <mc:AlternateContent xmlns:mc="http://schemas.openxmlformats.org/markup-compatibility/2006">
    <mc:Choice Requires="x15">
      <x15ac:absPath xmlns:x15ac="http://schemas.microsoft.com/office/spreadsheetml/2010/11/ac" url="C:\Users\amroczkowska.SRV-GORNA\Desktop\wpf_zmiana_grudzień18\"/>
    </mc:Choice>
  </mc:AlternateContent>
  <bookViews>
    <workbookView xWindow="0" yWindow="0" windowWidth="19200" windowHeight="10185" activeTab="1"/>
  </bookViews>
  <sheets>
    <sheet name="Zał.1" sheetId="50" r:id="rId1"/>
    <sheet name="Zał.2 " sheetId="1" r:id="rId2"/>
  </sheets>
  <externalReferences>
    <externalReference r:id="rId3"/>
  </externalReferences>
  <definedNames>
    <definedName name="_xlnm.Print_Area" localSheetId="0">Zał.1!$A$1:$U$104</definedName>
    <definedName name="_xlnm.Print_Area" localSheetId="1">'Zał.2 '!$A$1:$K$60</definedName>
    <definedName name="_xlnm.Print_Titles" localSheetId="0">Zał.1!$A:$C,Zał.1!$2:$3</definedName>
    <definedName name="_xlnm.Print_Titles" localSheetId="1">'Zał.2 '!$3:$4</definedName>
    <definedName name="Z_9360F695_77C0_4418_82C5_829A762C44E9_.wvu.Cols" localSheetId="0" hidden="1">Zał.1!#REF!,Zał.1!$B:$B</definedName>
    <definedName name="Z_9360F695_77C0_4418_82C5_829A762C44E9_.wvu.FilterData" localSheetId="0" hidden="1">Zał.1!#REF!</definedName>
    <definedName name="Z_9360F695_77C0_4418_82C5_829A762C44E9_.wvu.PrintArea" localSheetId="0" hidden="1">Zał.1!$A$2:$U$104</definedName>
    <definedName name="Z_9360F695_77C0_4418_82C5_829A762C44E9_.wvu.PrintTitles" localSheetId="0" hidden="1">Zał.1!$A:$C,Zał.1!$2:$3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04" i="50" l="1"/>
  <c r="T104" i="50"/>
  <c r="S104" i="50"/>
  <c r="R104" i="50"/>
  <c r="Q104" i="50"/>
  <c r="P104" i="50"/>
  <c r="O104" i="50"/>
  <c r="N104" i="50"/>
  <c r="M104" i="50"/>
  <c r="L104" i="50"/>
  <c r="K104" i="50"/>
  <c r="J104" i="50"/>
  <c r="I104" i="50"/>
  <c r="H104" i="50"/>
  <c r="G104" i="50"/>
  <c r="F104" i="50"/>
  <c r="E104" i="50"/>
  <c r="D104" i="50"/>
  <c r="U103" i="50"/>
  <c r="T103" i="50"/>
  <c r="S103" i="50"/>
  <c r="R103" i="50"/>
  <c r="Q103" i="50"/>
  <c r="P103" i="50"/>
  <c r="O103" i="50"/>
  <c r="N103" i="50"/>
  <c r="M103" i="50"/>
  <c r="L103" i="50"/>
  <c r="K103" i="50"/>
  <c r="J103" i="50"/>
  <c r="I103" i="50"/>
  <c r="H103" i="50"/>
  <c r="G103" i="50"/>
  <c r="F103" i="50"/>
  <c r="E103" i="50"/>
  <c r="D103" i="50"/>
  <c r="U102" i="50"/>
  <c r="T102" i="50"/>
  <c r="S102" i="50"/>
  <c r="R102" i="50"/>
  <c r="Q102" i="50"/>
  <c r="P102" i="50"/>
  <c r="O102" i="50"/>
  <c r="N102" i="50"/>
  <c r="M102" i="50"/>
  <c r="L102" i="50"/>
  <c r="K102" i="50"/>
  <c r="J102" i="50"/>
  <c r="I102" i="50"/>
  <c r="H102" i="50"/>
  <c r="G102" i="50"/>
  <c r="F102" i="50"/>
  <c r="E102" i="50"/>
  <c r="D102" i="50"/>
  <c r="U101" i="50"/>
  <c r="T101" i="50"/>
  <c r="S101" i="50"/>
  <c r="R101" i="50"/>
  <c r="Q101" i="50"/>
  <c r="P101" i="50"/>
  <c r="O101" i="50"/>
  <c r="N101" i="50"/>
  <c r="M101" i="50"/>
  <c r="L101" i="50"/>
  <c r="K101" i="50"/>
  <c r="J101" i="50"/>
  <c r="I101" i="50"/>
  <c r="H101" i="50"/>
  <c r="G101" i="50"/>
  <c r="F101" i="50"/>
  <c r="E101" i="50"/>
  <c r="D101" i="50"/>
  <c r="U100" i="50"/>
  <c r="T100" i="50"/>
  <c r="S100" i="50"/>
  <c r="R100" i="50"/>
  <c r="Q100" i="50"/>
  <c r="P100" i="50"/>
  <c r="O100" i="50"/>
  <c r="N100" i="50"/>
  <c r="M100" i="50"/>
  <c r="L100" i="50"/>
  <c r="K100" i="50"/>
  <c r="J100" i="50"/>
  <c r="I100" i="50"/>
  <c r="H100" i="50"/>
  <c r="G100" i="50"/>
  <c r="F100" i="50"/>
  <c r="E100" i="50"/>
  <c r="D100" i="50"/>
  <c r="U99" i="50"/>
  <c r="T99" i="50"/>
  <c r="S99" i="50"/>
  <c r="R99" i="50"/>
  <c r="Q99" i="50"/>
  <c r="P99" i="50"/>
  <c r="O99" i="50"/>
  <c r="N99" i="50"/>
  <c r="M99" i="50"/>
  <c r="L99" i="50"/>
  <c r="K99" i="50"/>
  <c r="J99" i="50"/>
  <c r="I99" i="50"/>
  <c r="H99" i="50"/>
  <c r="G99" i="50"/>
  <c r="F99" i="50"/>
  <c r="E99" i="50"/>
  <c r="D99" i="50"/>
  <c r="U98" i="50"/>
  <c r="T98" i="50"/>
  <c r="S98" i="50"/>
  <c r="R98" i="50"/>
  <c r="Q98" i="50"/>
  <c r="P98" i="50"/>
  <c r="O98" i="50"/>
  <c r="N98" i="50"/>
  <c r="M98" i="50"/>
  <c r="L98" i="50"/>
  <c r="K98" i="50"/>
  <c r="J98" i="50"/>
  <c r="I98" i="50"/>
  <c r="H98" i="50"/>
  <c r="G98" i="50"/>
  <c r="F98" i="50"/>
  <c r="E98" i="50"/>
  <c r="D98" i="50"/>
  <c r="U96" i="50"/>
  <c r="T96" i="50"/>
  <c r="S96" i="50"/>
  <c r="R96" i="50"/>
  <c r="Q96" i="50"/>
  <c r="P96" i="50"/>
  <c r="O96" i="50"/>
  <c r="N96" i="50"/>
  <c r="M96" i="50"/>
  <c r="L96" i="50"/>
  <c r="K96" i="50"/>
  <c r="J96" i="50"/>
  <c r="I96" i="50"/>
  <c r="H96" i="50"/>
  <c r="G96" i="50"/>
  <c r="F96" i="50"/>
  <c r="E96" i="50"/>
  <c r="D96" i="50"/>
  <c r="U95" i="50"/>
  <c r="T95" i="50"/>
  <c r="S95" i="50"/>
  <c r="R95" i="50"/>
  <c r="Q95" i="50"/>
  <c r="P95" i="50"/>
  <c r="O95" i="50"/>
  <c r="N95" i="50"/>
  <c r="M95" i="50"/>
  <c r="L95" i="50"/>
  <c r="K95" i="50"/>
  <c r="J95" i="50"/>
  <c r="I95" i="50"/>
  <c r="H95" i="50"/>
  <c r="G95" i="50"/>
  <c r="F95" i="50"/>
  <c r="E95" i="50"/>
  <c r="D95" i="50"/>
  <c r="U94" i="50"/>
  <c r="T94" i="50"/>
  <c r="S94" i="50"/>
  <c r="R94" i="50"/>
  <c r="Q94" i="50"/>
  <c r="P94" i="50"/>
  <c r="O94" i="50"/>
  <c r="N94" i="50"/>
  <c r="M94" i="50"/>
  <c r="L94" i="50"/>
  <c r="K94" i="50"/>
  <c r="J94" i="50"/>
  <c r="I94" i="50"/>
  <c r="H94" i="50"/>
  <c r="G94" i="50"/>
  <c r="F94" i="50"/>
  <c r="E94" i="50"/>
  <c r="D94" i="50"/>
  <c r="U93" i="50"/>
  <c r="T93" i="50"/>
  <c r="S93" i="50"/>
  <c r="R93" i="50"/>
  <c r="Q93" i="50"/>
  <c r="P93" i="50"/>
  <c r="O93" i="50"/>
  <c r="N93" i="50"/>
  <c r="M93" i="50"/>
  <c r="L93" i="50"/>
  <c r="K93" i="50"/>
  <c r="J93" i="50"/>
  <c r="I93" i="50"/>
  <c r="H93" i="50"/>
  <c r="G93" i="50"/>
  <c r="F93" i="50"/>
  <c r="E93" i="50"/>
  <c r="D93" i="50"/>
  <c r="U92" i="50"/>
  <c r="T92" i="50"/>
  <c r="S92" i="50"/>
  <c r="R92" i="50"/>
  <c r="Q92" i="50"/>
  <c r="P92" i="50"/>
  <c r="O92" i="50"/>
  <c r="N92" i="50"/>
  <c r="M92" i="50"/>
  <c r="L92" i="50"/>
  <c r="K92" i="50"/>
  <c r="J92" i="50"/>
  <c r="I92" i="50"/>
  <c r="H92" i="50"/>
  <c r="G92" i="50"/>
  <c r="F92" i="50"/>
  <c r="E92" i="50"/>
  <c r="D92" i="50"/>
  <c r="U91" i="50"/>
  <c r="T91" i="50"/>
  <c r="S91" i="50"/>
  <c r="R91" i="50"/>
  <c r="Q91" i="50"/>
  <c r="P91" i="50"/>
  <c r="O91" i="50"/>
  <c r="N91" i="50"/>
  <c r="M91" i="50"/>
  <c r="L91" i="50"/>
  <c r="K91" i="50"/>
  <c r="J91" i="50"/>
  <c r="I91" i="50"/>
  <c r="H91" i="50"/>
  <c r="G91" i="50"/>
  <c r="F91" i="50"/>
  <c r="E91" i="50"/>
  <c r="D91" i="50"/>
  <c r="U90" i="50"/>
  <c r="T90" i="50"/>
  <c r="S90" i="50"/>
  <c r="R90" i="50"/>
  <c r="Q90" i="50"/>
  <c r="P90" i="50"/>
  <c r="O90" i="50"/>
  <c r="N90" i="50"/>
  <c r="M90" i="50"/>
  <c r="L90" i="50"/>
  <c r="K90" i="50"/>
  <c r="J90" i="50"/>
  <c r="I90" i="50"/>
  <c r="H90" i="50"/>
  <c r="G90" i="50"/>
  <c r="F90" i="50"/>
  <c r="E90" i="50"/>
  <c r="D90" i="50"/>
  <c r="U88" i="50"/>
  <c r="T88" i="50"/>
  <c r="S88" i="50"/>
  <c r="R88" i="50"/>
  <c r="Q88" i="50"/>
  <c r="P88" i="50"/>
  <c r="O88" i="50"/>
  <c r="N88" i="50"/>
  <c r="M88" i="50"/>
  <c r="L88" i="50"/>
  <c r="K88" i="50"/>
  <c r="J88" i="50"/>
  <c r="I88" i="50"/>
  <c r="H88" i="50"/>
  <c r="G88" i="50"/>
  <c r="F88" i="50"/>
  <c r="E88" i="50"/>
  <c r="D88" i="50"/>
  <c r="U87" i="50"/>
  <c r="T87" i="50"/>
  <c r="S87" i="50"/>
  <c r="R87" i="50"/>
  <c r="Q87" i="50"/>
  <c r="P87" i="50"/>
  <c r="O87" i="50"/>
  <c r="N87" i="50"/>
  <c r="M87" i="50"/>
  <c r="L87" i="50"/>
  <c r="K87" i="50"/>
  <c r="J87" i="50"/>
  <c r="I87" i="50"/>
  <c r="H87" i="50"/>
  <c r="G87" i="50"/>
  <c r="F87" i="50"/>
  <c r="E87" i="50"/>
  <c r="D87" i="50"/>
  <c r="U86" i="50"/>
  <c r="T86" i="50"/>
  <c r="S86" i="50"/>
  <c r="R86" i="50"/>
  <c r="Q86" i="50"/>
  <c r="P86" i="50"/>
  <c r="O86" i="50"/>
  <c r="N86" i="50"/>
  <c r="M86" i="50"/>
  <c r="L86" i="50"/>
  <c r="K86" i="50"/>
  <c r="J86" i="50"/>
  <c r="I86" i="50"/>
  <c r="H86" i="50"/>
  <c r="G86" i="50"/>
  <c r="F86" i="50"/>
  <c r="E86" i="50"/>
  <c r="D86" i="50"/>
  <c r="U85" i="50"/>
  <c r="T85" i="50"/>
  <c r="S85" i="50"/>
  <c r="R85" i="50"/>
  <c r="Q85" i="50"/>
  <c r="P85" i="50"/>
  <c r="O85" i="50"/>
  <c r="N85" i="50"/>
  <c r="M85" i="50"/>
  <c r="L85" i="50"/>
  <c r="K85" i="50"/>
  <c r="J85" i="50"/>
  <c r="I85" i="50"/>
  <c r="H85" i="50"/>
  <c r="G85" i="50"/>
  <c r="F85" i="50"/>
  <c r="E85" i="50"/>
  <c r="D85" i="50"/>
  <c r="U84" i="50"/>
  <c r="T84" i="50"/>
  <c r="S84" i="50"/>
  <c r="R84" i="50"/>
  <c r="Q84" i="50"/>
  <c r="P84" i="50"/>
  <c r="O84" i="50"/>
  <c r="N84" i="50"/>
  <c r="M84" i="50"/>
  <c r="L84" i="50"/>
  <c r="K84" i="50"/>
  <c r="J84" i="50"/>
  <c r="I84" i="50"/>
  <c r="H84" i="50"/>
  <c r="G84" i="50"/>
  <c r="F84" i="50"/>
  <c r="E84" i="50"/>
  <c r="D84" i="50"/>
  <c r="U83" i="50"/>
  <c r="T83" i="50"/>
  <c r="S83" i="50"/>
  <c r="R83" i="50"/>
  <c r="Q83" i="50"/>
  <c r="P83" i="50"/>
  <c r="O83" i="50"/>
  <c r="N83" i="50"/>
  <c r="M83" i="50"/>
  <c r="L83" i="50"/>
  <c r="K83" i="50"/>
  <c r="J83" i="50"/>
  <c r="I83" i="50"/>
  <c r="H83" i="50"/>
  <c r="G83" i="50"/>
  <c r="F83" i="50"/>
  <c r="E83" i="50"/>
  <c r="D83" i="50"/>
  <c r="U82" i="50"/>
  <c r="T82" i="50"/>
  <c r="S82" i="50"/>
  <c r="R82" i="50"/>
  <c r="Q82" i="50"/>
  <c r="P82" i="50"/>
  <c r="O82" i="50"/>
  <c r="N82" i="50"/>
  <c r="M82" i="50"/>
  <c r="L82" i="50"/>
  <c r="K82" i="50"/>
  <c r="J82" i="50"/>
  <c r="I82" i="50"/>
  <c r="H82" i="50"/>
  <c r="G82" i="50"/>
  <c r="F82" i="50"/>
  <c r="E82" i="50"/>
  <c r="D82" i="50"/>
  <c r="U81" i="50"/>
  <c r="T81" i="50"/>
  <c r="S81" i="50"/>
  <c r="R81" i="50"/>
  <c r="Q81" i="50"/>
  <c r="P81" i="50"/>
  <c r="O81" i="50"/>
  <c r="N81" i="50"/>
  <c r="M81" i="50"/>
  <c r="L81" i="50"/>
  <c r="K81" i="50"/>
  <c r="J81" i="50"/>
  <c r="I81" i="50"/>
  <c r="H81" i="50"/>
  <c r="G81" i="50"/>
  <c r="F81" i="50"/>
  <c r="E81" i="50"/>
  <c r="D81" i="50"/>
  <c r="U80" i="50"/>
  <c r="T80" i="50"/>
  <c r="S80" i="50"/>
  <c r="R80" i="50"/>
  <c r="Q80" i="50"/>
  <c r="P80" i="50"/>
  <c r="O80" i="50"/>
  <c r="N80" i="50"/>
  <c r="M80" i="50"/>
  <c r="L80" i="50"/>
  <c r="K80" i="50"/>
  <c r="J80" i="50"/>
  <c r="I80" i="50"/>
  <c r="H80" i="50"/>
  <c r="G80" i="50"/>
  <c r="F80" i="50"/>
  <c r="E80" i="50"/>
  <c r="D80" i="50"/>
  <c r="U79" i="50"/>
  <c r="T79" i="50"/>
  <c r="S79" i="50"/>
  <c r="R79" i="50"/>
  <c r="Q79" i="50"/>
  <c r="P79" i="50"/>
  <c r="O79" i="50"/>
  <c r="N79" i="50"/>
  <c r="M79" i="50"/>
  <c r="L79" i="50"/>
  <c r="K79" i="50"/>
  <c r="J79" i="50"/>
  <c r="I79" i="50"/>
  <c r="H79" i="50"/>
  <c r="G79" i="50"/>
  <c r="F79" i="50"/>
  <c r="E79" i="50"/>
  <c r="D79" i="50"/>
  <c r="U78" i="50"/>
  <c r="T78" i="50"/>
  <c r="S78" i="50"/>
  <c r="R78" i="50"/>
  <c r="Q78" i="50"/>
  <c r="P78" i="50"/>
  <c r="O78" i="50"/>
  <c r="N78" i="50"/>
  <c r="M78" i="50"/>
  <c r="L78" i="50"/>
  <c r="K78" i="50"/>
  <c r="J78" i="50"/>
  <c r="I78" i="50"/>
  <c r="H78" i="50"/>
  <c r="G78" i="50"/>
  <c r="F78" i="50"/>
  <c r="E78" i="50"/>
  <c r="D78" i="50"/>
  <c r="U77" i="50"/>
  <c r="T77" i="50"/>
  <c r="S77" i="50"/>
  <c r="R77" i="50"/>
  <c r="Q77" i="50"/>
  <c r="P77" i="50"/>
  <c r="O77" i="50"/>
  <c r="N77" i="50"/>
  <c r="M77" i="50"/>
  <c r="L77" i="50"/>
  <c r="K77" i="50"/>
  <c r="J77" i="50"/>
  <c r="I77" i="50"/>
  <c r="H77" i="50"/>
  <c r="G77" i="50"/>
  <c r="F77" i="50"/>
  <c r="E77" i="50"/>
  <c r="D77" i="50"/>
  <c r="U76" i="50"/>
  <c r="T76" i="50"/>
  <c r="S76" i="50"/>
  <c r="R76" i="50"/>
  <c r="Q76" i="50"/>
  <c r="P76" i="50"/>
  <c r="O76" i="50"/>
  <c r="N76" i="50"/>
  <c r="M76" i="50"/>
  <c r="L76" i="50"/>
  <c r="K76" i="50"/>
  <c r="J76" i="50"/>
  <c r="I76" i="50"/>
  <c r="H76" i="50"/>
  <c r="G76" i="50"/>
  <c r="F76" i="50"/>
  <c r="E76" i="50"/>
  <c r="D76" i="50"/>
  <c r="U75" i="50"/>
  <c r="T75" i="50"/>
  <c r="S75" i="50"/>
  <c r="R75" i="50"/>
  <c r="Q75" i="50"/>
  <c r="P75" i="50"/>
  <c r="O75" i="50"/>
  <c r="N75" i="50"/>
  <c r="M75" i="50"/>
  <c r="L75" i="50"/>
  <c r="K75" i="50"/>
  <c r="J75" i="50"/>
  <c r="I75" i="50"/>
  <c r="H75" i="50"/>
  <c r="G75" i="50"/>
  <c r="F75" i="50"/>
  <c r="E75" i="50"/>
  <c r="D75" i="50"/>
  <c r="U74" i="50"/>
  <c r="T74" i="50"/>
  <c r="S74" i="50"/>
  <c r="R74" i="50"/>
  <c r="Q74" i="50"/>
  <c r="P74" i="50"/>
  <c r="O74" i="50"/>
  <c r="N74" i="50"/>
  <c r="M74" i="50"/>
  <c r="L74" i="50"/>
  <c r="K74" i="50"/>
  <c r="J74" i="50"/>
  <c r="I74" i="50"/>
  <c r="H74" i="50"/>
  <c r="G74" i="50"/>
  <c r="F74" i="50"/>
  <c r="E74" i="50"/>
  <c r="D74" i="50"/>
  <c r="U73" i="50"/>
  <c r="T73" i="50"/>
  <c r="S73" i="50"/>
  <c r="R73" i="50"/>
  <c r="Q73" i="50"/>
  <c r="P73" i="50"/>
  <c r="O73" i="50"/>
  <c r="N73" i="50"/>
  <c r="M73" i="50"/>
  <c r="L73" i="50"/>
  <c r="K73" i="50"/>
  <c r="J73" i="50"/>
  <c r="I73" i="50"/>
  <c r="H73" i="50"/>
  <c r="G73" i="50"/>
  <c r="F73" i="50"/>
  <c r="E73" i="50"/>
  <c r="D73" i="50"/>
  <c r="U72" i="50"/>
  <c r="T72" i="50"/>
  <c r="S72" i="50"/>
  <c r="R72" i="50"/>
  <c r="Q72" i="50"/>
  <c r="P72" i="50"/>
  <c r="O72" i="50"/>
  <c r="N72" i="50"/>
  <c r="M72" i="50"/>
  <c r="L72" i="50"/>
  <c r="K72" i="50"/>
  <c r="J72" i="50"/>
  <c r="I72" i="50"/>
  <c r="H72" i="50"/>
  <c r="G72" i="50"/>
  <c r="F72" i="50"/>
  <c r="E72" i="50"/>
  <c r="D72" i="50"/>
  <c r="U71" i="50"/>
  <c r="T71" i="50"/>
  <c r="S71" i="50"/>
  <c r="R71" i="50"/>
  <c r="Q71" i="50"/>
  <c r="P71" i="50"/>
  <c r="O71" i="50"/>
  <c r="N71" i="50"/>
  <c r="M71" i="50"/>
  <c r="L71" i="50"/>
  <c r="K71" i="50"/>
  <c r="J71" i="50"/>
  <c r="I71" i="50"/>
  <c r="H71" i="50"/>
  <c r="G71" i="50"/>
  <c r="F71" i="50"/>
  <c r="E71" i="50"/>
  <c r="D71" i="50"/>
  <c r="U70" i="50"/>
  <c r="T70" i="50"/>
  <c r="S70" i="50"/>
  <c r="R70" i="50"/>
  <c r="Q70" i="50"/>
  <c r="P70" i="50"/>
  <c r="O70" i="50"/>
  <c r="N70" i="50"/>
  <c r="M70" i="50"/>
  <c r="L70" i="50"/>
  <c r="K70" i="50"/>
  <c r="J70" i="50"/>
  <c r="I70" i="50"/>
  <c r="H70" i="50"/>
  <c r="G70" i="50"/>
  <c r="F70" i="50"/>
  <c r="E70" i="50"/>
  <c r="D70" i="50"/>
  <c r="U69" i="50"/>
  <c r="T69" i="50"/>
  <c r="S69" i="50"/>
  <c r="R69" i="50"/>
  <c r="Q69" i="50"/>
  <c r="P69" i="50"/>
  <c r="O69" i="50"/>
  <c r="N69" i="50"/>
  <c r="M69" i="50"/>
  <c r="L69" i="50"/>
  <c r="K69" i="50"/>
  <c r="J69" i="50"/>
  <c r="I69" i="50"/>
  <c r="H69" i="50"/>
  <c r="G69" i="50"/>
  <c r="F69" i="50"/>
  <c r="E69" i="50"/>
  <c r="D69" i="50"/>
  <c r="U67" i="50"/>
  <c r="T67" i="50"/>
  <c r="S67" i="50"/>
  <c r="R67" i="50"/>
  <c r="Q67" i="50"/>
  <c r="P67" i="50"/>
  <c r="O67" i="50"/>
  <c r="N67" i="50"/>
  <c r="M67" i="50"/>
  <c r="L67" i="50"/>
  <c r="K67" i="50"/>
  <c r="J67" i="50"/>
  <c r="I67" i="50"/>
  <c r="H67" i="50"/>
  <c r="G67" i="50"/>
  <c r="F67" i="50"/>
  <c r="E67" i="50"/>
  <c r="D67" i="50"/>
  <c r="U66" i="50"/>
  <c r="T66" i="50"/>
  <c r="S66" i="50"/>
  <c r="R66" i="50"/>
  <c r="Q66" i="50"/>
  <c r="P66" i="50"/>
  <c r="O66" i="50"/>
  <c r="N66" i="50"/>
  <c r="M66" i="50"/>
  <c r="L66" i="50"/>
  <c r="K66" i="50"/>
  <c r="J66" i="50"/>
  <c r="I66" i="50"/>
  <c r="H66" i="50"/>
  <c r="G66" i="50"/>
  <c r="F66" i="50"/>
  <c r="E66" i="50"/>
  <c r="D66" i="50"/>
  <c r="U65" i="50"/>
  <c r="T65" i="50"/>
  <c r="S65" i="50"/>
  <c r="R65" i="50"/>
  <c r="Q65" i="50"/>
  <c r="P65" i="50"/>
  <c r="O65" i="50"/>
  <c r="N65" i="50"/>
  <c r="M65" i="50"/>
  <c r="L65" i="50"/>
  <c r="K65" i="50"/>
  <c r="J65" i="50"/>
  <c r="I65" i="50"/>
  <c r="H65" i="50"/>
  <c r="G65" i="50"/>
  <c r="F65" i="50"/>
  <c r="E65" i="50"/>
  <c r="D65" i="50"/>
  <c r="U64" i="50"/>
  <c r="T64" i="50"/>
  <c r="S64" i="50"/>
  <c r="R64" i="50"/>
  <c r="Q64" i="50"/>
  <c r="P64" i="50"/>
  <c r="O64" i="50"/>
  <c r="N64" i="50"/>
  <c r="M64" i="50"/>
  <c r="L64" i="50"/>
  <c r="K64" i="50"/>
  <c r="J64" i="50"/>
  <c r="I64" i="50"/>
  <c r="H64" i="50"/>
  <c r="G64" i="50"/>
  <c r="F64" i="50"/>
  <c r="E64" i="50"/>
  <c r="D64" i="50"/>
  <c r="U63" i="50"/>
  <c r="T63" i="50"/>
  <c r="S63" i="50"/>
  <c r="R63" i="50"/>
  <c r="Q63" i="50"/>
  <c r="P63" i="50"/>
  <c r="O63" i="50"/>
  <c r="N63" i="50"/>
  <c r="M63" i="50"/>
  <c r="L63" i="50"/>
  <c r="K63" i="50"/>
  <c r="J63" i="50"/>
  <c r="I63" i="50"/>
  <c r="H63" i="50"/>
  <c r="G63" i="50"/>
  <c r="F63" i="50"/>
  <c r="E63" i="50"/>
  <c r="D63" i="50"/>
  <c r="U62" i="50"/>
  <c r="T62" i="50"/>
  <c r="S62" i="50"/>
  <c r="R62" i="50"/>
  <c r="Q62" i="50"/>
  <c r="P62" i="50"/>
  <c r="O62" i="50"/>
  <c r="N62" i="50"/>
  <c r="M62" i="50"/>
  <c r="L62" i="50"/>
  <c r="K62" i="50"/>
  <c r="J62" i="50"/>
  <c r="I62" i="50"/>
  <c r="H62" i="50"/>
  <c r="G62" i="50"/>
  <c r="F62" i="50"/>
  <c r="E62" i="50"/>
  <c r="D62" i="50"/>
  <c r="U61" i="50"/>
  <c r="T61" i="50"/>
  <c r="S61" i="50"/>
  <c r="R61" i="50"/>
  <c r="Q61" i="50"/>
  <c r="P61" i="50"/>
  <c r="O61" i="50"/>
  <c r="N61" i="50"/>
  <c r="M61" i="50"/>
  <c r="L61" i="50"/>
  <c r="K61" i="50"/>
  <c r="J61" i="50"/>
  <c r="I61" i="50"/>
  <c r="H61" i="50"/>
  <c r="G61" i="50"/>
  <c r="F61" i="50"/>
  <c r="E61" i="50"/>
  <c r="D61" i="50"/>
  <c r="U60" i="50"/>
  <c r="T60" i="50"/>
  <c r="S60" i="50"/>
  <c r="R60" i="50"/>
  <c r="Q60" i="50"/>
  <c r="P60" i="50"/>
  <c r="O60" i="50"/>
  <c r="N60" i="50"/>
  <c r="M60" i="50"/>
  <c r="L60" i="50"/>
  <c r="K60" i="50"/>
  <c r="J60" i="50"/>
  <c r="I60" i="50"/>
  <c r="H60" i="50"/>
  <c r="G60" i="50"/>
  <c r="F60" i="50"/>
  <c r="E60" i="50"/>
  <c r="D60" i="50"/>
  <c r="U58" i="50"/>
  <c r="T58" i="50"/>
  <c r="S58" i="50"/>
  <c r="R58" i="50"/>
  <c r="Q58" i="50"/>
  <c r="P58" i="50"/>
  <c r="O58" i="50"/>
  <c r="N58" i="50"/>
  <c r="M58" i="50"/>
  <c r="L58" i="50"/>
  <c r="K58" i="50"/>
  <c r="J58" i="50"/>
  <c r="I58" i="50"/>
  <c r="H58" i="50"/>
  <c r="G58" i="50"/>
  <c r="F58" i="50"/>
  <c r="E58" i="50"/>
  <c r="D58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7" i="50"/>
  <c r="U54" i="50"/>
  <c r="T54" i="50"/>
  <c r="S54" i="50"/>
  <c r="R54" i="50"/>
  <c r="Q54" i="50"/>
  <c r="P54" i="50"/>
  <c r="O54" i="50"/>
  <c r="N54" i="50"/>
  <c r="M54" i="50"/>
  <c r="L54" i="50"/>
  <c r="K54" i="50"/>
  <c r="J54" i="50"/>
  <c r="I54" i="50"/>
  <c r="H54" i="50"/>
  <c r="U53" i="50"/>
  <c r="T53" i="50"/>
  <c r="S53" i="50"/>
  <c r="R53" i="50"/>
  <c r="Q53" i="50"/>
  <c r="P53" i="50"/>
  <c r="O53" i="50"/>
  <c r="N53" i="50"/>
  <c r="M53" i="50"/>
  <c r="L53" i="50"/>
  <c r="K53" i="50"/>
  <c r="J53" i="50"/>
  <c r="I53" i="50"/>
  <c r="H53" i="50"/>
  <c r="U52" i="50"/>
  <c r="T52" i="50"/>
  <c r="S52" i="50"/>
  <c r="R52" i="50"/>
  <c r="Q52" i="50"/>
  <c r="P52" i="50"/>
  <c r="O52" i="50"/>
  <c r="N52" i="50"/>
  <c r="M52" i="50"/>
  <c r="L52" i="50"/>
  <c r="K52" i="50"/>
  <c r="J52" i="50"/>
  <c r="I52" i="50"/>
  <c r="H52" i="50"/>
  <c r="G52" i="50"/>
  <c r="F52" i="50"/>
  <c r="E52" i="50"/>
  <c r="D52" i="50"/>
  <c r="U51" i="50"/>
  <c r="T51" i="50"/>
  <c r="T55" i="50" s="1"/>
  <c r="S51" i="50"/>
  <c r="R51" i="50"/>
  <c r="Q51" i="50"/>
  <c r="P51" i="50"/>
  <c r="P55" i="50" s="1"/>
  <c r="O51" i="50"/>
  <c r="N51" i="50"/>
  <c r="N56" i="50" s="1"/>
  <c r="M51" i="50"/>
  <c r="L51" i="50"/>
  <c r="L55" i="50" s="1"/>
  <c r="K51" i="50"/>
  <c r="J51" i="50"/>
  <c r="I51" i="50"/>
  <c r="H51" i="50"/>
  <c r="G51" i="50"/>
  <c r="F51" i="50"/>
  <c r="E51" i="50"/>
  <c r="D51" i="50"/>
  <c r="U50" i="50"/>
  <c r="T50" i="50"/>
  <c r="S50" i="50"/>
  <c r="R50" i="50"/>
  <c r="Q50" i="50"/>
  <c r="P50" i="50"/>
  <c r="O50" i="50"/>
  <c r="N50" i="50"/>
  <c r="M50" i="50"/>
  <c r="L50" i="50"/>
  <c r="K50" i="50"/>
  <c r="J50" i="50"/>
  <c r="I50" i="50"/>
  <c r="H50" i="50"/>
  <c r="G50" i="50"/>
  <c r="F50" i="50"/>
  <c r="E50" i="50"/>
  <c r="D50" i="50"/>
  <c r="U49" i="50"/>
  <c r="T49" i="50"/>
  <c r="S49" i="50"/>
  <c r="R49" i="50"/>
  <c r="Q49" i="50"/>
  <c r="P49" i="50"/>
  <c r="O49" i="50"/>
  <c r="N49" i="50"/>
  <c r="M49" i="50"/>
  <c r="L49" i="50"/>
  <c r="K49" i="50"/>
  <c r="J49" i="50"/>
  <c r="I49" i="50"/>
  <c r="H49" i="50"/>
  <c r="G49" i="50"/>
  <c r="F49" i="50"/>
  <c r="E49" i="50"/>
  <c r="D49" i="50"/>
  <c r="U48" i="50"/>
  <c r="T48" i="50"/>
  <c r="S48" i="50"/>
  <c r="R48" i="50"/>
  <c r="Q48" i="50"/>
  <c r="P48" i="50"/>
  <c r="O48" i="50"/>
  <c r="N48" i="50"/>
  <c r="M48" i="50"/>
  <c r="L48" i="50"/>
  <c r="K48" i="50"/>
  <c r="J48" i="50"/>
  <c r="I48" i="50"/>
  <c r="H48" i="50"/>
  <c r="G48" i="50"/>
  <c r="F48" i="50"/>
  <c r="E48" i="50"/>
  <c r="D48" i="50"/>
  <c r="U46" i="50"/>
  <c r="T46" i="50"/>
  <c r="S46" i="50"/>
  <c r="R46" i="50"/>
  <c r="Q46" i="50"/>
  <c r="P46" i="50"/>
  <c r="O46" i="50"/>
  <c r="N46" i="50"/>
  <c r="M46" i="50"/>
  <c r="L46" i="50"/>
  <c r="K46" i="50"/>
  <c r="J46" i="50"/>
  <c r="I46" i="50"/>
  <c r="H46" i="50"/>
  <c r="G46" i="50"/>
  <c r="F46" i="50"/>
  <c r="E46" i="50"/>
  <c r="D46" i="50"/>
  <c r="U45" i="50"/>
  <c r="T45" i="50"/>
  <c r="S45" i="50"/>
  <c r="R45" i="50"/>
  <c r="Q45" i="50"/>
  <c r="P45" i="50"/>
  <c r="O45" i="50"/>
  <c r="N45" i="50"/>
  <c r="M45" i="50"/>
  <c r="L45" i="50"/>
  <c r="K45" i="50"/>
  <c r="J45" i="50"/>
  <c r="I45" i="50"/>
  <c r="H45" i="50"/>
  <c r="G45" i="50"/>
  <c r="F45" i="50"/>
  <c r="E45" i="50"/>
  <c r="D45" i="50"/>
  <c r="U43" i="50"/>
  <c r="T43" i="50"/>
  <c r="S43" i="50"/>
  <c r="R43" i="50"/>
  <c r="Q43" i="50"/>
  <c r="P43" i="50"/>
  <c r="O43" i="50"/>
  <c r="N43" i="50"/>
  <c r="M43" i="50"/>
  <c r="L43" i="50"/>
  <c r="K43" i="50"/>
  <c r="J43" i="50"/>
  <c r="I43" i="50"/>
  <c r="H43" i="50"/>
  <c r="G43" i="50"/>
  <c r="F43" i="50"/>
  <c r="E43" i="50"/>
  <c r="D43" i="50"/>
  <c r="U42" i="50"/>
  <c r="T42" i="50"/>
  <c r="S42" i="50"/>
  <c r="R42" i="50"/>
  <c r="Q42" i="50"/>
  <c r="P42" i="50"/>
  <c r="O42" i="50"/>
  <c r="N42" i="50"/>
  <c r="M42" i="50"/>
  <c r="L42" i="50"/>
  <c r="K42" i="50"/>
  <c r="J42" i="50"/>
  <c r="I42" i="50"/>
  <c r="H42" i="50"/>
  <c r="G42" i="50"/>
  <c r="F42" i="50"/>
  <c r="E42" i="50"/>
  <c r="D42" i="50"/>
  <c r="U41" i="50"/>
  <c r="T41" i="50"/>
  <c r="S41" i="50"/>
  <c r="R41" i="50"/>
  <c r="Q41" i="50"/>
  <c r="P41" i="50"/>
  <c r="O41" i="50"/>
  <c r="N41" i="50"/>
  <c r="M41" i="50"/>
  <c r="L41" i="50"/>
  <c r="K41" i="50"/>
  <c r="J41" i="50"/>
  <c r="I41" i="50"/>
  <c r="H41" i="50"/>
  <c r="G41" i="50"/>
  <c r="F41" i="50"/>
  <c r="E41" i="50"/>
  <c r="D41" i="50"/>
  <c r="U40" i="50"/>
  <c r="T40" i="50"/>
  <c r="S40" i="50"/>
  <c r="R40" i="50"/>
  <c r="Q40" i="50"/>
  <c r="P40" i="50"/>
  <c r="O40" i="50"/>
  <c r="N40" i="50"/>
  <c r="M40" i="50"/>
  <c r="L40" i="50"/>
  <c r="K40" i="50"/>
  <c r="J40" i="50"/>
  <c r="I40" i="50"/>
  <c r="H40" i="50"/>
  <c r="G40" i="50"/>
  <c r="F40" i="50"/>
  <c r="E40" i="50"/>
  <c r="D40" i="50"/>
  <c r="U39" i="50"/>
  <c r="T39" i="50"/>
  <c r="S39" i="50"/>
  <c r="R39" i="50"/>
  <c r="Q39" i="50"/>
  <c r="P39" i="50"/>
  <c r="O39" i="50"/>
  <c r="N39" i="50"/>
  <c r="M39" i="50"/>
  <c r="L39" i="50"/>
  <c r="K39" i="50"/>
  <c r="J39" i="50"/>
  <c r="I39" i="50"/>
  <c r="H39" i="50"/>
  <c r="G39" i="50"/>
  <c r="F39" i="50"/>
  <c r="E39" i="50"/>
  <c r="D39" i="50"/>
  <c r="U38" i="50"/>
  <c r="T38" i="50"/>
  <c r="S38" i="50"/>
  <c r="R38" i="50"/>
  <c r="Q38" i="50"/>
  <c r="P38" i="50"/>
  <c r="O38" i="50"/>
  <c r="N38" i="50"/>
  <c r="M38" i="50"/>
  <c r="L38" i="50"/>
  <c r="K38" i="50"/>
  <c r="J38" i="50"/>
  <c r="I38" i="50"/>
  <c r="H38" i="50"/>
  <c r="G38" i="50"/>
  <c r="F38" i="50"/>
  <c r="E38" i="50"/>
  <c r="D38" i="50"/>
  <c r="U37" i="50"/>
  <c r="T37" i="50"/>
  <c r="S37" i="50"/>
  <c r="R37" i="50"/>
  <c r="Q37" i="50"/>
  <c r="P37" i="50"/>
  <c r="O37" i="50"/>
  <c r="N37" i="50"/>
  <c r="M37" i="50"/>
  <c r="L37" i="50"/>
  <c r="K37" i="50"/>
  <c r="J37" i="50"/>
  <c r="I37" i="50"/>
  <c r="H37" i="50"/>
  <c r="G37" i="50"/>
  <c r="F37" i="50"/>
  <c r="E37" i="50"/>
  <c r="D37" i="50"/>
  <c r="U36" i="50"/>
  <c r="T36" i="50"/>
  <c r="S36" i="50"/>
  <c r="R36" i="50"/>
  <c r="Q36" i="50"/>
  <c r="P36" i="50"/>
  <c r="O36" i="50"/>
  <c r="N36" i="50"/>
  <c r="M36" i="50"/>
  <c r="L36" i="50"/>
  <c r="K36" i="50"/>
  <c r="J36" i="50"/>
  <c r="I36" i="50"/>
  <c r="H36" i="50"/>
  <c r="G36" i="50"/>
  <c r="F36" i="50"/>
  <c r="E36" i="50"/>
  <c r="D36" i="50"/>
  <c r="U35" i="50"/>
  <c r="T35" i="50"/>
  <c r="S35" i="50"/>
  <c r="R35" i="50"/>
  <c r="Q35" i="50"/>
  <c r="P35" i="50"/>
  <c r="O35" i="50"/>
  <c r="N35" i="50"/>
  <c r="M35" i="50"/>
  <c r="L35" i="50"/>
  <c r="K35" i="50"/>
  <c r="J35" i="50"/>
  <c r="I35" i="50"/>
  <c r="H35" i="50"/>
  <c r="G35" i="50"/>
  <c r="F35" i="50"/>
  <c r="E35" i="50"/>
  <c r="D35" i="50"/>
  <c r="U34" i="50"/>
  <c r="T34" i="50"/>
  <c r="S34" i="50"/>
  <c r="R34" i="50"/>
  <c r="Q34" i="50"/>
  <c r="P34" i="50"/>
  <c r="O34" i="50"/>
  <c r="N34" i="50"/>
  <c r="M34" i="50"/>
  <c r="L34" i="50"/>
  <c r="K34" i="50"/>
  <c r="J34" i="50"/>
  <c r="I34" i="50"/>
  <c r="H34" i="50"/>
  <c r="G34" i="50"/>
  <c r="F34" i="50"/>
  <c r="E34" i="50"/>
  <c r="D34" i="50"/>
  <c r="U33" i="50"/>
  <c r="T33" i="50"/>
  <c r="S33" i="50"/>
  <c r="R33" i="50"/>
  <c r="Q33" i="50"/>
  <c r="P33" i="50"/>
  <c r="O33" i="50"/>
  <c r="N33" i="50"/>
  <c r="M33" i="50"/>
  <c r="L33" i="50"/>
  <c r="K33" i="50"/>
  <c r="J33" i="50"/>
  <c r="I33" i="50"/>
  <c r="H33" i="50"/>
  <c r="G33" i="50"/>
  <c r="F33" i="50"/>
  <c r="E33" i="50"/>
  <c r="D33" i="50"/>
  <c r="U32" i="50"/>
  <c r="T32" i="50"/>
  <c r="S32" i="50"/>
  <c r="R32" i="50"/>
  <c r="Q32" i="50"/>
  <c r="P32" i="50"/>
  <c r="O32" i="50"/>
  <c r="N32" i="50"/>
  <c r="M32" i="50"/>
  <c r="L32" i="50"/>
  <c r="K32" i="50"/>
  <c r="J32" i="50"/>
  <c r="I32" i="50"/>
  <c r="H32" i="50"/>
  <c r="G32" i="50"/>
  <c r="F32" i="50"/>
  <c r="E32" i="50"/>
  <c r="D32" i="50"/>
  <c r="U31" i="50"/>
  <c r="T31" i="50"/>
  <c r="S31" i="50"/>
  <c r="R31" i="50"/>
  <c r="Q31" i="50"/>
  <c r="P31" i="50"/>
  <c r="O31" i="50"/>
  <c r="N31" i="50"/>
  <c r="M31" i="50"/>
  <c r="L31" i="50"/>
  <c r="K31" i="50"/>
  <c r="J31" i="50"/>
  <c r="I31" i="50"/>
  <c r="H31" i="50"/>
  <c r="G31" i="50"/>
  <c r="F31" i="50"/>
  <c r="E31" i="50"/>
  <c r="D31" i="50"/>
  <c r="U30" i="50"/>
  <c r="T30" i="50"/>
  <c r="S30" i="50"/>
  <c r="R30" i="50"/>
  <c r="Q30" i="50"/>
  <c r="P30" i="50"/>
  <c r="O30" i="50"/>
  <c r="N30" i="50"/>
  <c r="M30" i="50"/>
  <c r="L30" i="50"/>
  <c r="K30" i="50"/>
  <c r="J30" i="50"/>
  <c r="I30" i="50"/>
  <c r="H30" i="50"/>
  <c r="G30" i="50"/>
  <c r="F30" i="50"/>
  <c r="E30" i="50"/>
  <c r="D30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9" i="50"/>
  <c r="U28" i="50"/>
  <c r="T28" i="50"/>
  <c r="S28" i="50"/>
  <c r="R28" i="50"/>
  <c r="Q28" i="50"/>
  <c r="P28" i="50"/>
  <c r="O28" i="50"/>
  <c r="N28" i="50"/>
  <c r="M28" i="50"/>
  <c r="L28" i="50"/>
  <c r="K28" i="50"/>
  <c r="J28" i="50"/>
  <c r="I28" i="50"/>
  <c r="H28" i="50"/>
  <c r="G28" i="50"/>
  <c r="F28" i="50"/>
  <c r="E28" i="50"/>
  <c r="D28" i="50"/>
  <c r="U27" i="50"/>
  <c r="T27" i="50"/>
  <c r="S27" i="50"/>
  <c r="R27" i="50"/>
  <c r="Q27" i="50"/>
  <c r="P27" i="50"/>
  <c r="O27" i="50"/>
  <c r="N27" i="50"/>
  <c r="M27" i="50"/>
  <c r="L27" i="50"/>
  <c r="K27" i="50"/>
  <c r="J27" i="50"/>
  <c r="I27" i="50"/>
  <c r="H27" i="50"/>
  <c r="G27" i="50"/>
  <c r="F27" i="50"/>
  <c r="E27" i="50"/>
  <c r="D27" i="50"/>
  <c r="U26" i="50"/>
  <c r="T26" i="50"/>
  <c r="S26" i="50"/>
  <c r="R26" i="50"/>
  <c r="Q26" i="50"/>
  <c r="P26" i="50"/>
  <c r="O26" i="50"/>
  <c r="N26" i="50"/>
  <c r="M26" i="50"/>
  <c r="L26" i="50"/>
  <c r="K26" i="50"/>
  <c r="J26" i="50"/>
  <c r="I26" i="50"/>
  <c r="H26" i="50"/>
  <c r="G26" i="50"/>
  <c r="F26" i="50"/>
  <c r="E26" i="50"/>
  <c r="D26" i="50"/>
  <c r="U25" i="50"/>
  <c r="T25" i="50"/>
  <c r="S25" i="50"/>
  <c r="R25" i="50"/>
  <c r="Q25" i="50"/>
  <c r="P25" i="50"/>
  <c r="O25" i="50"/>
  <c r="N25" i="50"/>
  <c r="M25" i="50"/>
  <c r="L25" i="50"/>
  <c r="K25" i="50"/>
  <c r="J25" i="50"/>
  <c r="I25" i="50"/>
  <c r="H25" i="50"/>
  <c r="G25" i="50"/>
  <c r="F25" i="50"/>
  <c r="E25" i="50"/>
  <c r="D25" i="50"/>
  <c r="U24" i="50"/>
  <c r="T24" i="50"/>
  <c r="S24" i="50"/>
  <c r="R24" i="50"/>
  <c r="Q24" i="50"/>
  <c r="P24" i="50"/>
  <c r="O24" i="50"/>
  <c r="N24" i="50"/>
  <c r="M24" i="50"/>
  <c r="L24" i="50"/>
  <c r="K24" i="50"/>
  <c r="J24" i="50"/>
  <c r="I24" i="50"/>
  <c r="H24" i="50"/>
  <c r="G24" i="50"/>
  <c r="F24" i="50"/>
  <c r="E24" i="50"/>
  <c r="D24" i="50"/>
  <c r="U23" i="50"/>
  <c r="T23" i="50"/>
  <c r="S23" i="50"/>
  <c r="R23" i="50"/>
  <c r="Q23" i="50"/>
  <c r="P23" i="50"/>
  <c r="O23" i="50"/>
  <c r="N23" i="50"/>
  <c r="M23" i="50"/>
  <c r="L23" i="50"/>
  <c r="K23" i="50"/>
  <c r="J23" i="50"/>
  <c r="I23" i="50"/>
  <c r="H23" i="50"/>
  <c r="G23" i="50"/>
  <c r="F23" i="50"/>
  <c r="E23" i="50"/>
  <c r="D23" i="50"/>
  <c r="U22" i="50"/>
  <c r="T22" i="50"/>
  <c r="S22" i="50"/>
  <c r="R22" i="50"/>
  <c r="Q22" i="50"/>
  <c r="P22" i="50"/>
  <c r="O22" i="50"/>
  <c r="N22" i="50"/>
  <c r="M22" i="50"/>
  <c r="L22" i="50"/>
  <c r="K22" i="50"/>
  <c r="J22" i="50"/>
  <c r="I22" i="50"/>
  <c r="H22" i="50"/>
  <c r="G22" i="50"/>
  <c r="F22" i="50"/>
  <c r="E22" i="50"/>
  <c r="D22" i="50"/>
  <c r="U21" i="50"/>
  <c r="T21" i="50"/>
  <c r="S21" i="50"/>
  <c r="R21" i="50"/>
  <c r="Q21" i="50"/>
  <c r="P21" i="50"/>
  <c r="O21" i="50"/>
  <c r="N21" i="50"/>
  <c r="M21" i="50"/>
  <c r="L21" i="50"/>
  <c r="K21" i="50"/>
  <c r="J21" i="50"/>
  <c r="I21" i="50"/>
  <c r="H21" i="50"/>
  <c r="G21" i="50"/>
  <c r="F21" i="50"/>
  <c r="E21" i="50"/>
  <c r="D21" i="50"/>
  <c r="U20" i="50"/>
  <c r="T20" i="50"/>
  <c r="S20" i="50"/>
  <c r="R20" i="50"/>
  <c r="Q20" i="50"/>
  <c r="P20" i="50"/>
  <c r="O20" i="50"/>
  <c r="N20" i="50"/>
  <c r="M20" i="50"/>
  <c r="L20" i="50"/>
  <c r="K20" i="50"/>
  <c r="J20" i="50"/>
  <c r="I20" i="50"/>
  <c r="H20" i="50"/>
  <c r="G20" i="50"/>
  <c r="F20" i="50"/>
  <c r="E20" i="50"/>
  <c r="D20" i="50"/>
  <c r="U19" i="50"/>
  <c r="T19" i="50"/>
  <c r="S19" i="50"/>
  <c r="R19" i="50"/>
  <c r="Q19" i="50"/>
  <c r="P19" i="50"/>
  <c r="O19" i="50"/>
  <c r="N19" i="50"/>
  <c r="M19" i="50"/>
  <c r="L19" i="50"/>
  <c r="K19" i="50"/>
  <c r="J19" i="50"/>
  <c r="I19" i="50"/>
  <c r="H19" i="50"/>
  <c r="G19" i="50"/>
  <c r="F19" i="50"/>
  <c r="E19" i="50"/>
  <c r="D19" i="50"/>
  <c r="U18" i="50"/>
  <c r="T18" i="50"/>
  <c r="S18" i="50"/>
  <c r="R18" i="50"/>
  <c r="Q18" i="50"/>
  <c r="P18" i="50"/>
  <c r="O18" i="50"/>
  <c r="N18" i="50"/>
  <c r="M18" i="50"/>
  <c r="L18" i="50"/>
  <c r="K18" i="50"/>
  <c r="J18" i="50"/>
  <c r="I18" i="50"/>
  <c r="H18" i="50"/>
  <c r="G18" i="50"/>
  <c r="F18" i="50"/>
  <c r="E18" i="50"/>
  <c r="D18" i="50"/>
  <c r="U17" i="50"/>
  <c r="T17" i="50"/>
  <c r="S17" i="50"/>
  <c r="R17" i="50"/>
  <c r="Q17" i="50"/>
  <c r="P17" i="50"/>
  <c r="O17" i="50"/>
  <c r="N17" i="50"/>
  <c r="M17" i="50"/>
  <c r="L17" i="50"/>
  <c r="K17" i="50"/>
  <c r="J17" i="50"/>
  <c r="I17" i="50"/>
  <c r="H17" i="50"/>
  <c r="G17" i="50"/>
  <c r="F17" i="50"/>
  <c r="E17" i="50"/>
  <c r="D17" i="50"/>
  <c r="U16" i="50"/>
  <c r="T16" i="50"/>
  <c r="S16" i="50"/>
  <c r="R16" i="50"/>
  <c r="Q16" i="50"/>
  <c r="P16" i="50"/>
  <c r="O16" i="50"/>
  <c r="N16" i="50"/>
  <c r="M16" i="50"/>
  <c r="L16" i="50"/>
  <c r="K16" i="50"/>
  <c r="J16" i="50"/>
  <c r="I16" i="50"/>
  <c r="H16" i="50"/>
  <c r="G16" i="50"/>
  <c r="F16" i="50"/>
  <c r="E16" i="50"/>
  <c r="D16" i="50"/>
  <c r="U15" i="50"/>
  <c r="T15" i="50"/>
  <c r="S15" i="50"/>
  <c r="R15" i="50"/>
  <c r="Q15" i="50"/>
  <c r="P15" i="50"/>
  <c r="O15" i="50"/>
  <c r="N15" i="50"/>
  <c r="M15" i="50"/>
  <c r="L15" i="50"/>
  <c r="K15" i="50"/>
  <c r="J15" i="50"/>
  <c r="I15" i="50"/>
  <c r="H15" i="50"/>
  <c r="G15" i="50"/>
  <c r="F15" i="50"/>
  <c r="E15" i="50"/>
  <c r="D15" i="50"/>
  <c r="U14" i="50"/>
  <c r="T14" i="50"/>
  <c r="S14" i="50"/>
  <c r="R14" i="50"/>
  <c r="Q14" i="50"/>
  <c r="P14" i="50"/>
  <c r="O14" i="50"/>
  <c r="N14" i="50"/>
  <c r="M14" i="50"/>
  <c r="L14" i="50"/>
  <c r="K14" i="50"/>
  <c r="J14" i="50"/>
  <c r="I14" i="50"/>
  <c r="H14" i="50"/>
  <c r="G14" i="50"/>
  <c r="F14" i="50"/>
  <c r="E14" i="50"/>
  <c r="D14" i="50"/>
  <c r="U13" i="50"/>
  <c r="T13" i="50"/>
  <c r="S13" i="50"/>
  <c r="R13" i="50"/>
  <c r="Q13" i="50"/>
  <c r="P13" i="50"/>
  <c r="O13" i="50"/>
  <c r="N13" i="50"/>
  <c r="M13" i="50"/>
  <c r="L13" i="50"/>
  <c r="K13" i="50"/>
  <c r="J13" i="50"/>
  <c r="I13" i="50"/>
  <c r="H13" i="50"/>
  <c r="G13" i="50"/>
  <c r="F13" i="50"/>
  <c r="E13" i="50"/>
  <c r="D13" i="50"/>
  <c r="U12" i="50"/>
  <c r="T12" i="50"/>
  <c r="S12" i="50"/>
  <c r="R12" i="50"/>
  <c r="Q12" i="50"/>
  <c r="P12" i="50"/>
  <c r="O12" i="50"/>
  <c r="N12" i="50"/>
  <c r="M12" i="50"/>
  <c r="L12" i="50"/>
  <c r="K12" i="50"/>
  <c r="J12" i="50"/>
  <c r="I12" i="50"/>
  <c r="H12" i="50"/>
  <c r="G12" i="50"/>
  <c r="F12" i="50"/>
  <c r="E12" i="50"/>
  <c r="D12" i="50"/>
  <c r="U11" i="50"/>
  <c r="T11" i="50"/>
  <c r="S11" i="50"/>
  <c r="R11" i="50"/>
  <c r="Q11" i="50"/>
  <c r="P11" i="50"/>
  <c r="O11" i="50"/>
  <c r="N11" i="50"/>
  <c r="M11" i="50"/>
  <c r="L11" i="50"/>
  <c r="K11" i="50"/>
  <c r="J11" i="50"/>
  <c r="I11" i="50"/>
  <c r="H11" i="50"/>
  <c r="G11" i="50"/>
  <c r="F11" i="50"/>
  <c r="E11" i="50"/>
  <c r="D11" i="50"/>
  <c r="U10" i="50"/>
  <c r="T10" i="50"/>
  <c r="S10" i="50"/>
  <c r="R10" i="50"/>
  <c r="Q10" i="50"/>
  <c r="P10" i="50"/>
  <c r="O10" i="50"/>
  <c r="N10" i="50"/>
  <c r="M10" i="50"/>
  <c r="L10" i="50"/>
  <c r="K10" i="50"/>
  <c r="J10" i="50"/>
  <c r="I10" i="50"/>
  <c r="H10" i="50"/>
  <c r="G10" i="50"/>
  <c r="F10" i="50"/>
  <c r="E10" i="50"/>
  <c r="D10" i="50"/>
  <c r="U9" i="50"/>
  <c r="T9" i="50"/>
  <c r="S9" i="50"/>
  <c r="R9" i="50"/>
  <c r="Q9" i="50"/>
  <c r="P9" i="50"/>
  <c r="O9" i="50"/>
  <c r="N9" i="50"/>
  <c r="M9" i="50"/>
  <c r="L9" i="50"/>
  <c r="K9" i="50"/>
  <c r="J9" i="50"/>
  <c r="I9" i="50"/>
  <c r="H9" i="50"/>
  <c r="G9" i="50"/>
  <c r="F9" i="50"/>
  <c r="E9" i="50"/>
  <c r="D9" i="50"/>
  <c r="U8" i="50"/>
  <c r="T8" i="50"/>
  <c r="S8" i="50"/>
  <c r="R8" i="50"/>
  <c r="Q8" i="50"/>
  <c r="P8" i="50"/>
  <c r="O8" i="50"/>
  <c r="N8" i="50"/>
  <c r="M8" i="50"/>
  <c r="L8" i="50"/>
  <c r="K8" i="50"/>
  <c r="J8" i="50"/>
  <c r="I8" i="50"/>
  <c r="H8" i="50"/>
  <c r="G8" i="50"/>
  <c r="F8" i="50"/>
  <c r="E8" i="50"/>
  <c r="D8" i="50"/>
  <c r="U7" i="50"/>
  <c r="T7" i="50"/>
  <c r="S7" i="50"/>
  <c r="R7" i="50"/>
  <c r="Q7" i="50"/>
  <c r="P7" i="50"/>
  <c r="O7" i="50"/>
  <c r="N7" i="50"/>
  <c r="M7" i="50"/>
  <c r="L7" i="50"/>
  <c r="K7" i="50"/>
  <c r="J7" i="50"/>
  <c r="I7" i="50"/>
  <c r="H7" i="50"/>
  <c r="G7" i="50"/>
  <c r="F7" i="50"/>
  <c r="E7" i="50"/>
  <c r="D7" i="50"/>
  <c r="U6" i="50"/>
  <c r="T6" i="50"/>
  <c r="S6" i="50"/>
  <c r="R6" i="50"/>
  <c r="Q6" i="50"/>
  <c r="P6" i="50"/>
  <c r="O6" i="50"/>
  <c r="N6" i="50"/>
  <c r="M6" i="50"/>
  <c r="L6" i="50"/>
  <c r="K6" i="50"/>
  <c r="J6" i="50"/>
  <c r="I6" i="50"/>
  <c r="H6" i="50"/>
  <c r="G6" i="50"/>
  <c r="F6" i="50"/>
  <c r="E6" i="50"/>
  <c r="D6" i="50"/>
  <c r="U5" i="50"/>
  <c r="T5" i="50"/>
  <c r="S5" i="50"/>
  <c r="R5" i="50"/>
  <c r="Q5" i="50"/>
  <c r="P5" i="50"/>
  <c r="O5" i="50"/>
  <c r="N5" i="50"/>
  <c r="M5" i="50"/>
  <c r="L5" i="50"/>
  <c r="K5" i="50"/>
  <c r="J5" i="50"/>
  <c r="I5" i="50"/>
  <c r="H5" i="50"/>
  <c r="G5" i="50"/>
  <c r="F5" i="50"/>
  <c r="E5" i="50"/>
  <c r="D5" i="50"/>
  <c r="U4" i="50"/>
  <c r="T4" i="50"/>
  <c r="S4" i="50"/>
  <c r="R4" i="50"/>
  <c r="Q4" i="50"/>
  <c r="P4" i="50"/>
  <c r="O4" i="50"/>
  <c r="N4" i="50"/>
  <c r="M4" i="50"/>
  <c r="L4" i="50"/>
  <c r="K4" i="50"/>
  <c r="J4" i="50"/>
  <c r="I4" i="50"/>
  <c r="H4" i="50"/>
  <c r="G4" i="50"/>
  <c r="F4" i="50"/>
  <c r="E4" i="50"/>
  <c r="D4" i="50"/>
  <c r="H3" i="50"/>
  <c r="G3" i="50" s="1"/>
  <c r="F3" i="50" s="1"/>
  <c r="E3" i="50" s="1"/>
  <c r="D3" i="50" s="1"/>
  <c r="H2" i="50"/>
  <c r="R56" i="50" l="1"/>
  <c r="K56" i="50"/>
  <c r="O56" i="50"/>
  <c r="S56" i="50"/>
  <c r="I3" i="50"/>
  <c r="J3" i="50" s="1"/>
  <c r="K3" i="50" s="1"/>
  <c r="L3" i="50" s="1"/>
  <c r="M3" i="50" s="1"/>
  <c r="N3" i="50" s="1"/>
  <c r="O3" i="50" s="1"/>
  <c r="P3" i="50" s="1"/>
  <c r="Q3" i="50" s="1"/>
  <c r="R3" i="50" s="1"/>
  <c r="S3" i="50" s="1"/>
  <c r="T3" i="50" s="1"/>
  <c r="U3" i="50" s="1"/>
  <c r="H56" i="50"/>
  <c r="L56" i="50"/>
  <c r="P56" i="50"/>
  <c r="T56" i="50"/>
  <c r="H55" i="50"/>
  <c r="J56" i="50"/>
  <c r="K55" i="50"/>
  <c r="O55" i="50"/>
  <c r="S55" i="50"/>
  <c r="I56" i="50"/>
  <c r="M56" i="50"/>
  <c r="Q56" i="50"/>
  <c r="U56" i="50"/>
  <c r="I55" i="50"/>
  <c r="M55" i="50"/>
  <c r="Q55" i="50"/>
  <c r="U55" i="50"/>
  <c r="J55" i="50"/>
  <c r="N55" i="50"/>
  <c r="R55" i="50"/>
  <c r="F56" i="1" l="1"/>
  <c r="F55" i="1"/>
  <c r="F41" i="1"/>
  <c r="G55" i="1" l="1"/>
  <c r="G56" i="1"/>
  <c r="G41" i="1"/>
  <c r="H20" i="1"/>
  <c r="G20" i="1"/>
  <c r="G10" i="1" l="1"/>
  <c r="G7" i="1" s="1"/>
  <c r="H10" i="1"/>
  <c r="I10" i="1"/>
  <c r="J10" i="1"/>
  <c r="F10" i="1"/>
  <c r="G16" i="1"/>
  <c r="K18" i="1"/>
  <c r="K17" i="1" l="1"/>
  <c r="F32" i="1"/>
  <c r="G32" i="1"/>
  <c r="F33" i="1"/>
  <c r="G33" i="1"/>
  <c r="F37" i="1"/>
  <c r="G37" i="1"/>
  <c r="F30" i="1" l="1"/>
  <c r="G30" i="1"/>
  <c r="K30" i="1" l="1"/>
  <c r="F39" i="1" l="1"/>
  <c r="H39" i="1"/>
  <c r="G39" i="1"/>
  <c r="H56" i="1"/>
  <c r="K54" i="1" l="1"/>
  <c r="K56" i="1"/>
  <c r="F54" i="1"/>
  <c r="G54" i="1"/>
  <c r="F26" i="1"/>
  <c r="G26" i="1"/>
  <c r="F52" i="1" l="1"/>
  <c r="G52" i="1" l="1"/>
  <c r="F28" i="1" l="1"/>
  <c r="I28" i="1"/>
  <c r="H28" i="1"/>
  <c r="J28" i="1"/>
  <c r="G28" i="1"/>
  <c r="K60" i="1"/>
  <c r="K59" i="1"/>
  <c r="F35" i="1" l="1"/>
  <c r="G35" i="1"/>
  <c r="F34" i="1"/>
  <c r="G34" i="1"/>
  <c r="F25" i="1" l="1"/>
  <c r="F7" i="1" s="1"/>
  <c r="F19" i="1"/>
  <c r="K58" i="1" l="1"/>
  <c r="F40" i="1" l="1"/>
  <c r="G40" i="1"/>
  <c r="G50" i="1" l="1"/>
  <c r="K20" i="1"/>
  <c r="F50" i="1" l="1"/>
  <c r="K16" i="1" l="1"/>
  <c r="K10" i="1" s="1"/>
  <c r="K57" i="1" l="1"/>
  <c r="K27" i="1" l="1"/>
  <c r="G25" i="1"/>
  <c r="G24" i="1" s="1"/>
  <c r="H25" i="1"/>
  <c r="I25" i="1"/>
  <c r="J25" i="1"/>
  <c r="J7" i="1"/>
  <c r="J24" i="1"/>
  <c r="J21" i="1"/>
  <c r="J19" i="1"/>
  <c r="J8" i="1" s="1"/>
  <c r="J9" i="1"/>
  <c r="J6" i="1" l="1"/>
  <c r="K55" i="1" l="1"/>
  <c r="K53" i="1" l="1"/>
  <c r="K52" i="1"/>
  <c r="K51" i="1"/>
  <c r="K50" i="1"/>
  <c r="K49" i="1"/>
  <c r="K48" i="1"/>
  <c r="K47" i="1"/>
  <c r="K46" i="1"/>
  <c r="K45" i="1"/>
  <c r="K44" i="1"/>
  <c r="K43" i="1" l="1"/>
  <c r="K15" i="1" l="1"/>
  <c r="K42" i="1" l="1"/>
  <c r="K14" i="1" l="1"/>
  <c r="K41" i="1" l="1"/>
  <c r="G19" i="1" l="1"/>
  <c r="H19" i="1"/>
  <c r="H9" i="1" s="1"/>
  <c r="I19" i="1"/>
  <c r="I9" i="1" s="1"/>
  <c r="G9" i="1" l="1"/>
  <c r="G6" i="1" s="1"/>
  <c r="G8" i="1"/>
  <c r="H8" i="1"/>
  <c r="I8" i="1"/>
  <c r="K13" i="1" l="1"/>
  <c r="H7" i="1" l="1"/>
  <c r="I7" i="1"/>
  <c r="K26" i="1"/>
  <c r="K25" i="1" s="1"/>
  <c r="K12" i="1" l="1"/>
  <c r="H24" i="1" l="1"/>
  <c r="I24" i="1"/>
  <c r="K40" i="1"/>
  <c r="K11" i="1" l="1"/>
  <c r="K23" i="1" l="1"/>
  <c r="K22" i="1"/>
  <c r="K31" i="1"/>
  <c r="K32" i="1"/>
  <c r="K33" i="1"/>
  <c r="K34" i="1"/>
  <c r="K35" i="1"/>
  <c r="K36" i="1"/>
  <c r="K37" i="1"/>
  <c r="K38" i="1"/>
  <c r="K39" i="1"/>
  <c r="K29" i="1"/>
  <c r="K28" i="1" l="1"/>
  <c r="K24" i="1" s="1"/>
  <c r="K19" i="1"/>
  <c r="K9" i="1" s="1"/>
  <c r="K7" i="1"/>
  <c r="K8" i="1" l="1"/>
  <c r="I21" i="1" l="1"/>
  <c r="I6" i="1" s="1"/>
  <c r="H21" i="1"/>
  <c r="H6" i="1" s="1"/>
  <c r="G21" i="1"/>
  <c r="F21" i="1"/>
  <c r="K21" i="1" l="1"/>
  <c r="K6" i="1" s="1"/>
  <c r="F24" i="1"/>
  <c r="F9" i="1"/>
  <c r="F8" i="1"/>
  <c r="F6" i="1" l="1"/>
</calcChain>
</file>

<file path=xl/sharedStrings.xml><?xml version="1.0" encoding="utf-8"?>
<sst xmlns="http://schemas.openxmlformats.org/spreadsheetml/2006/main" count="582" uniqueCount="390">
  <si>
    <t>Wykaz przedsięwzięć wieloletnich</t>
  </si>
  <si>
    <t>Lp.</t>
  </si>
  <si>
    <t>Nazwa i cel przedsięwzięcia</t>
  </si>
  <si>
    <t>Jednostka odpowiedzialna                                          lub koordynująca program</t>
  </si>
  <si>
    <t>Okres realizacji programu</t>
  </si>
  <si>
    <t>Łączne nakłady finansowe</t>
  </si>
  <si>
    <t>Limit zobowiązań</t>
  </si>
  <si>
    <t>od</t>
  </si>
  <si>
    <t>do</t>
  </si>
  <si>
    <t>1.</t>
  </si>
  <si>
    <t>Wydatki na przedsięwzięcia - ogółem (1.1.+1.2.+1.3.), z tego:</t>
  </si>
  <si>
    <t>1.a</t>
  </si>
  <si>
    <t>wydatki bieżące</t>
  </si>
  <si>
    <t>1.b</t>
  </si>
  <si>
    <t>wydatki majątkowe</t>
  </si>
  <si>
    <t>1.1.</t>
  </si>
  <si>
    <t>1.1.1.</t>
  </si>
  <si>
    <t>Starostwo Powiatowe</t>
  </si>
  <si>
    <t>Zespół Szkół Ekonomiczno-Gastronomicznych</t>
  </si>
  <si>
    <t>1.1.2.</t>
  </si>
  <si>
    <t>Regionalne partnerstwo samorządów Mazowsza dla aktywizacji społeczeństwa informacyjnego w zakresie e-administracji i geoinformacji</t>
  </si>
  <si>
    <t>1.2.</t>
  </si>
  <si>
    <t>Wydatki na programy, projekty lub zadania związane z umowami partnerstwa publiczno-prywatnego, z tego:</t>
  </si>
  <si>
    <t>1.2.1</t>
  </si>
  <si>
    <t>1.2.2</t>
  </si>
  <si>
    <t>1.3.</t>
  </si>
  <si>
    <t>Wydatki na programy, projekty lub zadania pozostałe (inne niż wymienione w pkt 1.1, 1.2), z tego:</t>
  </si>
  <si>
    <t>1.3.1.</t>
  </si>
  <si>
    <t>1.3.2.</t>
  </si>
  <si>
    <t>1.3.2.1</t>
  </si>
  <si>
    <t>Budowa chodnika przy drodze powiatowej Nr 2709W w Czarnówce od skrzyżowania w Gliniance</t>
  </si>
  <si>
    <t>Zarząd Dróg Powiatowych</t>
  </si>
  <si>
    <t>Przebudowa i rozbudowa budynku w Otwocku przy ul. Komunardów wraz z towarzyszącą infrastrukturą na potrzeby siedziby Starostwa i jednostek organizacyjnych powiatu</t>
  </si>
  <si>
    <t>Rozbudowa ul. Jana Pawła II w Otwocku i ul. Sikorskiego w Józefowie oraz budowa odcinka projektowanej ul. Sikorskiego, na odcinku od km 0+000 do km 1+708,58 wraz z obiektem mostowym przez rzekę Świder, na terenie gminy Otwock i Józefów, powiat otwocki</t>
  </si>
  <si>
    <t>Przebudowa ciągu drogi powiatowej Nr 2758W - ul. Samorządowej i Czaplickiego w Otwocku</t>
  </si>
  <si>
    <t>Przebudowa drogi powiatowej Nr 2245 w m. Dobrzyniec, gmina Kołbiel</t>
  </si>
  <si>
    <t>1.1.1.1</t>
  </si>
  <si>
    <t>1.1.2.1</t>
  </si>
  <si>
    <t>1.3.2.2</t>
  </si>
  <si>
    <t>1.3.2.3</t>
  </si>
  <si>
    <t>1.3.2.4</t>
  </si>
  <si>
    <t>1.3.2.5</t>
  </si>
  <si>
    <t>1.3.2.6</t>
  </si>
  <si>
    <t>1.3.2.7</t>
  </si>
  <si>
    <t>1.3.2.8</t>
  </si>
  <si>
    <t>1.3.2.9</t>
  </si>
  <si>
    <t>1.3.2.10</t>
  </si>
  <si>
    <t>1.3.2.11</t>
  </si>
  <si>
    <t>1.3.2.12</t>
  </si>
  <si>
    <t xml:space="preserve">Wykonanie </t>
  </si>
  <si>
    <t>Plan 3 kw.</t>
  </si>
  <si>
    <t>Wyszczególnienie</t>
  </si>
  <si>
    <t>Dochody ogółem</t>
  </si>
  <si>
    <t>1.1</t>
  </si>
  <si>
    <t>Dochody bieżące</t>
  </si>
  <si>
    <t>1.1.1</t>
  </si>
  <si>
    <t>dochody z tytułu udziału we wpływach z podatku dochodowego od osób fizycznych</t>
  </si>
  <si>
    <t>1.1.2</t>
  </si>
  <si>
    <t>dochody z tytułu udziału we wpływach z podatku dochodowego od osób prawnych</t>
  </si>
  <si>
    <t>1.1.3</t>
  </si>
  <si>
    <t>podatki i opłaty</t>
  </si>
  <si>
    <t>1.1.3.1</t>
  </si>
  <si>
    <t>z podatku od nieruchomości</t>
  </si>
  <si>
    <t>1.1.4</t>
  </si>
  <si>
    <t>z subwencji ogólnej</t>
  </si>
  <si>
    <t>1.1.5</t>
  </si>
  <si>
    <t>z tytułu dotacji i środków przeznaczonych na cele bieżące</t>
  </si>
  <si>
    <t>1.2</t>
  </si>
  <si>
    <t>Dochody majątkowe, w tym</t>
  </si>
  <si>
    <t>ze sprzedaży majątku</t>
  </si>
  <si>
    <t>z tytułu dotacji oraz środków przeznaczonych na inwestycje</t>
  </si>
  <si>
    <t>Wydatki ogółem</t>
  </si>
  <si>
    <t>2.1</t>
  </si>
  <si>
    <t>Wydatki bieżące, w tym:</t>
  </si>
  <si>
    <t>2.1.1</t>
  </si>
  <si>
    <t>z tytułu poręczeń i gwarancji</t>
  </si>
  <si>
    <t>2.1.1.1</t>
  </si>
  <si>
    <t>w tym: gwarancje i poręczenia podlegające wyłączeniu z limitu spłaty zobowiązań, o którym mowa w art. 243 ustawy</t>
  </si>
  <si>
    <t>2.1.2</t>
  </si>
  <si>
    <t>na spłatę przejętych zobowiązań samodzielnego publicznego zakładu opieki zdrowotnej przekształconego na zasadach określonych w przepisach  o działalności leczniczej, w wysokości w jakiej nie podlegają sfinansowaniu dotacją z budżetu państwa</t>
  </si>
  <si>
    <t>2.1.3</t>
  </si>
  <si>
    <t>wydatki na obsługę długu, w tym:</t>
  </si>
  <si>
    <t>2.1.3.1</t>
  </si>
  <si>
    <t>odsetki i dyskonto określone w art. 243 ust. 1 ustawy, w tym:</t>
  </si>
  <si>
    <t>2.1.3.1.1</t>
  </si>
  <si>
    <t>odsetki i dyskonto podlegające wyłączeniu z limitu spłaty zobowiązań, o którym mowa w art. 243 ustawy, w terminie nie dłuższym niż 90 dni po zakończeniu programu, projektu lub zadania i otrzymaniu refundacji z tych środków (bez odsetek i dyskonta od zobowiązań na wkład krajowy)</t>
  </si>
  <si>
    <t>2.1.3.1.2</t>
  </si>
  <si>
    <t>odsetki i dyskonto podlegające wyłączeniu z limitu spłaty zobowiązań, o którym mowa w art. 243 ustawy, z tytułu zobowiązań  zaciągniętych na wkład krajowy</t>
  </si>
  <si>
    <t>2.2</t>
  </si>
  <si>
    <t>Wydatki majątkowe</t>
  </si>
  <si>
    <t>Wynik budżetu</t>
  </si>
  <si>
    <t>Przychody budżetu</t>
  </si>
  <si>
    <t>4.1</t>
  </si>
  <si>
    <t>Nadwyżka budżetowa z lat ubiegłych</t>
  </si>
  <si>
    <t>4.1.1</t>
  </si>
  <si>
    <t>w tym na pokrycie deficytu budżetu</t>
  </si>
  <si>
    <t>4.2</t>
  </si>
  <si>
    <t>Wolne środki, o których mowa w art. 217 ust.2 pkt 6 ustawy</t>
  </si>
  <si>
    <t>4.2.1</t>
  </si>
  <si>
    <t>4.3</t>
  </si>
  <si>
    <t>Kredyty, pożyczki, emisja papierów wartościowych</t>
  </si>
  <si>
    <t>4.3.1</t>
  </si>
  <si>
    <t>4.4</t>
  </si>
  <si>
    <t xml:space="preserve"> Inne przychody niezwiązane z zaciągnięciem długu</t>
  </si>
  <si>
    <t>4.4.1</t>
  </si>
  <si>
    <t>Rozchody budżetu</t>
  </si>
  <si>
    <t>5.1</t>
  </si>
  <si>
    <t>Spłaty rat kapitałowych kredytów i pożyczek oraz wykup papierów wartościowych</t>
  </si>
  <si>
    <t>5.1.1</t>
  </si>
  <si>
    <t>w tym łączna kwota przypadających na dany rok kwot ustawowych wyłączeń z limitu spłaty zobowiązań, o którym mowa w art. 243 ustawy, z tego:</t>
  </si>
  <si>
    <t>5.1.1.1</t>
  </si>
  <si>
    <t>kwota przypadających na dany rok kwot ustawowych wyłączeń określonych w art. 243 ust. 3 ustawy</t>
  </si>
  <si>
    <t>5.1.1.2</t>
  </si>
  <si>
    <t>kwota przypadających na dany rok kwot ustawowych wyłączeń określonych w art. 243 ust. 3a ustawy</t>
  </si>
  <si>
    <t>5.1.1.3</t>
  </si>
  <si>
    <t>kwota przypadających na dany rok kwot ustawowych wyłączeń innych niż określone w art. 243 ustawy</t>
  </si>
  <si>
    <t>5.2</t>
  </si>
  <si>
    <t xml:space="preserve"> Inne rozchody niezwiązane ze spłatą długu</t>
  </si>
  <si>
    <t>Kwota długu</t>
  </si>
  <si>
    <t>Kwota zobowiązań wynikających z przejęcia przez jednostkę samorządu terytorialnego zobowiązań po likwidowanych i przekształcanych jednostkach zaliczanych do sektora  finansów publicznych</t>
  </si>
  <si>
    <t>Relacja zrównoważenia wydatków bieżących, o której mowa w art. 242 ustawy</t>
  </si>
  <si>
    <t>x</t>
  </si>
  <si>
    <t>8.1</t>
  </si>
  <si>
    <t>Różnica między dochodami bieżącymi a  wydatkami bieżącymi</t>
  </si>
  <si>
    <t>8.2</t>
  </si>
  <si>
    <t>Różnica między dochodami bieżącymi, skorygowanymi o środki a wydatkami bieżącymi, pomniejszonymi  o wydatki</t>
  </si>
  <si>
    <t>Wskaźnik spłaty zobowiązań</t>
  </si>
  <si>
    <t>9.1</t>
  </si>
  <si>
    <t>Wskaźnik planowanej łącznej kwoty spłaty zobowiązań, o której mowa w art. 243 ust. 1 ustawy do dochodów, bez uwzględnienia zobowiązań związku współtworzonego przez jednostkę samorządu terytorialnego  i bez uwzględnienia ustawowych wyłączeń przypadających na dany rok.</t>
  </si>
  <si>
    <t>9.2</t>
  </si>
  <si>
    <t>Wskaźnik planowanej łącznej kwoty spłaty zobowiązań, o której mowa w art. 243 ust. 1 ustawy do dochodów, bez uwzględnienia zobowiązań związku współtworzonego przez jednostkę samorządu terytorialnego, po uwzględnieniu ustawowych wyłączeń przypadających na dany rok.</t>
  </si>
  <si>
    <t>9.3</t>
  </si>
  <si>
    <t>Kwota zobowiązań związku współtworzonego przez jednostkę samorządu terytorialnego przypadających do spłaty w danym roku budżetowym, podlegająca doliczeniu zgodnie z art. 244 ustawy</t>
  </si>
  <si>
    <t>9.4</t>
  </si>
  <si>
    <t>Wskaźnik planowanej łącznej kwoty spłaty zobowiązań, o której mowa w art. 243 ust. 1 ustawy do dochodów, po uwzględnieniu zobowiązań związku współtworzonego przez jednostkę samorządu terytorialnego oraz po uwzględnieniu ustawowych wyłączeń przypadających na dany rok</t>
  </si>
  <si>
    <t>9.5</t>
  </si>
  <si>
    <t>Wskaźnik dochodów bieżących powiększonych o dochody ze sprzedaży majątku oraz pomniejszonych o wydatki bieżące, do dochodów budżetu, ustalony dla danego roku (wskaźnik jednoroczny)</t>
  </si>
  <si>
    <t>9.6</t>
  </si>
  <si>
    <t xml:space="preserve">Dopuszczalny wskaźnik spłaty zobowiązań określony w art. 243 ustawy, po uwzględnieniu ustawowych wyłączeń , obliczony w oparciu o plan 3 kwartału roku poprzedzającego pierwszy rok prognozy (wskaźnik ustalony w oparciu o średnią arytmetyczną z 3 poprzednich lat) </t>
  </si>
  <si>
    <t>9.6.1</t>
  </si>
  <si>
    <t xml:space="preserve">Dopuszczalny wskaźnik spłaty zobowiązań określony w art. 243 ustawy, po uwzględnieniu ustawowych wyłączeń, obliczony w oparciu o wykonanie roku poprzedzającego pierwszy rok prognozy (wskaźnik ustalony w oparciu o średnią arytmetyczną z 3 poprzednich lat) </t>
  </si>
  <si>
    <t>9.7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</si>
  <si>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plan 3 kwartałów roku poprzedzającego rok budżetowy</t>
  </si>
  <si>
    <t>9.7.1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</si>
  <si>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wykonanie roku poprzedzającego rok budżetowy</t>
  </si>
  <si>
    <t>Przeznaczenie prognozowanej nadwyżki budżetowej,  w tym na:</t>
  </si>
  <si>
    <t>10.1</t>
  </si>
  <si>
    <t>Spłaty kredytów, pożyczek i wykup papierów wartościowych</t>
  </si>
  <si>
    <t>Informacje uzupełniające o wybranych rodzajach wydatków budżetowych</t>
  </si>
  <si>
    <t>11.1</t>
  </si>
  <si>
    <t>Wydatki bieżące na wynagrodzenia i składki od nich naliczane</t>
  </si>
  <si>
    <t>11.2</t>
  </si>
  <si>
    <t>Wydatki związane z funkcjonowaniem organów jednostki samorządu terytorialnego</t>
  </si>
  <si>
    <t>11.3</t>
  </si>
  <si>
    <t>Wydatki objęte limitem, o którym mowa w art. 226 ust. 3 pkt 4 ustawy</t>
  </si>
  <si>
    <t>11.3.1</t>
  </si>
  <si>
    <t>bieżące</t>
  </si>
  <si>
    <t>11.3.2</t>
  </si>
  <si>
    <t>majątkowe</t>
  </si>
  <si>
    <t>11.4</t>
  </si>
  <si>
    <t xml:space="preserve">Wydatki inwestycyjne kontynuowane </t>
  </si>
  <si>
    <t>11.5</t>
  </si>
  <si>
    <t>Nowe wydatki inwestycyjne</t>
  </si>
  <si>
    <t>11.6</t>
  </si>
  <si>
    <t xml:space="preserve">Wydatki majątkowe w formie dotacji </t>
  </si>
  <si>
    <t>Finansowanie programów, projektów lub zadań realizowanych z udziałem środków, o których mowa w art. 5 ust. 1 pkt 2 i 3 ustawy</t>
  </si>
  <si>
    <t>12.1</t>
  </si>
  <si>
    <t>Dochody bieżące  na programy, projekty lub zadania finansowane z udziałem środków, o których mowa w art. 5 ust. 1 pkt 2 i 3 ustawy</t>
  </si>
  <si>
    <t>12.1.1</t>
  </si>
  <si>
    <t>-  w tym środki określone w art. 5 ust. 1 pkt 2 ustawy</t>
  </si>
  <si>
    <t>12.1.1.1</t>
  </si>
  <si>
    <t>- w tym środki określone w art. 5 ust. 1 pkt 2 ustawy wynikające wyłącznie z  zawartych umów na realizację programu, projektu lub zadania</t>
  </si>
  <si>
    <t>12.2</t>
  </si>
  <si>
    <t>Dochody majątkowe  na programy, projekty lub zadania finansowane z udziałem środków, o których mowa w art. 5 ust. 1 pkt 2 i 3 ustawy</t>
  </si>
  <si>
    <t>12.2.1</t>
  </si>
  <si>
    <t>12.2.1.1</t>
  </si>
  <si>
    <t>- w tym środki określone w art. 5 ust. 1 pkt 2 ustawy wynikające wyłącznie z zawartych umów na realizację programu, projektu lub zadania</t>
  </si>
  <si>
    <t>12.3</t>
  </si>
  <si>
    <t>Wydatki bieżące na programy, projekty lub zadania finansowane z udziałem środków, o których mowa w art. 5 ust. 1 pkt 2 i 3 ustawy</t>
  </si>
  <si>
    <t>12.3.1</t>
  </si>
  <si>
    <t xml:space="preserve">-  w tym finansowane środkami określonymi w art. 5 ust. 1 pkt 2 ustawy </t>
  </si>
  <si>
    <t>12.3.2</t>
  </si>
  <si>
    <t xml:space="preserve">Wydatki bieżące na realizację programu, projektu lub zadania wynikające wyłącznie z zawartych umów z podmiotem dysponującym środkami, o których mowa w art. 5 ust. 1 pkt 2 ustawy </t>
  </si>
  <si>
    <t>12.4</t>
  </si>
  <si>
    <t>Wydatki majątkowe na programy, projekty lub zadania finansowane z udziałem środków, o których mowa w art. 5 ust. 1 pkt 2 i 3 ustawy</t>
  </si>
  <si>
    <t>12.4.1</t>
  </si>
  <si>
    <t>-  w tym finansowane środkami określonymi w art. 5 ust. 1 pkt 2 ustawy</t>
  </si>
  <si>
    <t>12.4.2</t>
  </si>
  <si>
    <t xml:space="preserve">Wydatki majątkowe na realizację programu, projektu lub zadania wynikające wyłącznie z zawartych umów z podmiotem dysponującym środkami, o których mowa w art. 5 ust. 1 pkt 2 ustawy </t>
  </si>
  <si>
    <t>12.5</t>
  </si>
  <si>
    <t xml:space="preserve">Wydatki na wkład krajowy w związku z umową na realizację programu, projektu lub zadania finansowanego z udziałem środków, o których mowa w art. 5 ust. 1 pkt 2 ustawy bez względu na stopień finansowania tymi środkami </t>
  </si>
  <si>
    <t>12.5.1</t>
  </si>
  <si>
    <t>w tym w związku z już zawartą umową na realizację programu, projektu lub zadania</t>
  </si>
  <si>
    <t>12.6</t>
  </si>
  <si>
    <t>Wydatki na wkład krajowy w związku z zawartą po dniu 1 stycznia 2013 r. umową na realizację programu, projektu lub zadania finansowanego w co najmniej 60% środkami, o których mowa w art. 5 ust. 1 pkt 2 ustawy</t>
  </si>
  <si>
    <t>12.6.1</t>
  </si>
  <si>
    <t>12.7</t>
  </si>
  <si>
    <t xml:space="preserve">Przychody z tytułu kredytów, pożyczek, emisji papierów wartościowych powstające w związku z umową na realizację programu, projektu lub zadania finansowanego z udziałem środków, o których mowa w art. 5 ust. 1 pkt 2 ustawy bez względu na stopień finansowania tymi środkami </t>
  </si>
  <si>
    <t>12.7.1</t>
  </si>
  <si>
    <t>12.8</t>
  </si>
  <si>
    <t>Przychody z tytułu kredytów, pożyczek, emisji papierów wartościowych powstające w związku z zawartą po dniu 1 stycznia 2013 r. umową na realizację programu, projektu lub zadania finansowanego w co najmniej 60% środkami, o których mowa w art. 5 ust. 1 pkt 2 ustawy</t>
  </si>
  <si>
    <t>12.8.1</t>
  </si>
  <si>
    <t xml:space="preserve">Kwoty dotyczące przejęcia i spłaty zobowiązań po samodzielnych publicznych zakładach opieki zdrowotnej oraz pokrycia ujemnego wyniku </t>
  </si>
  <si>
    <t>13.1</t>
  </si>
  <si>
    <t>Kwota zobowiązań wynikających z przejęcia przez jednostkę samorządu terytorialnego zobowiązań po likwidowanych i przekształcanych samodzielnych zakładach opieki zdrowotnej</t>
  </si>
  <si>
    <t>13.2</t>
  </si>
  <si>
    <t>Dochody budżetowe z tytułu dotacji celowej z budżetu państwa, o której mowa w art. 196 ustawy z  dnia 15 kwietnia 2011 r.  o działalności leczniczej (Dz.U. Nr 112, poz. 654, z późn. zm.)</t>
  </si>
  <si>
    <t>13.3</t>
  </si>
  <si>
    <t>Wysokość zobowiązań podlegających umorzeniu, o którym mowa w art. 190 ustawy o działalności leczniczej</t>
  </si>
  <si>
    <t>13.4</t>
  </si>
  <si>
    <t>Wydatki na spłatę przejętych zobowiązań samodzielnego publicznego zakładu opieki zdrowotnej przekształconego na zasadach określonych w przepisach  o działalności leczniczej</t>
  </si>
  <si>
    <t>13.5</t>
  </si>
  <si>
    <t>Wydatki na spłatę przejętych zobowiązań samodzielnego publicznego zakładu opieki zdrowotnej likwidowanego na zasadach określonych w przepisach  o działalności leczniczej</t>
  </si>
  <si>
    <t>13.6</t>
  </si>
  <si>
    <t>Wydatki na spłatę zobowiązań samodzielnego publicznego zakładu opieki zdrowotnej przejętych do końca 2011 r. na podstawie przepisów o zakładach opieki zdrowotnej</t>
  </si>
  <si>
    <t>13.7</t>
  </si>
  <si>
    <t>Wydatki bieżące na pokrycie ujemnego wyniku finansowego samodzielnego publicznego zakładu opieki zdrowotnej</t>
  </si>
  <si>
    <t>Dane uzupełniające o długu i jego spłacie</t>
  </si>
  <si>
    <t>14.1</t>
  </si>
  <si>
    <t>Spłaty rat kapitałowych oraz wykup papierów wartościowych, o których mowa w pkt. 5.1., wynikające wyłącznie z tytułu zobowiązań już zaciągniętych</t>
  </si>
  <si>
    <t>14.2</t>
  </si>
  <si>
    <t>Kwota długu, którego planowana spłata dokona się z wydatków budżetu</t>
  </si>
  <si>
    <t>14.3</t>
  </si>
  <si>
    <t>Wydatki zmniejszające dług, w tym</t>
  </si>
  <si>
    <t>14.3.1</t>
  </si>
  <si>
    <t>spłata zobowiązań wymagalnych z lat poprzednich, innych niż w pkt 14.3.3</t>
  </si>
  <si>
    <t>14.3.2</t>
  </si>
  <si>
    <t>związane z umowami zaliczanymi do tytułów dłużnych wliczanych do państwowego długu publicznego</t>
  </si>
  <si>
    <t>14.3.3</t>
  </si>
  <si>
    <t>wypłaty z tytułu wymagalnych poręczeń i gwarancji</t>
  </si>
  <si>
    <t>14.4</t>
  </si>
  <si>
    <t>Wynik operacji niekasowych wpływających na kwotę długu ( m.in. umorzenia, różnice kursowe)</t>
  </si>
  <si>
    <t>1.3.2.13</t>
  </si>
  <si>
    <t>Budowa chodnika przy drodze powiatowej Nr 2713W w miejscowości Celestynów - ul. Otwocka</t>
  </si>
  <si>
    <t>Przebudowa sygnalizacji świetlnej na skrzyżowaniu dróg powiatowych Nr 2765W - ul. Kołłątaja i Nr 2763W - ul. Majowej w Otwocku</t>
  </si>
  <si>
    <t>Rozbudowa na rondo skrzyżowania dróg powiatowych Nr 2775W - ul. Stare Miasto i Nr 2724W - ul. Żaboklickiego z drogą gminną ul. Bielińskiego w Karczewie</t>
  </si>
  <si>
    <t>Budowa drogi powiatowej Nr 1311W w Natolinie</t>
  </si>
  <si>
    <t>Wykonanie nakładki asfaltobetonowej na drodze powiatowej Nr 2764W - ul. Żeromskiego w Otwocku</t>
  </si>
  <si>
    <t>1.1.1.2</t>
  </si>
  <si>
    <t>Aktywni w życiu i w pracy</t>
  </si>
  <si>
    <t>Powiatowe Centrum Pomocy Rodzinie</t>
  </si>
  <si>
    <t>1.2.1.</t>
  </si>
  <si>
    <t>1.2.2.</t>
  </si>
  <si>
    <t>Przebudowa mostu na przepust w ciągu drogi powiatowej Nr 2735W Warszówka-Warszawice w Warszawicach</t>
  </si>
  <si>
    <t>1.3.2.14</t>
  </si>
  <si>
    <t>Modernizacja drogi powiatowej Nr 2737W Anielinek-Sępochów-Rudno</t>
  </si>
  <si>
    <t>1.1.1.3</t>
  </si>
  <si>
    <t>Nowe doświadczenia zawodowe</t>
  </si>
  <si>
    <t>Dotacja na zadania z zakresu prowadzenia centrum interwencji kryzysowej</t>
  </si>
  <si>
    <t>1.3.1.1</t>
  </si>
  <si>
    <t>1.1.1.4</t>
  </si>
  <si>
    <t>Kwalifikacje po angielsku - mobilna kadra edukacyjna</t>
  </si>
  <si>
    <t>Zespół Szkół Nr 2</t>
  </si>
  <si>
    <t>Modernizacja Oddziału Wewnętrznego w Powiatowym Centrum Zdrowia Sp. z o.o.</t>
  </si>
  <si>
    <t>1.1.1.5</t>
  </si>
  <si>
    <t>Akademia Rodzin w Powiecie Otwockim</t>
  </si>
  <si>
    <t>Doświadczenie zawodowe kluczem do sukcesu</t>
  </si>
  <si>
    <t>Dom Pomocy Społecznej w Otwocku</t>
  </si>
  <si>
    <t>1.3.2.15</t>
  </si>
  <si>
    <t>Wykonanie nakładki asfaltobetonowej na drodze powiatowej Nr 2728W w Ostrówcu</t>
  </si>
  <si>
    <t>1.3.2.16</t>
  </si>
  <si>
    <t>Modernizacja drogi powiatowej Nr 2729W Kępa Gliniecka - Otwock Wielki - Otwock Mały - Karczew od drogi krajowej Nr 50 w kierunku wsi Glinki</t>
  </si>
  <si>
    <t>1.3.2.17</t>
  </si>
  <si>
    <t>Wykonanie nakładki asfaltobetonowej na drodze powiatowej Nr 2739W w Gadce</t>
  </si>
  <si>
    <t>1.3.2.18</t>
  </si>
  <si>
    <t>Modernizacja drogi powiatowej Nr 2739W w Radachówce</t>
  </si>
  <si>
    <t>1.3.2.19</t>
  </si>
  <si>
    <t>Wykonanie nakładki asfaltobetonowej na drodze powiatowej Nr 2745W w Kątach</t>
  </si>
  <si>
    <t>1.3.2.20</t>
  </si>
  <si>
    <t>Modernizacja drogi powiatowej Nr 2747W w Kościeliskach</t>
  </si>
  <si>
    <t>1.3.2.21</t>
  </si>
  <si>
    <t>Przebudowa drogi powiatowej Nr 2705W - ul. Kąckiej w Wiązownie</t>
  </si>
  <si>
    <t>1.3.2.22</t>
  </si>
  <si>
    <t>Modernizacja drogi powiatowej Nr 2701W Majdan, Izabela, Michałówek, Duchnów</t>
  </si>
  <si>
    <t>1.3.2.23</t>
  </si>
  <si>
    <t>Modernizacja drogi powiatowej Nr 2714W - ul. Prostej w Celestynowie</t>
  </si>
  <si>
    <t>1.3.2.24</t>
  </si>
  <si>
    <t>Przebudowa na rondo skrzyżowania dróg powiatowych Nr 2765W - ul. Karczewskiej z drogą powiatową Nr 2760W - ul. Batorego i Matejki w Otwocku</t>
  </si>
  <si>
    <t>1.3.2.25</t>
  </si>
  <si>
    <t>Modernizacja drogi powiatowej Nr 1303W we wsi Śniadków Dolny</t>
  </si>
  <si>
    <t>1.3.2.26</t>
  </si>
  <si>
    <t>Modernizacja Domu Pomocy Społecznej "Wrzos"</t>
  </si>
  <si>
    <t>1.3.2.27</t>
  </si>
  <si>
    <t>Budowa Ogniska Wychowawczego "Świder" w Otwocku</t>
  </si>
  <si>
    <t xml:space="preserve">Dom Pomocy Społecznej "Wrzos" </t>
  </si>
  <si>
    <t xml:space="preserve">Ognisko Wychowawcze "Świder" </t>
  </si>
  <si>
    <t>Modernizacja instalacji elektrycznej i rozdzielni w budynku Domu Pomocy Społecznej w Otwocku</t>
  </si>
  <si>
    <t>1.3.2.28</t>
  </si>
  <si>
    <t>1.3.1.2</t>
  </si>
  <si>
    <t>Ośrodek koordynacyjno-rehabilitacyjno-opiekuńczy w ramach programu "Za życiem"</t>
  </si>
  <si>
    <t>Specjalny Ośrodek Szkolno-Wychowawczy Nr 2</t>
  </si>
  <si>
    <t>Wydatki na programy, projekty lub zadania związane z programami realizowanymi z udziałem środków, o których mowa w art. 5 ust. 1 pkt 2 i 3 ustawy z dnia 27 sierpnia 2009 r. o finansach publicznych (Dz. U. z 2017 r. poz. 2077), z tego:</t>
  </si>
  <si>
    <t>Liceum Ogólnokształcące Nr I</t>
  </si>
  <si>
    <t>1.3.2.29</t>
  </si>
  <si>
    <t>Modernizacja drogi powiatowej Nr 2706W Glinianka - Poręby</t>
  </si>
  <si>
    <t>1.1.1.6</t>
  </si>
  <si>
    <t>Poprawa funkcjonowania osób niesamodzielnych z terenu powiatu otwockiego poprzez uruchomienie usług socjalnych świadczonych w formie wsparcia dziennego</t>
  </si>
  <si>
    <t>1.3.2.30</t>
  </si>
  <si>
    <t>Modernizacja drogi powiatowej Nr 2733W - Kąty - Zabieżki w Zabieżkach</t>
  </si>
  <si>
    <t>1.3.2.31</t>
  </si>
  <si>
    <t>1.3.2.32</t>
  </si>
  <si>
    <t>Budowa chodnika w drodze powiatowej Nr 2729W - ul. Częstochowskiej w Karczewie</t>
  </si>
  <si>
    <t>Budowa chodnika w drodze powiatowej Nr 2745W w miejscowości Kąty</t>
  </si>
  <si>
    <t>1.1.1.7</t>
  </si>
  <si>
    <t>Poznawanie europejskiego rynku pracy</t>
  </si>
  <si>
    <t>Wieloletnia prognoza finansowa</t>
  </si>
  <si>
    <t>1.1.1.8</t>
  </si>
  <si>
    <t>Rozwijamy skrzydła</t>
  </si>
  <si>
    <t>Wymiana parkietu w budynku Liceum Ogólnokształcącego Nr I im. K.I. Gałczyńskiego w Otwocku</t>
  </si>
  <si>
    <t>Nazwy serii (rysunki)</t>
  </si>
  <si>
    <t xml:space="preserve"> Dochody bieżące</t>
  </si>
  <si>
    <t xml:space="preserve">  dochody z tytułu udziału we wpływach z podatku dochodowego od osób fizycznych</t>
  </si>
  <si>
    <t xml:space="preserve">  dochody z tytułu udziału we wpływach z podatku dochodowego od osób prawnych</t>
  </si>
  <si>
    <t xml:space="preserve">  podatki i opłaty</t>
  </si>
  <si>
    <t xml:space="preserve">   z podatku od nieruchomości</t>
  </si>
  <si>
    <t xml:space="preserve">  z subwencji ogólnej</t>
  </si>
  <si>
    <t xml:space="preserve">  z tytułu dotacji i środków przeznaczonych na cele bieżące</t>
  </si>
  <si>
    <t xml:space="preserve">  Dochody majątkowe</t>
  </si>
  <si>
    <t xml:space="preserve">  ze sprzedaży majątku</t>
  </si>
  <si>
    <t xml:space="preserve">  z tytułu dotacji oraz środków przeznaczonych na inwestycje</t>
  </si>
  <si>
    <t xml:space="preserve"> Wydatki bieżące</t>
  </si>
  <si>
    <t xml:space="preserve">  z tytułu poręczeń i gwarancji</t>
  </si>
  <si>
    <t xml:space="preserve">   w tym: gwarancje i poręczenia podlegające wyłączeniu z limitu spłaty zobowiązań, o którym mowa w art. 243 ustawy</t>
  </si>
  <si>
    <t xml:space="preserve">   na spłatę przejętych zobowiązań samodzielnego publicznego zakładu opieki zdrowotnej przekształconego na zasadach określonych w przepisach  o działalności leczniczej, w wysokości w jakiej nie podlegają sfinansowaniu dotacją z budżetu państwa</t>
  </si>
  <si>
    <t xml:space="preserve">  wydatki na obsługę długu, w tym:</t>
  </si>
  <si>
    <t xml:space="preserve">   odsetki i dyskonto określone w art. 243 ust. 1 ustawy, w tym:</t>
  </si>
  <si>
    <t xml:space="preserve">    odsetki i dyskonto podlegające wyłączeniu z limitu spłaty zobowiązań, o którym mowa w art. 243 ustawy, w terminie nie dłuższym niż 90 dni po zakończeniu programu, projektu lub zadania i otrzymaniu refundacji z tych środków (bez odsetek i dyskonta od zobowiązań na wkład krajowy)</t>
  </si>
  <si>
    <t xml:space="preserve">    odsetki i dyskonto podlegające wyłączeniu z limitu spłaty zobowiązań, o którym mowa w art. 243 ustawy, z tytułu zobowiązań  zaciągniętych na wkład krajowy</t>
  </si>
  <si>
    <t xml:space="preserve"> Wydatki majątkowe</t>
  </si>
  <si>
    <t xml:space="preserve"> Nadwyżka budżetowa z lat ubiegłych</t>
  </si>
  <si>
    <t xml:space="preserve">  w tym na pokrycie deficytu budżetu</t>
  </si>
  <si>
    <t xml:space="preserve"> Wolne środki, o których mowa w art. 217 ust.2 pkt 6 ustawy</t>
  </si>
  <si>
    <t xml:space="preserve">   w tym na pokrycie deficytu budżetu</t>
  </si>
  <si>
    <t xml:space="preserve">  Kredyty, pożyczki, emisja papierów wartościowych</t>
  </si>
  <si>
    <t xml:space="preserve"> Spłaty rat kapitałowych kredytów i pożyczek oraz wykup papierów wartościowych</t>
  </si>
  <si>
    <t xml:space="preserve">  w tym łączna kwota przypadających na dany rok kwot ustawowych wyłączeń z limitu spłaty zobowiązań, o którym mowa w art. 243 ustawy, z tego:</t>
  </si>
  <si>
    <t xml:space="preserve">   kwota przypadających na dany rok kwot ustawowych wyłączeń określonych w art. 243 ust. 3 ustawy</t>
  </si>
  <si>
    <t xml:space="preserve">   kwota przypadających na dany rok kwot ustawowych wyłączeń określonych w art. 243 ust. 3a ustawy</t>
  </si>
  <si>
    <t xml:space="preserve">   kwota przypadających na dany rok kwot ustawowych wyłączeń innych niż określone w art. 243 ustawy</t>
  </si>
  <si>
    <t xml:space="preserve"> Różnica między dochodami bieżącymi a  wydatkami bieżącymi</t>
  </si>
  <si>
    <t xml:space="preserve"> Różnica między dochodami bieżącymi, skorygowanymi o środki a wydatkami bieżącymi, pomniejszonymi  o wydatki</t>
  </si>
  <si>
    <t>(R+O) / D (bez wyłączeń)</t>
  </si>
  <si>
    <t>(R+O) / D (z wyłączeniami)</t>
  </si>
  <si>
    <t xml:space="preserve"> Kwota zobowiązań związku współtworzonego przez jednostkę samorządu terytorialnego przypadających do spłaty w danym roku budżetowym, podlegająca doliczeniu zgodnie z art. 244 ustawy</t>
  </si>
  <si>
    <t>(R+O) / D (z wyłączeniami i zobowiązaniami związków)</t>
  </si>
  <si>
    <t xml:space="preserve"> Wskaźnik dochodów bieżących powiększonych o dochody ze sprzedaży majątku oraz pomniejszonych o wydatki bieżące, do dochodów budżetu, ustalony dla danego roku (wskaźnik jednoroczny)</t>
  </si>
  <si>
    <t xml:space="preserve">Dopuszczalny wskaźnik spłaty zobowiązań z art. 243 ustawy, po uwzględnieniu ustawowych wyłączeń (planistyczny) </t>
  </si>
  <si>
    <t xml:space="preserve">Dopuszczalny wskaźnik spłaty zobowiązań z art. 243 ustawy, po uwzględnieniu ustawowych wyłączeń (wykonanie) </t>
  </si>
  <si>
    <t xml:space="preserve"> Informacja o spełnieniu wskaźnika spłaty zobowiązań określonego w art. 243 ustawy, po uwzględnieniu zobowiązań związku współtworzonego przez jednostkę samorządu terytorialnego oraz po uwzględnieniu ustawowych wyłączeń, obliczonego w oparciu o plan 3 kwartałów roku poprzedzającego rok budżetowy</t>
  </si>
  <si>
    <t xml:space="preserve">  Informacja o spełnieniu wskaźnika spłaty zobowiązań określonego w art. 243 ustawy, po uwzględnieniu zobowiązań związku współtworzonego przez jednostkę samorządu terytorialnego oraz po uwzględnieniu ustawowych wyłączeń, obliczonego w oparciu o wykonanie roku poprzedzającego rok budżetowy</t>
  </si>
  <si>
    <t xml:space="preserve"> Spłaty kredytów, pożyczek i wykup papierów wartościowych</t>
  </si>
  <si>
    <t xml:space="preserve"> Wydatki bieżące na wynagrodzenia i składki od nich naliczane</t>
  </si>
  <si>
    <t xml:space="preserve"> Wydatki związane z funkcjonowaniem organów jednostki samorządu terytorialnego</t>
  </si>
  <si>
    <t xml:space="preserve"> Wydatki objęte limitem, o którym mowa w art. 226 ust. 3 pkt 4 ustawy</t>
  </si>
  <si>
    <t xml:space="preserve">   Wydatki bieżące na przedsięwzięcia</t>
  </si>
  <si>
    <t xml:space="preserve">   Wydatki majątkowe na przedsięwzięcia</t>
  </si>
  <si>
    <t xml:space="preserve"> Wydatki inwestycyjne kontynuowane </t>
  </si>
  <si>
    <t xml:space="preserve"> Nowe wydatki inwestycyjne</t>
  </si>
  <si>
    <t xml:space="preserve"> Wydatki majątkowe w formie dotacji </t>
  </si>
  <si>
    <t xml:space="preserve"> Dochody bieżące  na programy, projekty lub zadania finansowane z udziałem środków, o których mowa w art. 5 ust. 1 pkt 2 i 3 ustawy</t>
  </si>
  <si>
    <t xml:space="preserve">  -  w tym środki określone w art. 5 ust. 1 pkt 2 ustawy</t>
  </si>
  <si>
    <t xml:space="preserve">   - w tym środki określone w art. 5 ust. 1 pkt 2 ustawy wynikające wyłącznie z  zawartych umów na realizację programu, projektu lub zadania</t>
  </si>
  <si>
    <t xml:space="preserve"> Dochody majątkowe  na programy, projekty lub zadania finansowane z udziałem środków, o których mowa w art. 5 ust. 1 pkt 2 i 3 ustawy</t>
  </si>
  <si>
    <t xml:space="preserve">   -  w tym środki określone w art. 5 ust. 1 pkt 2 ustawy</t>
  </si>
  <si>
    <t xml:space="preserve">    - w tym środki określone w art. 5 ust. 1 pkt 2 ustawy wynikające wyłącznie z zawartych umów na realizację programu, projektu lub zadania</t>
  </si>
  <si>
    <t xml:space="preserve"> Wydatki bieżące na programy, projekty lub zadania finansowane z udziałem środków, o których mowa w art. 5 ust. 1 pkt 2 i 3 ustawy</t>
  </si>
  <si>
    <t xml:space="preserve">  -  w tym finansowane środkami określonymi w art. 5 ust. 1 pkt 2 ustawy </t>
  </si>
  <si>
    <t xml:space="preserve">  Wydatki bieżące na realizację programu, projektu lub zadania wynikające wyłącznie z zawartych umów z podmiotem dysponującym środkami, o których mowa w art. 5 ust. 1 pkt 2 ustawy </t>
  </si>
  <si>
    <t xml:space="preserve"> Wydatki majątkowe na programy, projekty lub zadania finansowane z udziałem środków, o których mowa w art. 5 ust. 1 pkt 2 i 3 ustawy</t>
  </si>
  <si>
    <t xml:space="preserve">  -  w tym finansowane środkami określonymi w art. 5 ust. 1 pkt 2 ustawy</t>
  </si>
  <si>
    <t xml:space="preserve">  Wydatki majątkowe na realizację programu, projektu lub zadania wynikające wyłącznie z zawartych umów z podmiotem dysponującym środkami, o których mowa w art. 5 ust. 1 pkt 2 ustawy </t>
  </si>
  <si>
    <t xml:space="preserve"> Wydatki na wkład krajowy w związku z umową na realizację programu, projektu lub zadania finansowanego z udziałem środków, o których mowa w art. 5 ust. 1 pkt 2 ustawy bez względu na stopień finansowania tymi środkami </t>
  </si>
  <si>
    <t xml:space="preserve">  w tym w związku z już zawartą umową na realizację programu, projektu lub zadania</t>
  </si>
  <si>
    <t xml:space="preserve"> Wydatki na wkład krajowy w związku z zawartą po dniu 1 stycznia 2013 r. umową na realizację programu, projektu lub zadania finansowanego w co najmniej 60% środkami, o których mowa w art. 5 ust. 1 pkt 2 ustawy</t>
  </si>
  <si>
    <t xml:space="preserve"> Przychody z tytułu kredytów, pożyczek, emisji papierów wartościowych powstające w związku z umową na realizację programu, projektu lub zadania finansowanego z udziałem środków, o których mowa w art. 5 ust. 1 pkt 2 ustawy bez względu na stopień finansowania tymi środkami </t>
  </si>
  <si>
    <t xml:space="preserve"> Przychody z tytułu kredytów, pożyczek, emisji papierów wartościowych powstające w związku z zawartą po dniu 1 stycznia 2013 r. umową na realizację programu, projektu lub zadania finansowanego w co najmniej 60% środkami, o których mowa w art. 5 ust. 1 pkt 2 ustawy</t>
  </si>
  <si>
    <t xml:space="preserve"> Kwota zobowiązań wynikających z przejęcia przez jednostkę samorządu terytorialnego zobowiązań po likwidowanych i przekształcanych samodzielnych zakładach opieki zdrowotnej</t>
  </si>
  <si>
    <t xml:space="preserve"> Dochody budżetowe z tytułu dotacji celowej z budżetu państwa, o której mowa w art. 196 ustawy z  dnia 15 kwietnia 2011 r.  o działalności leczniczej (Dz.U. Nr 112, poz. 654, z późn. zm.)</t>
  </si>
  <si>
    <t xml:space="preserve"> Wysokość zobowiązań podlegających umorzeniu, o którym mowa w art. 190 ustawy o działalności leczniczej</t>
  </si>
  <si>
    <t xml:space="preserve"> Wydatki na spłatę przejętych zobowiązań samodzielnego publicznego zakładu opieki zdrowotnej przekształconego na zasadach określonych w przepisach  o działalności leczniczej</t>
  </si>
  <si>
    <t xml:space="preserve"> Wydatki na spłatę przejętych zobowiązań samodzielnego publicznego zakładu opieki zdrowotnej likwidowanego na zasadach określonych w przepisach  o działalności leczniczej</t>
  </si>
  <si>
    <t xml:space="preserve"> Wydatki na spłatę zobowiązań samodzielnego publicznego zakładu opieki zdrowotnej przejętych do końca 2011 r. na podstawie przepisów o zakładach opieki zdrowotnej</t>
  </si>
  <si>
    <t xml:space="preserve"> Wydatki bieżące na pokrycie ujemnego wyniku finansowego samodzielnego publicznego zakładu opieki zdrowotnej</t>
  </si>
  <si>
    <t xml:space="preserve"> Spłaty rat kapitałowych oraz wykup papierów wartościowych, o których mowa w pkt. 5.1., wynikające wyłącznie z tytułu zobowiązań już zaciągniętych</t>
  </si>
  <si>
    <t xml:space="preserve"> Kwota długu, którego planowana spłata dokona się z wydatków budżetu</t>
  </si>
  <si>
    <t xml:space="preserve"> Wydatki zmniejszające dług, w tym</t>
  </si>
  <si>
    <t xml:space="preserve">  spłata zobowiązań wymagalnych z lat poprzednich, innych niż w pkt 14.3.3</t>
  </si>
  <si>
    <t xml:space="preserve">  związane z umowami zaliczanymi do tytułów dłużnych wliczanych do państwowego długu publicznego</t>
  </si>
  <si>
    <t xml:space="preserve">  wypłaty z tytułu wymagalnych poręczeń i gwarancji</t>
  </si>
  <si>
    <t xml:space="preserve"> Wynik operacji niekasowych wpływających na kwotę długu ( m.in. umorzenia, różnice kursowe)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</si>
</sst>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#,##0.00_ ;[Red]\-#,##0.00\ "/>
    <numFmt numFmtId="165" formatCode="0.00%;[Red]\-0.00%"/>
    <numFmt numFmtId="166" formatCode="#,##0.00_ ;\-#,##0.00\ "/>
  </numFmts>
  <fonts count="1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indexed="8"/>
      <name val="Czcionka tekstu podstawowego"/>
      <family val="2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Czcionka tekstu podstawowego"/>
      <charset val="238"/>
    </font>
    <font>
      <sz val="11"/>
      <color indexed="8"/>
      <name val="Czcionka tekstu podstawowego"/>
      <family val="2"/>
      <charset val="238"/>
    </font>
    <font>
      <b/>
      <sz val="9"/>
      <color theme="1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i/>
      <sz val="10"/>
      <name val="Calibri"/>
      <family val="2"/>
      <charset val="238"/>
      <scheme val="minor"/>
    </font>
    <font>
      <b/>
      <sz val="16"/>
      <color indexed="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8" fillId="0" borderId="0"/>
    <xf numFmtId="0" fontId="12" fillId="0" borderId="0"/>
    <xf numFmtId="0" fontId="8" fillId="0" borderId="0"/>
    <xf numFmtId="9" fontId="12" fillId="0" borderId="0" applyFont="0" applyFill="0" applyBorder="0" applyAlignment="0" applyProtection="0"/>
    <xf numFmtId="0" fontId="7" fillId="0" borderId="0"/>
    <xf numFmtId="0" fontId="1" fillId="0" borderId="0"/>
  </cellStyleXfs>
  <cellXfs count="109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4" fontId="2" fillId="3" borderId="1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4" fontId="2" fillId="3" borderId="1" xfId="1" applyNumberFormat="1" applyFont="1" applyFill="1" applyBorder="1" applyAlignment="1"/>
    <xf numFmtId="0" fontId="2" fillId="0" borderId="0" xfId="1" applyFont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4" fontId="3" fillId="0" borderId="1" xfId="1" applyNumberFormat="1" applyFont="1" applyBorder="1" applyAlignment="1"/>
    <xf numFmtId="0" fontId="3" fillId="0" borderId="0" xfId="1" applyFont="1" applyAlignment="1">
      <alignment vertical="center"/>
    </xf>
    <xf numFmtId="0" fontId="2" fillId="0" borderId="0" xfId="1" applyFont="1" applyFill="1" applyAlignment="1">
      <alignment horizontal="right"/>
    </xf>
    <xf numFmtId="0" fontId="5" fillId="0" borderId="0" xfId="1" applyFont="1" applyAlignment="1">
      <alignment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/>
    </xf>
    <xf numFmtId="0" fontId="3" fillId="2" borderId="19" xfId="1" applyFont="1" applyFill="1" applyBorder="1" applyAlignment="1">
      <alignment horizontal="center" vertical="center"/>
    </xf>
    <xf numFmtId="49" fontId="10" fillId="4" borderId="3" xfId="4" applyNumberFormat="1" applyFont="1" applyFill="1" applyBorder="1" applyAlignment="1">
      <alignment horizontal="center" vertical="center"/>
    </xf>
    <xf numFmtId="1" fontId="10" fillId="4" borderId="3" xfId="4" applyNumberFormat="1" applyFont="1" applyFill="1" applyBorder="1" applyAlignment="1">
      <alignment horizontal="center" vertical="center" wrapText="1"/>
    </xf>
    <xf numFmtId="1" fontId="10" fillId="4" borderId="5" xfId="4" applyNumberFormat="1" applyFont="1" applyFill="1" applyBorder="1" applyAlignment="1">
      <alignment horizontal="center" vertical="center" wrapText="1"/>
    </xf>
    <xf numFmtId="1" fontId="10" fillId="4" borderId="6" xfId="4" applyNumberFormat="1" applyFont="1" applyFill="1" applyBorder="1" applyAlignment="1">
      <alignment horizontal="center" vertical="center" wrapText="1"/>
    </xf>
    <xf numFmtId="1" fontId="10" fillId="4" borderId="7" xfId="4" applyNumberFormat="1" applyFont="1" applyFill="1" applyBorder="1" applyAlignment="1">
      <alignment horizontal="center" vertical="center"/>
    </xf>
    <xf numFmtId="1" fontId="10" fillId="4" borderId="5" xfId="4" applyNumberFormat="1" applyFont="1" applyFill="1" applyBorder="1" applyAlignment="1">
      <alignment horizontal="center" vertical="center"/>
    </xf>
    <xf numFmtId="164" fontId="14" fillId="3" borderId="8" xfId="4" applyNumberFormat="1" applyFont="1" applyFill="1" applyBorder="1" applyAlignment="1">
      <alignment vertical="center" shrinkToFit="1"/>
    </xf>
    <xf numFmtId="164" fontId="14" fillId="3" borderId="10" xfId="4" applyNumberFormat="1" applyFont="1" applyFill="1" applyBorder="1" applyAlignment="1">
      <alignment vertical="center" shrinkToFit="1"/>
    </xf>
    <xf numFmtId="164" fontId="14" fillId="3" borderId="11" xfId="4" applyNumberFormat="1" applyFont="1" applyFill="1" applyBorder="1" applyAlignment="1">
      <alignment vertical="center" shrinkToFit="1"/>
    </xf>
    <xf numFmtId="164" fontId="14" fillId="0" borderId="12" xfId="4" applyNumberFormat="1" applyFont="1" applyFill="1" applyBorder="1" applyAlignment="1">
      <alignment vertical="center" shrinkToFit="1"/>
    </xf>
    <xf numFmtId="164" fontId="14" fillId="0" borderId="10" xfId="4" applyNumberFormat="1" applyFont="1" applyFill="1" applyBorder="1" applyAlignment="1">
      <alignment vertical="center" shrinkToFit="1"/>
    </xf>
    <xf numFmtId="164" fontId="16" fillId="3" borderId="8" xfId="4" applyNumberFormat="1" applyFont="1" applyFill="1" applyBorder="1" applyAlignment="1">
      <alignment vertical="center" shrinkToFit="1"/>
    </xf>
    <xf numFmtId="164" fontId="16" fillId="3" borderId="10" xfId="4" applyNumberFormat="1" applyFont="1" applyFill="1" applyBorder="1" applyAlignment="1">
      <alignment vertical="center" shrinkToFit="1"/>
    </xf>
    <xf numFmtId="164" fontId="16" fillId="3" borderId="11" xfId="4" applyNumberFormat="1" applyFont="1" applyFill="1" applyBorder="1" applyAlignment="1">
      <alignment vertical="center" shrinkToFit="1"/>
    </xf>
    <xf numFmtId="164" fontId="16" fillId="0" borderId="12" xfId="4" applyNumberFormat="1" applyFont="1" applyFill="1" applyBorder="1" applyAlignment="1">
      <alignment vertical="center" shrinkToFit="1"/>
    </xf>
    <xf numFmtId="164" fontId="16" fillId="0" borderId="10" xfId="4" applyNumberFormat="1" applyFont="1" applyFill="1" applyBorder="1" applyAlignment="1">
      <alignment vertical="center" shrinkToFit="1"/>
    </xf>
    <xf numFmtId="164" fontId="14" fillId="3" borderId="8" xfId="4" applyNumberFormat="1" applyFont="1" applyFill="1" applyBorder="1" applyAlignment="1">
      <alignment horizontal="center" vertical="center" shrinkToFit="1"/>
    </xf>
    <xf numFmtId="164" fontId="14" fillId="3" borderId="10" xfId="4" applyNumberFormat="1" applyFont="1" applyFill="1" applyBorder="1" applyAlignment="1">
      <alignment horizontal="center" vertical="center" shrinkToFit="1"/>
    </xf>
    <xf numFmtId="164" fontId="14" fillId="3" borderId="11" xfId="4" applyNumberFormat="1" applyFont="1" applyFill="1" applyBorder="1" applyAlignment="1">
      <alignment horizontal="center" vertical="center" shrinkToFit="1"/>
    </xf>
    <xf numFmtId="164" fontId="14" fillId="0" borderId="12" xfId="4" applyNumberFormat="1" applyFont="1" applyFill="1" applyBorder="1" applyAlignment="1">
      <alignment horizontal="center" vertical="center" shrinkToFit="1"/>
    </xf>
    <xf numFmtId="164" fontId="14" fillId="0" borderId="10" xfId="4" applyNumberFormat="1" applyFont="1" applyFill="1" applyBorder="1" applyAlignment="1">
      <alignment horizontal="center" vertical="center" shrinkToFit="1"/>
    </xf>
    <xf numFmtId="165" fontId="16" fillId="3" borderId="8" xfId="4" applyNumberFormat="1" applyFont="1" applyFill="1" applyBorder="1" applyAlignment="1">
      <alignment vertical="center" shrinkToFit="1"/>
    </xf>
    <xf numFmtId="165" fontId="16" fillId="3" borderId="10" xfId="4" applyNumberFormat="1" applyFont="1" applyFill="1" applyBorder="1" applyAlignment="1">
      <alignment vertical="center" shrinkToFit="1"/>
    </xf>
    <xf numFmtId="165" fontId="16" fillId="3" borderId="11" xfId="4" applyNumberFormat="1" applyFont="1" applyFill="1" applyBorder="1" applyAlignment="1">
      <alignment vertical="center" shrinkToFit="1"/>
    </xf>
    <xf numFmtId="165" fontId="16" fillId="0" borderId="12" xfId="4" applyNumberFormat="1" applyFont="1" applyFill="1" applyBorder="1" applyAlignment="1">
      <alignment vertical="center" shrinkToFit="1"/>
    </xf>
    <xf numFmtId="165" fontId="16" fillId="0" borderId="10" xfId="4" applyNumberFormat="1" applyFont="1" applyFill="1" applyBorder="1" applyAlignment="1">
      <alignment vertical="center" shrinkToFit="1"/>
    </xf>
    <xf numFmtId="0" fontId="16" fillId="0" borderId="12" xfId="4" applyNumberFormat="1" applyFont="1" applyFill="1" applyBorder="1" applyAlignment="1">
      <alignment horizontal="center" vertical="center" shrinkToFit="1"/>
    </xf>
    <xf numFmtId="0" fontId="16" fillId="0" borderId="10" xfId="4" applyNumberFormat="1" applyFont="1" applyFill="1" applyBorder="1" applyAlignment="1">
      <alignment horizontal="center" vertical="center" shrinkToFit="1"/>
    </xf>
    <xf numFmtId="164" fontId="16" fillId="3" borderId="14" xfId="4" applyNumberFormat="1" applyFont="1" applyFill="1" applyBorder="1" applyAlignment="1">
      <alignment vertical="center" shrinkToFit="1"/>
    </xf>
    <xf numFmtId="164" fontId="16" fillId="3" borderId="16" xfId="4" applyNumberFormat="1" applyFont="1" applyFill="1" applyBorder="1" applyAlignment="1">
      <alignment vertical="center" shrinkToFit="1"/>
    </xf>
    <xf numFmtId="164" fontId="16" fillId="3" borderId="17" xfId="4" applyNumberFormat="1" applyFont="1" applyFill="1" applyBorder="1" applyAlignment="1">
      <alignment vertical="center" shrinkToFit="1"/>
    </xf>
    <xf numFmtId="164" fontId="16" fillId="0" borderId="18" xfId="4" applyNumberFormat="1" applyFont="1" applyFill="1" applyBorder="1" applyAlignment="1">
      <alignment vertical="center" shrinkToFit="1"/>
    </xf>
    <xf numFmtId="164" fontId="16" fillId="0" borderId="16" xfId="4" applyNumberFormat="1" applyFont="1" applyFill="1" applyBorder="1" applyAlignment="1">
      <alignment vertical="center" shrinkToFit="1"/>
    </xf>
    <xf numFmtId="49" fontId="10" fillId="4" borderId="4" xfId="4" applyNumberFormat="1" applyFont="1" applyFill="1" applyBorder="1" applyAlignment="1">
      <alignment horizontal="center" vertical="center"/>
    </xf>
    <xf numFmtId="43" fontId="3" fillId="0" borderId="1" xfId="1" applyNumberFormat="1" applyFont="1" applyBorder="1" applyAlignment="1"/>
    <xf numFmtId="0" fontId="3" fillId="0" borderId="21" xfId="1" applyFont="1" applyBorder="1" applyAlignment="1">
      <alignment horizontal="center" vertical="center"/>
    </xf>
    <xf numFmtId="0" fontId="3" fillId="0" borderId="21" xfId="2" applyFont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20" xfId="1" applyFont="1" applyFill="1" applyBorder="1" applyAlignment="1">
      <alignment horizontal="center" vertical="center" wrapText="1"/>
    </xf>
    <xf numFmtId="166" fontId="3" fillId="0" borderId="1" xfId="1" applyNumberFormat="1" applyFont="1" applyBorder="1" applyAlignment="1">
      <alignment horizontal="right"/>
    </xf>
    <xf numFmtId="166" fontId="3" fillId="0" borderId="1" xfId="1" applyNumberFormat="1" applyFont="1" applyBorder="1" applyAlignment="1"/>
    <xf numFmtId="0" fontId="8" fillId="0" borderId="0" xfId="3"/>
    <xf numFmtId="0" fontId="9" fillId="0" borderId="0" xfId="3" applyFont="1"/>
    <xf numFmtId="0" fontId="15" fillId="0" borderId="13" xfId="3" applyFont="1" applyBorder="1" applyAlignment="1">
      <alignment horizontal="left" vertical="center" wrapText="1" indent="2"/>
    </xf>
    <xf numFmtId="0" fontId="15" fillId="0" borderId="8" xfId="3" applyFont="1" applyBorder="1" applyAlignment="1">
      <alignment horizontal="left" vertical="center"/>
    </xf>
    <xf numFmtId="0" fontId="15" fillId="0" borderId="13" xfId="3" applyFont="1" applyBorder="1" applyAlignment="1">
      <alignment horizontal="left" vertical="center" wrapText="1" indent="1"/>
    </xf>
    <xf numFmtId="0" fontId="13" fillId="0" borderId="9" xfId="3" applyFont="1" applyBorder="1" applyAlignment="1">
      <alignment vertical="center" wrapText="1"/>
    </xf>
    <xf numFmtId="0" fontId="13" fillId="0" borderId="8" xfId="3" applyFont="1" applyBorder="1" applyAlignment="1">
      <alignment horizontal="left" vertical="center"/>
    </xf>
    <xf numFmtId="0" fontId="13" fillId="0" borderId="9" xfId="3" applyFont="1" applyBorder="1" applyAlignment="1">
      <alignment horizontal="left" vertical="center" wrapText="1"/>
    </xf>
    <xf numFmtId="0" fontId="15" fillId="0" borderId="13" xfId="3" quotePrefix="1" applyFont="1" applyBorder="1" applyAlignment="1">
      <alignment horizontal="left" vertical="center" wrapText="1" indent="2"/>
    </xf>
    <xf numFmtId="0" fontId="15" fillId="0" borderId="13" xfId="3" quotePrefix="1" applyFont="1" applyBorder="1" applyAlignment="1">
      <alignment horizontal="left" vertical="center" wrapText="1" indent="3"/>
    </xf>
    <xf numFmtId="0" fontId="15" fillId="0" borderId="9" xfId="3" applyFont="1" applyBorder="1" applyAlignment="1" applyProtection="1">
      <alignment horizontal="left" vertical="center" wrapText="1" indent="1"/>
      <protection locked="0"/>
    </xf>
    <xf numFmtId="0" fontId="15" fillId="0" borderId="8" xfId="3" applyFont="1" applyBorder="1" applyAlignment="1" applyProtection="1">
      <alignment horizontal="left" vertical="center"/>
      <protection locked="0"/>
    </xf>
    <xf numFmtId="0" fontId="15" fillId="0" borderId="13" xfId="3" applyFont="1" applyBorder="1" applyAlignment="1">
      <alignment horizontal="left" vertical="center" wrapText="1" indent="3"/>
    </xf>
    <xf numFmtId="0" fontId="15" fillId="0" borderId="13" xfId="3" applyFont="1" applyBorder="1" applyAlignment="1">
      <alignment horizontal="left" vertical="center" wrapText="1" indent="4"/>
    </xf>
    <xf numFmtId="0" fontId="9" fillId="0" borderId="0" xfId="3" applyFont="1" applyProtection="1">
      <protection locked="0"/>
    </xf>
    <xf numFmtId="0" fontId="11" fillId="0" borderId="2" xfId="3" applyFont="1" applyBorder="1" applyAlignment="1" applyProtection="1">
      <alignment vertical="center" wrapText="1"/>
      <protection locked="0"/>
    </xf>
    <xf numFmtId="0" fontId="11" fillId="0" borderId="0" xfId="3" applyFont="1" applyBorder="1" applyAlignment="1" applyProtection="1">
      <alignment horizontal="left" vertical="center"/>
      <protection locked="0"/>
    </xf>
    <xf numFmtId="0" fontId="9" fillId="0" borderId="0" xfId="3" applyFont="1" applyBorder="1" applyProtection="1">
      <protection locked="0"/>
    </xf>
    <xf numFmtId="0" fontId="15" fillId="0" borderId="14" xfId="3" applyFont="1" applyBorder="1" applyAlignment="1">
      <alignment horizontal="left" vertical="center"/>
    </xf>
    <xf numFmtId="0" fontId="15" fillId="0" borderId="15" xfId="3" applyFont="1" applyBorder="1" applyAlignment="1">
      <alignment horizontal="left" vertical="center" wrapText="1" indent="1"/>
    </xf>
    <xf numFmtId="0" fontId="17" fillId="0" borderId="0" xfId="1" applyFont="1"/>
    <xf numFmtId="4" fontId="3" fillId="0" borderId="1" xfId="1" applyNumberFormat="1" applyFont="1" applyFill="1" applyBorder="1" applyAlignment="1"/>
    <xf numFmtId="0" fontId="3" fillId="0" borderId="0" xfId="1" applyFont="1" applyFill="1" applyAlignment="1">
      <alignment vertical="center"/>
    </xf>
    <xf numFmtId="0" fontId="3" fillId="0" borderId="0" xfId="1" applyFont="1" applyFill="1"/>
    <xf numFmtId="0" fontId="17" fillId="0" borderId="1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left" vertical="center" wrapText="1"/>
    </xf>
    <xf numFmtId="0" fontId="17" fillId="0" borderId="1" xfId="1" applyFont="1" applyFill="1" applyBorder="1" applyAlignment="1">
      <alignment horizontal="center" vertical="center" wrapText="1"/>
    </xf>
    <xf numFmtId="4" fontId="17" fillId="0" borderId="1" xfId="1" applyNumberFormat="1" applyFont="1" applyFill="1" applyBorder="1" applyAlignment="1"/>
    <xf numFmtId="0" fontId="17" fillId="0" borderId="0" xfId="1" applyFont="1" applyAlignment="1">
      <alignment vertical="center"/>
    </xf>
    <xf numFmtId="0" fontId="17" fillId="0" borderId="1" xfId="1" applyFont="1" applyBorder="1" applyAlignment="1">
      <alignment horizontal="center" vertical="center"/>
    </xf>
    <xf numFmtId="4" fontId="17" fillId="0" borderId="1" xfId="1" applyNumberFormat="1" applyFont="1" applyBorder="1" applyAlignment="1"/>
    <xf numFmtId="0" fontId="17" fillId="0" borderId="0" xfId="1" applyFont="1" applyFill="1" applyAlignment="1">
      <alignment vertical="center"/>
    </xf>
    <xf numFmtId="0" fontId="17" fillId="0" borderId="0" xfId="1" applyFont="1" applyFill="1"/>
    <xf numFmtId="0" fontId="10" fillId="0" borderId="2" xfId="3" applyFont="1" applyBorder="1" applyAlignment="1" applyProtection="1">
      <alignment horizontal="center" vertical="center" wrapText="1"/>
      <protection locked="0"/>
    </xf>
    <xf numFmtId="0" fontId="9" fillId="0" borderId="0" xfId="3" applyFont="1" applyAlignment="1" applyProtection="1">
      <protection locked="0"/>
    </xf>
    <xf numFmtId="0" fontId="9" fillId="0" borderId="0" xfId="3" applyFont="1" applyAlignment="1"/>
    <xf numFmtId="49" fontId="10" fillId="4" borderId="22" xfId="4" applyNumberFormat="1" applyFont="1" applyFill="1" applyBorder="1" applyAlignment="1" applyProtection="1">
      <alignment horizontal="center" vertical="center"/>
      <protection locked="0"/>
    </xf>
    <xf numFmtId="0" fontId="13" fillId="0" borderId="13" xfId="3" applyFont="1" applyBorder="1" applyAlignment="1" applyProtection="1">
      <alignment horizontal="left" vertical="center"/>
      <protection locked="0"/>
    </xf>
    <xf numFmtId="0" fontId="15" fillId="5" borderId="13" xfId="3" applyFont="1" applyFill="1" applyBorder="1" applyAlignment="1" applyProtection="1">
      <alignment horizontal="left" vertical="center"/>
      <protection locked="0"/>
    </xf>
    <xf numFmtId="0" fontId="15" fillId="0" borderId="13" xfId="3" applyFont="1" applyBorder="1" applyAlignment="1" applyProtection="1">
      <alignment horizontal="left" vertical="center"/>
      <protection locked="0"/>
    </xf>
    <xf numFmtId="0" fontId="10" fillId="0" borderId="2" xfId="3" applyFont="1" applyBorder="1" applyAlignment="1" applyProtection="1">
      <alignment horizontal="center" vertical="center" wrapText="1"/>
      <protection locked="0"/>
    </xf>
    <xf numFmtId="0" fontId="2" fillId="3" borderId="1" xfId="1" applyFont="1" applyFill="1" applyBorder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/>
    </xf>
    <xf numFmtId="0" fontId="18" fillId="0" borderId="0" xfId="3" applyFont="1" applyAlignment="1">
      <alignment horizontal="center"/>
    </xf>
    <xf numFmtId="0" fontId="15" fillId="0" borderId="15" xfId="3" applyFont="1" applyBorder="1" applyAlignment="1" applyProtection="1">
      <alignment horizontal="left" vertical="center"/>
      <protection locked="0"/>
    </xf>
  </cellXfs>
  <cellStyles count="9">
    <cellStyle name="Normalny" xfId="0" builtinId="0"/>
    <cellStyle name="Normalny 2" xfId="1"/>
    <cellStyle name="Normalny 2 2 2" xfId="2"/>
    <cellStyle name="Normalny 3" xfId="3"/>
    <cellStyle name="Normalny 3 2" xfId="8"/>
    <cellStyle name="Normalny 6 2" xfId="4"/>
    <cellStyle name="Normalny 8" xfId="7"/>
    <cellStyle name="Normalny 9" xfId="5"/>
    <cellStyle name="Procentowy 2 2" xfId="6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_grudzie&#324;_13_12_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.1_WPF_bazowy"/>
      <sheetName val="WPF_AnalizaWsk_ProjektowanieJST"/>
      <sheetName val="definicja"/>
      <sheetName val="rysunki"/>
      <sheetName val="DaneZrodlowe"/>
    </sheetNames>
    <sheetDataSet>
      <sheetData sheetId="0"/>
      <sheetData sheetId="1"/>
      <sheetData sheetId="2"/>
      <sheetData sheetId="3"/>
      <sheetData sheetId="4">
        <row r="1">
          <cell r="N1">
            <v>2018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00B050"/>
    <outlinePr summaryBelow="0"/>
  </sheetPr>
  <dimension ref="A1:U104"/>
  <sheetViews>
    <sheetView zoomScaleNormal="100" zoomScaleSheetLayoutView="100" workbookViewId="0">
      <pane xSplit="3" ySplit="3" topLeftCell="D4" activePane="bottomRight" state="frozen"/>
      <selection activeCell="H158" sqref="H158"/>
      <selection pane="topRight" activeCell="H158" sqref="H158"/>
      <selection pane="bottomLeft" activeCell="H158" sqref="H158"/>
      <selection pane="bottomRight" sqref="A1:XFD1"/>
    </sheetView>
  </sheetViews>
  <sheetFormatPr defaultRowHeight="14.25"/>
  <cols>
    <col min="1" max="1" width="7.5703125" style="63" customWidth="1"/>
    <col min="2" max="2" width="24.85546875" style="97" hidden="1" customWidth="1"/>
    <col min="3" max="3" width="36.7109375" style="63" customWidth="1"/>
    <col min="4" max="21" width="11.7109375" style="63" customWidth="1"/>
    <col min="22" max="236" width="9.140625" style="62"/>
    <col min="237" max="237" width="0" style="62" hidden="1" customWidth="1"/>
    <col min="238" max="238" width="7.5703125" style="62" customWidth="1"/>
    <col min="239" max="239" width="0" style="62" hidden="1" customWidth="1"/>
    <col min="240" max="240" width="80.7109375" style="62" customWidth="1"/>
    <col min="241" max="274" width="16" style="62" customWidth="1"/>
    <col min="275" max="492" width="9.140625" style="62"/>
    <col min="493" max="493" width="0" style="62" hidden="1" customWidth="1"/>
    <col min="494" max="494" width="7.5703125" style="62" customWidth="1"/>
    <col min="495" max="495" width="0" style="62" hidden="1" customWidth="1"/>
    <col min="496" max="496" width="80.7109375" style="62" customWidth="1"/>
    <col min="497" max="530" width="16" style="62" customWidth="1"/>
    <col min="531" max="748" width="9.140625" style="62"/>
    <col min="749" max="749" width="0" style="62" hidden="1" customWidth="1"/>
    <col min="750" max="750" width="7.5703125" style="62" customWidth="1"/>
    <col min="751" max="751" width="0" style="62" hidden="1" customWidth="1"/>
    <col min="752" max="752" width="80.7109375" style="62" customWidth="1"/>
    <col min="753" max="786" width="16" style="62" customWidth="1"/>
    <col min="787" max="1004" width="9.140625" style="62"/>
    <col min="1005" max="1005" width="0" style="62" hidden="1" customWidth="1"/>
    <col min="1006" max="1006" width="7.5703125" style="62" customWidth="1"/>
    <col min="1007" max="1007" width="0" style="62" hidden="1" customWidth="1"/>
    <col min="1008" max="1008" width="80.7109375" style="62" customWidth="1"/>
    <col min="1009" max="1042" width="16" style="62" customWidth="1"/>
    <col min="1043" max="1260" width="9.140625" style="62"/>
    <col min="1261" max="1261" width="0" style="62" hidden="1" customWidth="1"/>
    <col min="1262" max="1262" width="7.5703125" style="62" customWidth="1"/>
    <col min="1263" max="1263" width="0" style="62" hidden="1" customWidth="1"/>
    <col min="1264" max="1264" width="80.7109375" style="62" customWidth="1"/>
    <col min="1265" max="1298" width="16" style="62" customWidth="1"/>
    <col min="1299" max="1516" width="9.140625" style="62"/>
    <col min="1517" max="1517" width="0" style="62" hidden="1" customWidth="1"/>
    <col min="1518" max="1518" width="7.5703125" style="62" customWidth="1"/>
    <col min="1519" max="1519" width="0" style="62" hidden="1" customWidth="1"/>
    <col min="1520" max="1520" width="80.7109375" style="62" customWidth="1"/>
    <col min="1521" max="1554" width="16" style="62" customWidth="1"/>
    <col min="1555" max="1772" width="9.140625" style="62"/>
    <col min="1773" max="1773" width="0" style="62" hidden="1" customWidth="1"/>
    <col min="1774" max="1774" width="7.5703125" style="62" customWidth="1"/>
    <col min="1775" max="1775" width="0" style="62" hidden="1" customWidth="1"/>
    <col min="1776" max="1776" width="80.7109375" style="62" customWidth="1"/>
    <col min="1777" max="1810" width="16" style="62" customWidth="1"/>
    <col min="1811" max="2028" width="9.140625" style="62"/>
    <col min="2029" max="2029" width="0" style="62" hidden="1" customWidth="1"/>
    <col min="2030" max="2030" width="7.5703125" style="62" customWidth="1"/>
    <col min="2031" max="2031" width="0" style="62" hidden="1" customWidth="1"/>
    <col min="2032" max="2032" width="80.7109375" style="62" customWidth="1"/>
    <col min="2033" max="2066" width="16" style="62" customWidth="1"/>
    <col min="2067" max="2284" width="9.140625" style="62"/>
    <col min="2285" max="2285" width="0" style="62" hidden="1" customWidth="1"/>
    <col min="2286" max="2286" width="7.5703125" style="62" customWidth="1"/>
    <col min="2287" max="2287" width="0" style="62" hidden="1" customWidth="1"/>
    <col min="2288" max="2288" width="80.7109375" style="62" customWidth="1"/>
    <col min="2289" max="2322" width="16" style="62" customWidth="1"/>
    <col min="2323" max="2540" width="9.140625" style="62"/>
    <col min="2541" max="2541" width="0" style="62" hidden="1" customWidth="1"/>
    <col min="2542" max="2542" width="7.5703125" style="62" customWidth="1"/>
    <col min="2543" max="2543" width="0" style="62" hidden="1" customWidth="1"/>
    <col min="2544" max="2544" width="80.7109375" style="62" customWidth="1"/>
    <col min="2545" max="2578" width="16" style="62" customWidth="1"/>
    <col min="2579" max="2796" width="9.140625" style="62"/>
    <col min="2797" max="2797" width="0" style="62" hidden="1" customWidth="1"/>
    <col min="2798" max="2798" width="7.5703125" style="62" customWidth="1"/>
    <col min="2799" max="2799" width="0" style="62" hidden="1" customWidth="1"/>
    <col min="2800" max="2800" width="80.7109375" style="62" customWidth="1"/>
    <col min="2801" max="2834" width="16" style="62" customWidth="1"/>
    <col min="2835" max="3052" width="9.140625" style="62"/>
    <col min="3053" max="3053" width="0" style="62" hidden="1" customWidth="1"/>
    <col min="3054" max="3054" width="7.5703125" style="62" customWidth="1"/>
    <col min="3055" max="3055" width="0" style="62" hidden="1" customWidth="1"/>
    <col min="3056" max="3056" width="80.7109375" style="62" customWidth="1"/>
    <col min="3057" max="3090" width="16" style="62" customWidth="1"/>
    <col min="3091" max="3308" width="9.140625" style="62"/>
    <col min="3309" max="3309" width="0" style="62" hidden="1" customWidth="1"/>
    <col min="3310" max="3310" width="7.5703125" style="62" customWidth="1"/>
    <col min="3311" max="3311" width="0" style="62" hidden="1" customWidth="1"/>
    <col min="3312" max="3312" width="80.7109375" style="62" customWidth="1"/>
    <col min="3313" max="3346" width="16" style="62" customWidth="1"/>
    <col min="3347" max="3564" width="9.140625" style="62"/>
    <col min="3565" max="3565" width="0" style="62" hidden="1" customWidth="1"/>
    <col min="3566" max="3566" width="7.5703125" style="62" customWidth="1"/>
    <col min="3567" max="3567" width="0" style="62" hidden="1" customWidth="1"/>
    <col min="3568" max="3568" width="80.7109375" style="62" customWidth="1"/>
    <col min="3569" max="3602" width="16" style="62" customWidth="1"/>
    <col min="3603" max="3820" width="9.140625" style="62"/>
    <col min="3821" max="3821" width="0" style="62" hidden="1" customWidth="1"/>
    <col min="3822" max="3822" width="7.5703125" style="62" customWidth="1"/>
    <col min="3823" max="3823" width="0" style="62" hidden="1" customWidth="1"/>
    <col min="3824" max="3824" width="80.7109375" style="62" customWidth="1"/>
    <col min="3825" max="3858" width="16" style="62" customWidth="1"/>
    <col min="3859" max="4076" width="9.140625" style="62"/>
    <col min="4077" max="4077" width="0" style="62" hidden="1" customWidth="1"/>
    <col min="4078" max="4078" width="7.5703125" style="62" customWidth="1"/>
    <col min="4079" max="4079" width="0" style="62" hidden="1" customWidth="1"/>
    <col min="4080" max="4080" width="80.7109375" style="62" customWidth="1"/>
    <col min="4081" max="4114" width="16" style="62" customWidth="1"/>
    <col min="4115" max="4332" width="9.140625" style="62"/>
    <col min="4333" max="4333" width="0" style="62" hidden="1" customWidth="1"/>
    <col min="4334" max="4334" width="7.5703125" style="62" customWidth="1"/>
    <col min="4335" max="4335" width="0" style="62" hidden="1" customWidth="1"/>
    <col min="4336" max="4336" width="80.7109375" style="62" customWidth="1"/>
    <col min="4337" max="4370" width="16" style="62" customWidth="1"/>
    <col min="4371" max="4588" width="9.140625" style="62"/>
    <col min="4589" max="4589" width="0" style="62" hidden="1" customWidth="1"/>
    <col min="4590" max="4590" width="7.5703125" style="62" customWidth="1"/>
    <col min="4591" max="4591" width="0" style="62" hidden="1" customWidth="1"/>
    <col min="4592" max="4592" width="80.7109375" style="62" customWidth="1"/>
    <col min="4593" max="4626" width="16" style="62" customWidth="1"/>
    <col min="4627" max="4844" width="9.140625" style="62"/>
    <col min="4845" max="4845" width="0" style="62" hidden="1" customWidth="1"/>
    <col min="4846" max="4846" width="7.5703125" style="62" customWidth="1"/>
    <col min="4847" max="4847" width="0" style="62" hidden="1" customWidth="1"/>
    <col min="4848" max="4848" width="80.7109375" style="62" customWidth="1"/>
    <col min="4849" max="4882" width="16" style="62" customWidth="1"/>
    <col min="4883" max="5100" width="9.140625" style="62"/>
    <col min="5101" max="5101" width="0" style="62" hidden="1" customWidth="1"/>
    <col min="5102" max="5102" width="7.5703125" style="62" customWidth="1"/>
    <col min="5103" max="5103" width="0" style="62" hidden="1" customWidth="1"/>
    <col min="5104" max="5104" width="80.7109375" style="62" customWidth="1"/>
    <col min="5105" max="5138" width="16" style="62" customWidth="1"/>
    <col min="5139" max="5356" width="9.140625" style="62"/>
    <col min="5357" max="5357" width="0" style="62" hidden="1" customWidth="1"/>
    <col min="5358" max="5358" width="7.5703125" style="62" customWidth="1"/>
    <col min="5359" max="5359" width="0" style="62" hidden="1" customWidth="1"/>
    <col min="5360" max="5360" width="80.7109375" style="62" customWidth="1"/>
    <col min="5361" max="5394" width="16" style="62" customWidth="1"/>
    <col min="5395" max="5612" width="9.140625" style="62"/>
    <col min="5613" max="5613" width="0" style="62" hidden="1" customWidth="1"/>
    <col min="5614" max="5614" width="7.5703125" style="62" customWidth="1"/>
    <col min="5615" max="5615" width="0" style="62" hidden="1" customWidth="1"/>
    <col min="5616" max="5616" width="80.7109375" style="62" customWidth="1"/>
    <col min="5617" max="5650" width="16" style="62" customWidth="1"/>
    <col min="5651" max="5868" width="9.140625" style="62"/>
    <col min="5869" max="5869" width="0" style="62" hidden="1" customWidth="1"/>
    <col min="5870" max="5870" width="7.5703125" style="62" customWidth="1"/>
    <col min="5871" max="5871" width="0" style="62" hidden="1" customWidth="1"/>
    <col min="5872" max="5872" width="80.7109375" style="62" customWidth="1"/>
    <col min="5873" max="5906" width="16" style="62" customWidth="1"/>
    <col min="5907" max="6124" width="9.140625" style="62"/>
    <col min="6125" max="6125" width="0" style="62" hidden="1" customWidth="1"/>
    <col min="6126" max="6126" width="7.5703125" style="62" customWidth="1"/>
    <col min="6127" max="6127" width="0" style="62" hidden="1" customWidth="1"/>
    <col min="6128" max="6128" width="80.7109375" style="62" customWidth="1"/>
    <col min="6129" max="6162" width="16" style="62" customWidth="1"/>
    <col min="6163" max="6380" width="9.140625" style="62"/>
    <col min="6381" max="6381" width="0" style="62" hidden="1" customWidth="1"/>
    <col min="6382" max="6382" width="7.5703125" style="62" customWidth="1"/>
    <col min="6383" max="6383" width="0" style="62" hidden="1" customWidth="1"/>
    <col min="6384" max="6384" width="80.7109375" style="62" customWidth="1"/>
    <col min="6385" max="6418" width="16" style="62" customWidth="1"/>
    <col min="6419" max="6636" width="9.140625" style="62"/>
    <col min="6637" max="6637" width="0" style="62" hidden="1" customWidth="1"/>
    <col min="6638" max="6638" width="7.5703125" style="62" customWidth="1"/>
    <col min="6639" max="6639" width="0" style="62" hidden="1" customWidth="1"/>
    <col min="6640" max="6640" width="80.7109375" style="62" customWidth="1"/>
    <col min="6641" max="6674" width="16" style="62" customWidth="1"/>
    <col min="6675" max="6892" width="9.140625" style="62"/>
    <col min="6893" max="6893" width="0" style="62" hidden="1" customWidth="1"/>
    <col min="6894" max="6894" width="7.5703125" style="62" customWidth="1"/>
    <col min="6895" max="6895" width="0" style="62" hidden="1" customWidth="1"/>
    <col min="6896" max="6896" width="80.7109375" style="62" customWidth="1"/>
    <col min="6897" max="6930" width="16" style="62" customWidth="1"/>
    <col min="6931" max="7148" width="9.140625" style="62"/>
    <col min="7149" max="7149" width="0" style="62" hidden="1" customWidth="1"/>
    <col min="7150" max="7150" width="7.5703125" style="62" customWidth="1"/>
    <col min="7151" max="7151" width="0" style="62" hidden="1" customWidth="1"/>
    <col min="7152" max="7152" width="80.7109375" style="62" customWidth="1"/>
    <col min="7153" max="7186" width="16" style="62" customWidth="1"/>
    <col min="7187" max="7404" width="9.140625" style="62"/>
    <col min="7405" max="7405" width="0" style="62" hidden="1" customWidth="1"/>
    <col min="7406" max="7406" width="7.5703125" style="62" customWidth="1"/>
    <col min="7407" max="7407" width="0" style="62" hidden="1" customWidth="1"/>
    <col min="7408" max="7408" width="80.7109375" style="62" customWidth="1"/>
    <col min="7409" max="7442" width="16" style="62" customWidth="1"/>
    <col min="7443" max="7660" width="9.140625" style="62"/>
    <col min="7661" max="7661" width="0" style="62" hidden="1" customWidth="1"/>
    <col min="7662" max="7662" width="7.5703125" style="62" customWidth="1"/>
    <col min="7663" max="7663" width="0" style="62" hidden="1" customWidth="1"/>
    <col min="7664" max="7664" width="80.7109375" style="62" customWidth="1"/>
    <col min="7665" max="7698" width="16" style="62" customWidth="1"/>
    <col min="7699" max="7916" width="9.140625" style="62"/>
    <col min="7917" max="7917" width="0" style="62" hidden="1" customWidth="1"/>
    <col min="7918" max="7918" width="7.5703125" style="62" customWidth="1"/>
    <col min="7919" max="7919" width="0" style="62" hidden="1" customWidth="1"/>
    <col min="7920" max="7920" width="80.7109375" style="62" customWidth="1"/>
    <col min="7921" max="7954" width="16" style="62" customWidth="1"/>
    <col min="7955" max="8172" width="9.140625" style="62"/>
    <col min="8173" max="8173" width="0" style="62" hidden="1" customWidth="1"/>
    <col min="8174" max="8174" width="7.5703125" style="62" customWidth="1"/>
    <col min="8175" max="8175" width="0" style="62" hidden="1" customWidth="1"/>
    <col min="8176" max="8176" width="80.7109375" style="62" customWidth="1"/>
    <col min="8177" max="8210" width="16" style="62" customWidth="1"/>
    <col min="8211" max="8428" width="9.140625" style="62"/>
    <col min="8429" max="8429" width="0" style="62" hidden="1" customWidth="1"/>
    <col min="8430" max="8430" width="7.5703125" style="62" customWidth="1"/>
    <col min="8431" max="8431" width="0" style="62" hidden="1" customWidth="1"/>
    <col min="8432" max="8432" width="80.7109375" style="62" customWidth="1"/>
    <col min="8433" max="8466" width="16" style="62" customWidth="1"/>
    <col min="8467" max="8684" width="9.140625" style="62"/>
    <col min="8685" max="8685" width="0" style="62" hidden="1" customWidth="1"/>
    <col min="8686" max="8686" width="7.5703125" style="62" customWidth="1"/>
    <col min="8687" max="8687" width="0" style="62" hidden="1" customWidth="1"/>
    <col min="8688" max="8688" width="80.7109375" style="62" customWidth="1"/>
    <col min="8689" max="8722" width="16" style="62" customWidth="1"/>
    <col min="8723" max="8940" width="9.140625" style="62"/>
    <col min="8941" max="8941" width="0" style="62" hidden="1" customWidth="1"/>
    <col min="8942" max="8942" width="7.5703125" style="62" customWidth="1"/>
    <col min="8943" max="8943" width="0" style="62" hidden="1" customWidth="1"/>
    <col min="8944" max="8944" width="80.7109375" style="62" customWidth="1"/>
    <col min="8945" max="8978" width="16" style="62" customWidth="1"/>
    <col min="8979" max="9196" width="9.140625" style="62"/>
    <col min="9197" max="9197" width="0" style="62" hidden="1" customWidth="1"/>
    <col min="9198" max="9198" width="7.5703125" style="62" customWidth="1"/>
    <col min="9199" max="9199" width="0" style="62" hidden="1" customWidth="1"/>
    <col min="9200" max="9200" width="80.7109375" style="62" customWidth="1"/>
    <col min="9201" max="9234" width="16" style="62" customWidth="1"/>
    <col min="9235" max="9452" width="9.140625" style="62"/>
    <col min="9453" max="9453" width="0" style="62" hidden="1" customWidth="1"/>
    <col min="9454" max="9454" width="7.5703125" style="62" customWidth="1"/>
    <col min="9455" max="9455" width="0" style="62" hidden="1" customWidth="1"/>
    <col min="9456" max="9456" width="80.7109375" style="62" customWidth="1"/>
    <col min="9457" max="9490" width="16" style="62" customWidth="1"/>
    <col min="9491" max="9708" width="9.140625" style="62"/>
    <col min="9709" max="9709" width="0" style="62" hidden="1" customWidth="1"/>
    <col min="9710" max="9710" width="7.5703125" style="62" customWidth="1"/>
    <col min="9711" max="9711" width="0" style="62" hidden="1" customWidth="1"/>
    <col min="9712" max="9712" width="80.7109375" style="62" customWidth="1"/>
    <col min="9713" max="9746" width="16" style="62" customWidth="1"/>
    <col min="9747" max="9964" width="9.140625" style="62"/>
    <col min="9965" max="9965" width="0" style="62" hidden="1" customWidth="1"/>
    <col min="9966" max="9966" width="7.5703125" style="62" customWidth="1"/>
    <col min="9967" max="9967" width="0" style="62" hidden="1" customWidth="1"/>
    <col min="9968" max="9968" width="80.7109375" style="62" customWidth="1"/>
    <col min="9969" max="10002" width="16" style="62" customWidth="1"/>
    <col min="10003" max="10220" width="9.140625" style="62"/>
    <col min="10221" max="10221" width="0" style="62" hidden="1" customWidth="1"/>
    <col min="10222" max="10222" width="7.5703125" style="62" customWidth="1"/>
    <col min="10223" max="10223" width="0" style="62" hidden="1" customWidth="1"/>
    <col min="10224" max="10224" width="80.7109375" style="62" customWidth="1"/>
    <col min="10225" max="10258" width="16" style="62" customWidth="1"/>
    <col min="10259" max="10476" width="9.140625" style="62"/>
    <col min="10477" max="10477" width="0" style="62" hidden="1" customWidth="1"/>
    <col min="10478" max="10478" width="7.5703125" style="62" customWidth="1"/>
    <col min="10479" max="10479" width="0" style="62" hidden="1" customWidth="1"/>
    <col min="10480" max="10480" width="80.7109375" style="62" customWidth="1"/>
    <col min="10481" max="10514" width="16" style="62" customWidth="1"/>
    <col min="10515" max="10732" width="9.140625" style="62"/>
    <col min="10733" max="10733" width="0" style="62" hidden="1" customWidth="1"/>
    <col min="10734" max="10734" width="7.5703125" style="62" customWidth="1"/>
    <col min="10735" max="10735" width="0" style="62" hidden="1" customWidth="1"/>
    <col min="10736" max="10736" width="80.7109375" style="62" customWidth="1"/>
    <col min="10737" max="10770" width="16" style="62" customWidth="1"/>
    <col min="10771" max="10988" width="9.140625" style="62"/>
    <col min="10989" max="10989" width="0" style="62" hidden="1" customWidth="1"/>
    <col min="10990" max="10990" width="7.5703125" style="62" customWidth="1"/>
    <col min="10991" max="10991" width="0" style="62" hidden="1" customWidth="1"/>
    <col min="10992" max="10992" width="80.7109375" style="62" customWidth="1"/>
    <col min="10993" max="11026" width="16" style="62" customWidth="1"/>
    <col min="11027" max="11244" width="9.140625" style="62"/>
    <col min="11245" max="11245" width="0" style="62" hidden="1" customWidth="1"/>
    <col min="11246" max="11246" width="7.5703125" style="62" customWidth="1"/>
    <col min="11247" max="11247" width="0" style="62" hidden="1" customWidth="1"/>
    <col min="11248" max="11248" width="80.7109375" style="62" customWidth="1"/>
    <col min="11249" max="11282" width="16" style="62" customWidth="1"/>
    <col min="11283" max="11500" width="9.140625" style="62"/>
    <col min="11501" max="11501" width="0" style="62" hidden="1" customWidth="1"/>
    <col min="11502" max="11502" width="7.5703125" style="62" customWidth="1"/>
    <col min="11503" max="11503" width="0" style="62" hidden="1" customWidth="1"/>
    <col min="11504" max="11504" width="80.7109375" style="62" customWidth="1"/>
    <col min="11505" max="11538" width="16" style="62" customWidth="1"/>
    <col min="11539" max="11756" width="9.140625" style="62"/>
    <col min="11757" max="11757" width="0" style="62" hidden="1" customWidth="1"/>
    <col min="11758" max="11758" width="7.5703125" style="62" customWidth="1"/>
    <col min="11759" max="11759" width="0" style="62" hidden="1" customWidth="1"/>
    <col min="11760" max="11760" width="80.7109375" style="62" customWidth="1"/>
    <col min="11761" max="11794" width="16" style="62" customWidth="1"/>
    <col min="11795" max="12012" width="9.140625" style="62"/>
    <col min="12013" max="12013" width="0" style="62" hidden="1" customWidth="1"/>
    <col min="12014" max="12014" width="7.5703125" style="62" customWidth="1"/>
    <col min="12015" max="12015" width="0" style="62" hidden="1" customWidth="1"/>
    <col min="12016" max="12016" width="80.7109375" style="62" customWidth="1"/>
    <col min="12017" max="12050" width="16" style="62" customWidth="1"/>
    <col min="12051" max="12268" width="9.140625" style="62"/>
    <col min="12269" max="12269" width="0" style="62" hidden="1" customWidth="1"/>
    <col min="12270" max="12270" width="7.5703125" style="62" customWidth="1"/>
    <col min="12271" max="12271" width="0" style="62" hidden="1" customWidth="1"/>
    <col min="12272" max="12272" width="80.7109375" style="62" customWidth="1"/>
    <col min="12273" max="12306" width="16" style="62" customWidth="1"/>
    <col min="12307" max="12524" width="9.140625" style="62"/>
    <col min="12525" max="12525" width="0" style="62" hidden="1" customWidth="1"/>
    <col min="12526" max="12526" width="7.5703125" style="62" customWidth="1"/>
    <col min="12527" max="12527" width="0" style="62" hidden="1" customWidth="1"/>
    <col min="12528" max="12528" width="80.7109375" style="62" customWidth="1"/>
    <col min="12529" max="12562" width="16" style="62" customWidth="1"/>
    <col min="12563" max="12780" width="9.140625" style="62"/>
    <col min="12781" max="12781" width="0" style="62" hidden="1" customWidth="1"/>
    <col min="12782" max="12782" width="7.5703125" style="62" customWidth="1"/>
    <col min="12783" max="12783" width="0" style="62" hidden="1" customWidth="1"/>
    <col min="12784" max="12784" width="80.7109375" style="62" customWidth="1"/>
    <col min="12785" max="12818" width="16" style="62" customWidth="1"/>
    <col min="12819" max="13036" width="9.140625" style="62"/>
    <col min="13037" max="13037" width="0" style="62" hidden="1" customWidth="1"/>
    <col min="13038" max="13038" width="7.5703125" style="62" customWidth="1"/>
    <col min="13039" max="13039" width="0" style="62" hidden="1" customWidth="1"/>
    <col min="13040" max="13040" width="80.7109375" style="62" customWidth="1"/>
    <col min="13041" max="13074" width="16" style="62" customWidth="1"/>
    <col min="13075" max="13292" width="9.140625" style="62"/>
    <col min="13293" max="13293" width="0" style="62" hidden="1" customWidth="1"/>
    <col min="13294" max="13294" width="7.5703125" style="62" customWidth="1"/>
    <col min="13295" max="13295" width="0" style="62" hidden="1" customWidth="1"/>
    <col min="13296" max="13296" width="80.7109375" style="62" customWidth="1"/>
    <col min="13297" max="13330" width="16" style="62" customWidth="1"/>
    <col min="13331" max="13548" width="9.140625" style="62"/>
    <col min="13549" max="13549" width="0" style="62" hidden="1" customWidth="1"/>
    <col min="13550" max="13550" width="7.5703125" style="62" customWidth="1"/>
    <col min="13551" max="13551" width="0" style="62" hidden="1" customWidth="1"/>
    <col min="13552" max="13552" width="80.7109375" style="62" customWidth="1"/>
    <col min="13553" max="13586" width="16" style="62" customWidth="1"/>
    <col min="13587" max="13804" width="9.140625" style="62"/>
    <col min="13805" max="13805" width="0" style="62" hidden="1" customWidth="1"/>
    <col min="13806" max="13806" width="7.5703125" style="62" customWidth="1"/>
    <col min="13807" max="13807" width="0" style="62" hidden="1" customWidth="1"/>
    <col min="13808" max="13808" width="80.7109375" style="62" customWidth="1"/>
    <col min="13809" max="13842" width="16" style="62" customWidth="1"/>
    <col min="13843" max="14060" width="9.140625" style="62"/>
    <col min="14061" max="14061" width="0" style="62" hidden="1" customWidth="1"/>
    <col min="14062" max="14062" width="7.5703125" style="62" customWidth="1"/>
    <col min="14063" max="14063" width="0" style="62" hidden="1" customWidth="1"/>
    <col min="14064" max="14064" width="80.7109375" style="62" customWidth="1"/>
    <col min="14065" max="14098" width="16" style="62" customWidth="1"/>
    <col min="14099" max="14316" width="9.140625" style="62"/>
    <col min="14317" max="14317" width="0" style="62" hidden="1" customWidth="1"/>
    <col min="14318" max="14318" width="7.5703125" style="62" customWidth="1"/>
    <col min="14319" max="14319" width="0" style="62" hidden="1" customWidth="1"/>
    <col min="14320" max="14320" width="80.7109375" style="62" customWidth="1"/>
    <col min="14321" max="14354" width="16" style="62" customWidth="1"/>
    <col min="14355" max="14572" width="9.140625" style="62"/>
    <col min="14573" max="14573" width="0" style="62" hidden="1" customWidth="1"/>
    <col min="14574" max="14574" width="7.5703125" style="62" customWidth="1"/>
    <col min="14575" max="14575" width="0" style="62" hidden="1" customWidth="1"/>
    <col min="14576" max="14576" width="80.7109375" style="62" customWidth="1"/>
    <col min="14577" max="14610" width="16" style="62" customWidth="1"/>
    <col min="14611" max="14828" width="9.140625" style="62"/>
    <col min="14829" max="14829" width="0" style="62" hidden="1" customWidth="1"/>
    <col min="14830" max="14830" width="7.5703125" style="62" customWidth="1"/>
    <col min="14831" max="14831" width="0" style="62" hidden="1" customWidth="1"/>
    <col min="14832" max="14832" width="80.7109375" style="62" customWidth="1"/>
    <col min="14833" max="14866" width="16" style="62" customWidth="1"/>
    <col min="14867" max="15084" width="9.140625" style="62"/>
    <col min="15085" max="15085" width="0" style="62" hidden="1" customWidth="1"/>
    <col min="15086" max="15086" width="7.5703125" style="62" customWidth="1"/>
    <col min="15087" max="15087" width="0" style="62" hidden="1" customWidth="1"/>
    <col min="15088" max="15088" width="80.7109375" style="62" customWidth="1"/>
    <col min="15089" max="15122" width="16" style="62" customWidth="1"/>
    <col min="15123" max="15340" width="9.140625" style="62"/>
    <col min="15341" max="15341" width="0" style="62" hidden="1" customWidth="1"/>
    <col min="15342" max="15342" width="7.5703125" style="62" customWidth="1"/>
    <col min="15343" max="15343" width="0" style="62" hidden="1" customWidth="1"/>
    <col min="15344" max="15344" width="80.7109375" style="62" customWidth="1"/>
    <col min="15345" max="15378" width="16" style="62" customWidth="1"/>
    <col min="15379" max="15596" width="9.140625" style="62"/>
    <col min="15597" max="15597" width="0" style="62" hidden="1" customWidth="1"/>
    <col min="15598" max="15598" width="7.5703125" style="62" customWidth="1"/>
    <col min="15599" max="15599" width="0" style="62" hidden="1" customWidth="1"/>
    <col min="15600" max="15600" width="80.7109375" style="62" customWidth="1"/>
    <col min="15601" max="15634" width="16" style="62" customWidth="1"/>
    <col min="15635" max="15852" width="9.140625" style="62"/>
    <col min="15853" max="15853" width="0" style="62" hidden="1" customWidth="1"/>
    <col min="15854" max="15854" width="7.5703125" style="62" customWidth="1"/>
    <col min="15855" max="15855" width="0" style="62" hidden="1" customWidth="1"/>
    <col min="15856" max="15856" width="80.7109375" style="62" customWidth="1"/>
    <col min="15857" max="15890" width="16" style="62" customWidth="1"/>
    <col min="15891" max="16108" width="9.140625" style="62"/>
    <col min="16109" max="16109" width="0" style="62" hidden="1" customWidth="1"/>
    <col min="16110" max="16110" width="7.5703125" style="62" customWidth="1"/>
    <col min="16111" max="16111" width="0" style="62" hidden="1" customWidth="1"/>
    <col min="16112" max="16112" width="80.7109375" style="62" customWidth="1"/>
    <col min="16113" max="16146" width="16" style="62" customWidth="1"/>
    <col min="16147" max="16384" width="9.140625" style="62"/>
  </cols>
  <sheetData>
    <row r="1" spans="1:21" ht="20.25">
      <c r="A1" s="107" t="s">
        <v>305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</row>
    <row r="2" spans="1:21" ht="15.75">
      <c r="A2" s="76"/>
      <c r="B2" s="96"/>
      <c r="C2" s="79"/>
      <c r="D2" s="102" t="s">
        <v>49</v>
      </c>
      <c r="E2" s="102"/>
      <c r="F2" s="95" t="s">
        <v>50</v>
      </c>
      <c r="G2" s="95" t="s">
        <v>49</v>
      </c>
      <c r="H2" s="78" t="str">
        <f>""</f>
        <v/>
      </c>
      <c r="I2" s="77"/>
      <c r="J2" s="77"/>
      <c r="K2" s="77"/>
      <c r="L2" s="77"/>
      <c r="M2" s="76"/>
      <c r="N2" s="76"/>
      <c r="O2" s="76"/>
      <c r="P2" s="76"/>
      <c r="Q2" s="76"/>
      <c r="R2" s="76"/>
      <c r="S2" s="76"/>
      <c r="T2" s="76"/>
      <c r="U2" s="76"/>
    </row>
    <row r="3" spans="1:21">
      <c r="A3" s="21" t="s">
        <v>1</v>
      </c>
      <c r="B3" s="98" t="s">
        <v>309</v>
      </c>
      <c r="C3" s="54" t="s">
        <v>51</v>
      </c>
      <c r="D3" s="22">
        <f>+E3-1</f>
        <v>2015</v>
      </c>
      <c r="E3" s="23">
        <f>+F3-1</f>
        <v>2016</v>
      </c>
      <c r="F3" s="23">
        <f>+G3</f>
        <v>2017</v>
      </c>
      <c r="G3" s="24">
        <f>+H3-1</f>
        <v>2017</v>
      </c>
      <c r="H3" s="25">
        <f>+[1]DaneZrodlowe!$N$1</f>
        <v>2018</v>
      </c>
      <c r="I3" s="26">
        <f>+H3+1</f>
        <v>2019</v>
      </c>
      <c r="J3" s="26">
        <f t="shared" ref="J3:U3" si="0">+I3+1</f>
        <v>2020</v>
      </c>
      <c r="K3" s="26">
        <f t="shared" si="0"/>
        <v>2021</v>
      </c>
      <c r="L3" s="26">
        <f t="shared" si="0"/>
        <v>2022</v>
      </c>
      <c r="M3" s="26">
        <f t="shared" si="0"/>
        <v>2023</v>
      </c>
      <c r="N3" s="26">
        <f t="shared" si="0"/>
        <v>2024</v>
      </c>
      <c r="O3" s="26">
        <f t="shared" si="0"/>
        <v>2025</v>
      </c>
      <c r="P3" s="26">
        <f t="shared" si="0"/>
        <v>2026</v>
      </c>
      <c r="Q3" s="26">
        <f t="shared" si="0"/>
        <v>2027</v>
      </c>
      <c r="R3" s="26">
        <f t="shared" si="0"/>
        <v>2028</v>
      </c>
      <c r="S3" s="26">
        <f t="shared" si="0"/>
        <v>2029</v>
      </c>
      <c r="T3" s="26">
        <f t="shared" si="0"/>
        <v>2030</v>
      </c>
      <c r="U3" s="26">
        <f t="shared" si="0"/>
        <v>2031</v>
      </c>
    </row>
    <row r="4" spans="1:21" ht="23.25" customHeight="1">
      <c r="A4" s="68">
        <v>1</v>
      </c>
      <c r="B4" s="99" t="s">
        <v>52</v>
      </c>
      <c r="C4" s="67" t="s">
        <v>52</v>
      </c>
      <c r="D4" s="27">
        <f>113412610.88</f>
        <v>113412610.88</v>
      </c>
      <c r="E4" s="28">
        <f>119031147.34</f>
        <v>119031147.34</v>
      </c>
      <c r="F4" s="28">
        <f>136555802</f>
        <v>136555802</v>
      </c>
      <c r="G4" s="29">
        <f>135769078.53</f>
        <v>135769078.53</v>
      </c>
      <c r="H4" s="30">
        <f>145331375</f>
        <v>145331375</v>
      </c>
      <c r="I4" s="31">
        <f>131985673</f>
        <v>131985673</v>
      </c>
      <c r="J4" s="31">
        <f>134271152</f>
        <v>134271152</v>
      </c>
      <c r="K4" s="31">
        <f>137195115</f>
        <v>137195115</v>
      </c>
      <c r="L4" s="31">
        <f>141795944</f>
        <v>141795944</v>
      </c>
      <c r="M4" s="31">
        <f>146381350</f>
        <v>146381350</v>
      </c>
      <c r="N4" s="31">
        <f>151064673</f>
        <v>151064673</v>
      </c>
      <c r="O4" s="31">
        <f>155936828</f>
        <v>155936828</v>
      </c>
      <c r="P4" s="31">
        <f>160348433</f>
        <v>160348433</v>
      </c>
      <c r="Q4" s="31">
        <f>164989838</f>
        <v>164989838</v>
      </c>
      <c r="R4" s="31">
        <f>169765843</f>
        <v>169765843</v>
      </c>
      <c r="S4" s="31">
        <f>174510887</f>
        <v>174510887</v>
      </c>
      <c r="T4" s="31">
        <f>179214581</f>
        <v>179214581</v>
      </c>
      <c r="U4" s="31">
        <f>183866354</f>
        <v>183866354</v>
      </c>
    </row>
    <row r="5" spans="1:21" ht="18" customHeight="1">
      <c r="A5" s="65" t="s">
        <v>53</v>
      </c>
      <c r="B5" s="100" t="s">
        <v>310</v>
      </c>
      <c r="C5" s="66" t="s">
        <v>54</v>
      </c>
      <c r="D5" s="32">
        <f>110702007.93</f>
        <v>110702007.93000001</v>
      </c>
      <c r="E5" s="33">
        <f>112338702.73</f>
        <v>112338702.73</v>
      </c>
      <c r="F5" s="33">
        <f>115511577</f>
        <v>115511577</v>
      </c>
      <c r="G5" s="34">
        <f>116715488.33</f>
        <v>116715488.33</v>
      </c>
      <c r="H5" s="35">
        <f>126215897</f>
        <v>126215897</v>
      </c>
      <c r="I5" s="36">
        <f>128778298</f>
        <v>128778298</v>
      </c>
      <c r="J5" s="36">
        <f>133001152</f>
        <v>133001152</v>
      </c>
      <c r="K5" s="36">
        <f>136595115</f>
        <v>136595115</v>
      </c>
      <c r="L5" s="36">
        <f>141375944</f>
        <v>141375944</v>
      </c>
      <c r="M5" s="36">
        <f>146041350</f>
        <v>146041350</v>
      </c>
      <c r="N5" s="36">
        <f>150714673</f>
        <v>150714673</v>
      </c>
      <c r="O5" s="36">
        <f>155386828</f>
        <v>155386828</v>
      </c>
      <c r="P5" s="36">
        <f>160048433</f>
        <v>160048433</v>
      </c>
      <c r="Q5" s="36">
        <f>164689838</f>
        <v>164689838</v>
      </c>
      <c r="R5" s="36">
        <f>169465843</f>
        <v>169465843</v>
      </c>
      <c r="S5" s="36">
        <f>174210887</f>
        <v>174210887</v>
      </c>
      <c r="T5" s="36">
        <f>178914581</f>
        <v>178914581</v>
      </c>
      <c r="U5" s="36">
        <f>183566354</f>
        <v>183566354</v>
      </c>
    </row>
    <row r="6" spans="1:21" ht="30.75" customHeight="1">
      <c r="A6" s="65" t="s">
        <v>55</v>
      </c>
      <c r="B6" s="101" t="s">
        <v>311</v>
      </c>
      <c r="C6" s="64" t="s">
        <v>56</v>
      </c>
      <c r="D6" s="32">
        <f>36117192</f>
        <v>36117192</v>
      </c>
      <c r="E6" s="33">
        <f>39127727</f>
        <v>39127727</v>
      </c>
      <c r="F6" s="33">
        <f>43057827</f>
        <v>43057827</v>
      </c>
      <c r="G6" s="34">
        <f>44035115</f>
        <v>44035115</v>
      </c>
      <c r="H6" s="35">
        <f>49173387</f>
        <v>49173387</v>
      </c>
      <c r="I6" s="36">
        <f>49437710</f>
        <v>49437710</v>
      </c>
      <c r="J6" s="36">
        <f>51316343</f>
        <v>51316343</v>
      </c>
      <c r="K6" s="36">
        <f>53163731</f>
        <v>53163731</v>
      </c>
      <c r="L6" s="36">
        <f>55024462</f>
        <v>55024462</v>
      </c>
      <c r="M6" s="36">
        <f>56840269</f>
        <v>56840269</v>
      </c>
      <c r="N6" s="36">
        <f>58659158</f>
        <v>58659158</v>
      </c>
      <c r="O6" s="36">
        <f>60477592</f>
        <v>60477592</v>
      </c>
      <c r="P6" s="36">
        <f>62291920</f>
        <v>62291920</v>
      </c>
      <c r="Q6" s="36">
        <f>64098386</f>
        <v>64098386</v>
      </c>
      <c r="R6" s="36">
        <f>65957239</f>
        <v>65957239</v>
      </c>
      <c r="S6" s="36">
        <f>67804042</f>
        <v>67804042</v>
      </c>
      <c r="T6" s="36">
        <f>69634751</f>
        <v>69634751</v>
      </c>
      <c r="U6" s="36">
        <f>71445255</f>
        <v>71445255</v>
      </c>
    </row>
    <row r="7" spans="1:21" ht="33" customHeight="1">
      <c r="A7" s="65" t="s">
        <v>57</v>
      </c>
      <c r="B7" s="101" t="s">
        <v>312</v>
      </c>
      <c r="C7" s="64" t="s">
        <v>58</v>
      </c>
      <c r="D7" s="32">
        <f>893268.75</f>
        <v>893268.75</v>
      </c>
      <c r="E7" s="33">
        <f>865724.06</f>
        <v>865724.06</v>
      </c>
      <c r="F7" s="33">
        <f>961904</f>
        <v>961904</v>
      </c>
      <c r="G7" s="34">
        <f>987572.58</f>
        <v>987572.58</v>
      </c>
      <c r="H7" s="35">
        <f>1300000</f>
        <v>1300000</v>
      </c>
      <c r="I7" s="36">
        <f>1362400</f>
        <v>1362400</v>
      </c>
      <c r="J7" s="36">
        <f>1414171</f>
        <v>1414171</v>
      </c>
      <c r="K7" s="36">
        <f>1465081</f>
        <v>1465081</v>
      </c>
      <c r="L7" s="36">
        <f>1516359</f>
        <v>1516359</v>
      </c>
      <c r="M7" s="36">
        <f>1566399</f>
        <v>1566399</v>
      </c>
      <c r="N7" s="36">
        <f>1616524</f>
        <v>1616524</v>
      </c>
      <c r="O7" s="36">
        <f>1666636</f>
        <v>1666636</v>
      </c>
      <c r="P7" s="36">
        <f>1716635</f>
        <v>1716635</v>
      </c>
      <c r="Q7" s="36">
        <f>1766417</f>
        <v>1766417</v>
      </c>
      <c r="R7" s="36">
        <f>1817643</f>
        <v>1817643</v>
      </c>
      <c r="S7" s="36">
        <f>1868537</f>
        <v>1868537</v>
      </c>
      <c r="T7" s="36">
        <f>1918987</f>
        <v>1918987</v>
      </c>
      <c r="U7" s="36">
        <f>1968881</f>
        <v>1968881</v>
      </c>
    </row>
    <row r="8" spans="1:21" ht="18" customHeight="1">
      <c r="A8" s="65" t="s">
        <v>59</v>
      </c>
      <c r="B8" s="101" t="s">
        <v>313</v>
      </c>
      <c r="C8" s="64" t="s">
        <v>60</v>
      </c>
      <c r="D8" s="32">
        <f>4259449.62</f>
        <v>4259449.62</v>
      </c>
      <c r="E8" s="33">
        <f>4549004.28</f>
        <v>4549004.28</v>
      </c>
      <c r="F8" s="33">
        <f>4799611</f>
        <v>4799611</v>
      </c>
      <c r="G8" s="34">
        <f>4508131.33</f>
        <v>4508131.33</v>
      </c>
      <c r="H8" s="35">
        <f>4798027</f>
        <v>4798027</v>
      </c>
      <c r="I8" s="36">
        <f>4923008</f>
        <v>4923008</v>
      </c>
      <c r="J8" s="36">
        <f>5110082</f>
        <v>5110082</v>
      </c>
      <c r="K8" s="36">
        <f>5294045</f>
        <v>5294045</v>
      </c>
      <c r="L8" s="36">
        <f>5479337</f>
        <v>5479337</v>
      </c>
      <c r="M8" s="36">
        <f>5660155</f>
        <v>5660155</v>
      </c>
      <c r="N8" s="36">
        <f>5841280</f>
        <v>5841280</v>
      </c>
      <c r="O8" s="36">
        <f>6022360</f>
        <v>6022360</v>
      </c>
      <c r="P8" s="36">
        <f>6203031</f>
        <v>6203031</v>
      </c>
      <c r="Q8" s="36">
        <f>6382919</f>
        <v>6382919</v>
      </c>
      <c r="R8" s="36">
        <f>6568024</f>
        <v>6568024</v>
      </c>
      <c r="S8" s="36">
        <f>6751929</f>
        <v>6751929</v>
      </c>
      <c r="T8" s="36">
        <f>6934231</f>
        <v>6934231</v>
      </c>
      <c r="U8" s="36">
        <f>7114521</f>
        <v>7114521</v>
      </c>
    </row>
    <row r="9" spans="1:21" ht="18" customHeight="1">
      <c r="A9" s="65" t="s">
        <v>61</v>
      </c>
      <c r="B9" s="101" t="s">
        <v>314</v>
      </c>
      <c r="C9" s="74" t="s">
        <v>62</v>
      </c>
      <c r="D9" s="32">
        <f>0</f>
        <v>0</v>
      </c>
      <c r="E9" s="33">
        <f>0</f>
        <v>0</v>
      </c>
      <c r="F9" s="33">
        <f>0</f>
        <v>0</v>
      </c>
      <c r="G9" s="34">
        <f>0</f>
        <v>0</v>
      </c>
      <c r="H9" s="35">
        <f>0</f>
        <v>0</v>
      </c>
      <c r="I9" s="36">
        <f>0</f>
        <v>0</v>
      </c>
      <c r="J9" s="36">
        <f>0</f>
        <v>0</v>
      </c>
      <c r="K9" s="36">
        <f>0</f>
        <v>0</v>
      </c>
      <c r="L9" s="36">
        <f>0</f>
        <v>0</v>
      </c>
      <c r="M9" s="36">
        <f>0</f>
        <v>0</v>
      </c>
      <c r="N9" s="36">
        <f>0</f>
        <v>0</v>
      </c>
      <c r="O9" s="36">
        <f>0</f>
        <v>0</v>
      </c>
      <c r="P9" s="36">
        <f>0</f>
        <v>0</v>
      </c>
      <c r="Q9" s="36">
        <f>0</f>
        <v>0</v>
      </c>
      <c r="R9" s="36">
        <f>0</f>
        <v>0</v>
      </c>
      <c r="S9" s="36">
        <f>0</f>
        <v>0</v>
      </c>
      <c r="T9" s="36">
        <f>0</f>
        <v>0</v>
      </c>
      <c r="U9" s="36">
        <f>0</f>
        <v>0</v>
      </c>
    </row>
    <row r="10" spans="1:21" ht="18" customHeight="1">
      <c r="A10" s="65" t="s">
        <v>63</v>
      </c>
      <c r="B10" s="101" t="s">
        <v>315</v>
      </c>
      <c r="C10" s="64" t="s">
        <v>64</v>
      </c>
      <c r="D10" s="32">
        <f>45930651</f>
        <v>45930651</v>
      </c>
      <c r="E10" s="33">
        <f>44895602</f>
        <v>44895602</v>
      </c>
      <c r="F10" s="33">
        <f>43915782</f>
        <v>43915782</v>
      </c>
      <c r="G10" s="34">
        <f>43955181</f>
        <v>43955181</v>
      </c>
      <c r="H10" s="35">
        <f>46201081</f>
        <v>46201081</v>
      </c>
      <c r="I10" s="36">
        <f>48143062</f>
        <v>48143062</v>
      </c>
      <c r="J10" s="36">
        <f>49972498</f>
        <v>49972498</v>
      </c>
      <c r="K10" s="36">
        <f>51771508</f>
        <v>51771508</v>
      </c>
      <c r="L10" s="36">
        <f>53583511</f>
        <v>53583511</v>
      </c>
      <c r="M10" s="36">
        <f>55351767</f>
        <v>55351767</v>
      </c>
      <c r="N10" s="36">
        <f>57123024</f>
        <v>57123024</v>
      </c>
      <c r="O10" s="36">
        <f>58893838</f>
        <v>58893838</v>
      </c>
      <c r="P10" s="36">
        <f>60660653</f>
        <v>60660653</v>
      </c>
      <c r="Q10" s="36">
        <f>62419812</f>
        <v>62419812</v>
      </c>
      <c r="R10" s="36">
        <f>64229987</f>
        <v>64229987</v>
      </c>
      <c r="S10" s="36">
        <f>66028427</f>
        <v>66028427</v>
      </c>
      <c r="T10" s="36">
        <f>67811195</f>
        <v>67811195</v>
      </c>
      <c r="U10" s="36">
        <f>69574286</f>
        <v>69574286</v>
      </c>
    </row>
    <row r="11" spans="1:21" ht="32.25" customHeight="1">
      <c r="A11" s="65" t="s">
        <v>65</v>
      </c>
      <c r="B11" s="101" t="s">
        <v>316</v>
      </c>
      <c r="C11" s="64" t="s">
        <v>66</v>
      </c>
      <c r="D11" s="32">
        <f>15039810.53</f>
        <v>15039810.529999999</v>
      </c>
      <c r="E11" s="33">
        <f>16519142.81</f>
        <v>16519142.810000001</v>
      </c>
      <c r="F11" s="33">
        <f>16263881</f>
        <v>16263881</v>
      </c>
      <c r="G11" s="34">
        <f>16878810.53</f>
        <v>16878810.530000001</v>
      </c>
      <c r="H11" s="35">
        <f>17704182</f>
        <v>17704182</v>
      </c>
      <c r="I11" s="36">
        <f>17143015</f>
        <v>17143015</v>
      </c>
      <c r="J11" s="36">
        <f>17769666</f>
        <v>17769666</v>
      </c>
      <c r="K11" s="36">
        <f>17559378</f>
        <v>17559378</v>
      </c>
      <c r="L11" s="36">
        <f>18173956</f>
        <v>18173956</v>
      </c>
      <c r="M11" s="36">
        <f>18773697</f>
        <v>18773697</v>
      </c>
      <c r="N11" s="36">
        <f>19374455</f>
        <v>19374455</v>
      </c>
      <c r="O11" s="36">
        <f>19975063</f>
        <v>19975063</v>
      </c>
      <c r="P11" s="36">
        <f>20574315</f>
        <v>20574315</v>
      </c>
      <c r="Q11" s="36">
        <f>21170970</f>
        <v>21170970</v>
      </c>
      <c r="R11" s="36">
        <f>21784928</f>
        <v>21784928</v>
      </c>
      <c r="S11" s="36">
        <f>22394906</f>
        <v>22394906</v>
      </c>
      <c r="T11" s="36">
        <f>22999568</f>
        <v>22999568</v>
      </c>
      <c r="U11" s="36">
        <f>23597557</f>
        <v>23597557</v>
      </c>
    </row>
    <row r="12" spans="1:21" ht="18" customHeight="1">
      <c r="A12" s="65" t="s">
        <v>67</v>
      </c>
      <c r="B12" s="101" t="s">
        <v>317</v>
      </c>
      <c r="C12" s="66" t="s">
        <v>68</v>
      </c>
      <c r="D12" s="32">
        <f>2710602.95</f>
        <v>2710602.95</v>
      </c>
      <c r="E12" s="33">
        <f>6692444.61</f>
        <v>6692444.6100000003</v>
      </c>
      <c r="F12" s="33">
        <f>21044225</f>
        <v>21044225</v>
      </c>
      <c r="G12" s="34">
        <f>19053590.2</f>
        <v>19053590.199999999</v>
      </c>
      <c r="H12" s="35">
        <f>19115478</f>
        <v>19115478</v>
      </c>
      <c r="I12" s="36">
        <f>3207375</f>
        <v>3207375</v>
      </c>
      <c r="J12" s="36">
        <f>1270000</f>
        <v>1270000</v>
      </c>
      <c r="K12" s="36">
        <f>600000</f>
        <v>600000</v>
      </c>
      <c r="L12" s="36">
        <f>420000</f>
        <v>420000</v>
      </c>
      <c r="M12" s="36">
        <f>340000</f>
        <v>340000</v>
      </c>
      <c r="N12" s="36">
        <f>350000</f>
        <v>350000</v>
      </c>
      <c r="O12" s="36">
        <f>550000</f>
        <v>550000</v>
      </c>
      <c r="P12" s="36">
        <f t="shared" ref="P12:U12" si="1">300000</f>
        <v>300000</v>
      </c>
      <c r="Q12" s="36">
        <f t="shared" si="1"/>
        <v>300000</v>
      </c>
      <c r="R12" s="36">
        <f t="shared" si="1"/>
        <v>300000</v>
      </c>
      <c r="S12" s="36">
        <f t="shared" si="1"/>
        <v>300000</v>
      </c>
      <c r="T12" s="36">
        <f t="shared" si="1"/>
        <v>300000</v>
      </c>
      <c r="U12" s="36">
        <f t="shared" si="1"/>
        <v>300000</v>
      </c>
    </row>
    <row r="13" spans="1:21" ht="18" customHeight="1">
      <c r="A13" s="65" t="s">
        <v>23</v>
      </c>
      <c r="B13" s="101" t="s">
        <v>318</v>
      </c>
      <c r="C13" s="64" t="s">
        <v>69</v>
      </c>
      <c r="D13" s="32">
        <f>427798.86</f>
        <v>427798.86</v>
      </c>
      <c r="E13" s="33">
        <f>4846510.38</f>
        <v>4846510.38</v>
      </c>
      <c r="F13" s="33">
        <f>6004000</f>
        <v>6004000</v>
      </c>
      <c r="G13" s="34">
        <f>4862594.7</f>
        <v>4862594.7</v>
      </c>
      <c r="H13" s="35">
        <f>1340835</f>
        <v>1340835</v>
      </c>
      <c r="I13" s="36">
        <f>1650000</f>
        <v>1650000</v>
      </c>
      <c r="J13" s="36">
        <f>270000</f>
        <v>270000</v>
      </c>
      <c r="K13" s="36">
        <f>300000</f>
        <v>300000</v>
      </c>
      <c r="L13" s="36">
        <f>120000</f>
        <v>120000</v>
      </c>
      <c r="M13" s="36">
        <f>40000</f>
        <v>40000</v>
      </c>
      <c r="N13" s="36">
        <f>50000</f>
        <v>50000</v>
      </c>
      <c r="O13" s="36">
        <f>250000</f>
        <v>250000</v>
      </c>
      <c r="P13" s="36">
        <f>0</f>
        <v>0</v>
      </c>
      <c r="Q13" s="36">
        <f>0</f>
        <v>0</v>
      </c>
      <c r="R13" s="36">
        <f>0</f>
        <v>0</v>
      </c>
      <c r="S13" s="36">
        <f>0</f>
        <v>0</v>
      </c>
      <c r="T13" s="36">
        <f>0</f>
        <v>0</v>
      </c>
      <c r="U13" s="36">
        <f>0</f>
        <v>0</v>
      </c>
    </row>
    <row r="14" spans="1:21" ht="29.25" customHeight="1">
      <c r="A14" s="65" t="s">
        <v>24</v>
      </c>
      <c r="B14" s="101" t="s">
        <v>319</v>
      </c>
      <c r="C14" s="64" t="s">
        <v>70</v>
      </c>
      <c r="D14" s="32">
        <f>2276260</f>
        <v>2276260</v>
      </c>
      <c r="E14" s="33">
        <f>1823935.38</f>
        <v>1823935.38</v>
      </c>
      <c r="F14" s="33">
        <f>14946656</f>
        <v>14946656</v>
      </c>
      <c r="G14" s="34">
        <f>14100719</f>
        <v>14100719</v>
      </c>
      <c r="H14" s="35">
        <f>17769643</f>
        <v>17769643</v>
      </c>
      <c r="I14" s="36">
        <f>1557375</f>
        <v>1557375</v>
      </c>
      <c r="J14" s="36">
        <f>1000000</f>
        <v>1000000</v>
      </c>
      <c r="K14" s="36">
        <f>300000</f>
        <v>300000</v>
      </c>
      <c r="L14" s="36">
        <f t="shared" ref="L14:U14" si="2">300000</f>
        <v>300000</v>
      </c>
      <c r="M14" s="36">
        <f t="shared" si="2"/>
        <v>300000</v>
      </c>
      <c r="N14" s="36">
        <f t="shared" si="2"/>
        <v>300000</v>
      </c>
      <c r="O14" s="36">
        <f t="shared" si="2"/>
        <v>300000</v>
      </c>
      <c r="P14" s="36">
        <f t="shared" si="2"/>
        <v>300000</v>
      </c>
      <c r="Q14" s="36">
        <f t="shared" si="2"/>
        <v>300000</v>
      </c>
      <c r="R14" s="36">
        <f t="shared" si="2"/>
        <v>300000</v>
      </c>
      <c r="S14" s="36">
        <f t="shared" si="2"/>
        <v>300000</v>
      </c>
      <c r="T14" s="36">
        <f t="shared" si="2"/>
        <v>300000</v>
      </c>
      <c r="U14" s="36">
        <f t="shared" si="2"/>
        <v>300000</v>
      </c>
    </row>
    <row r="15" spans="1:21" ht="18" customHeight="1">
      <c r="A15" s="68">
        <v>2</v>
      </c>
      <c r="B15" s="99" t="s">
        <v>71</v>
      </c>
      <c r="C15" s="67" t="s">
        <v>71</v>
      </c>
      <c r="D15" s="27">
        <f>110915351.35</f>
        <v>110915351.34999999</v>
      </c>
      <c r="E15" s="28">
        <f>115011965.36</f>
        <v>115011965.36</v>
      </c>
      <c r="F15" s="28">
        <f>139103394</f>
        <v>139103394</v>
      </c>
      <c r="G15" s="29">
        <f>132768246.1</f>
        <v>132768246.09999999</v>
      </c>
      <c r="H15" s="30">
        <f>154502744</f>
        <v>154502744</v>
      </c>
      <c r="I15" s="31">
        <f>126197403</f>
        <v>126197403</v>
      </c>
      <c r="J15" s="31">
        <f>129106540</f>
        <v>129106540</v>
      </c>
      <c r="K15" s="31">
        <f>132853115</f>
        <v>132853115</v>
      </c>
      <c r="L15" s="31">
        <f>137353944</f>
        <v>137353944</v>
      </c>
      <c r="M15" s="31">
        <f>142639350</f>
        <v>142639350</v>
      </c>
      <c r="N15" s="31">
        <f>147172673</f>
        <v>147172673</v>
      </c>
      <c r="O15" s="31">
        <f>151944828</f>
        <v>151944828</v>
      </c>
      <c r="P15" s="31">
        <f>156648433</f>
        <v>156648433</v>
      </c>
      <c r="Q15" s="31">
        <f>161289838</f>
        <v>161289838</v>
      </c>
      <c r="R15" s="31">
        <f>166065843</f>
        <v>166065843</v>
      </c>
      <c r="S15" s="31">
        <f>172210887</f>
        <v>172210887</v>
      </c>
      <c r="T15" s="31">
        <f>177514581</f>
        <v>177514581</v>
      </c>
      <c r="U15" s="31">
        <f>182166354</f>
        <v>182166354</v>
      </c>
    </row>
    <row r="16" spans="1:21" ht="18" customHeight="1">
      <c r="A16" s="65" t="s">
        <v>72</v>
      </c>
      <c r="B16" s="100" t="s">
        <v>320</v>
      </c>
      <c r="C16" s="66" t="s">
        <v>73</v>
      </c>
      <c r="D16" s="32">
        <f>104012514.5</f>
        <v>104012514.5</v>
      </c>
      <c r="E16" s="33">
        <f>106329765.59</f>
        <v>106329765.59</v>
      </c>
      <c r="F16" s="33">
        <f>108202522</f>
        <v>108202522</v>
      </c>
      <c r="G16" s="34">
        <f>104880266.03</f>
        <v>104880266.03</v>
      </c>
      <c r="H16" s="35">
        <f>117454526</f>
        <v>117454526</v>
      </c>
      <c r="I16" s="36">
        <f>120174871</f>
        <v>120174871</v>
      </c>
      <c r="J16" s="36">
        <f>122718035</f>
        <v>122718035</v>
      </c>
      <c r="K16" s="36">
        <f>124400640</f>
        <v>124400640</v>
      </c>
      <c r="L16" s="36">
        <f>127510656</f>
        <v>127510656</v>
      </c>
      <c r="M16" s="36">
        <f>130698422</f>
        <v>130698422</v>
      </c>
      <c r="N16" s="36">
        <f>133965883</f>
        <v>133965883</v>
      </c>
      <c r="O16" s="36">
        <f>137315030</f>
        <v>137315030</v>
      </c>
      <c r="P16" s="36">
        <f>140747906</f>
        <v>140747906</v>
      </c>
      <c r="Q16" s="36">
        <f>144266604</f>
        <v>144266604</v>
      </c>
      <c r="R16" s="36">
        <f>147873269</f>
        <v>147873269</v>
      </c>
      <c r="S16" s="36">
        <f>151570101</f>
        <v>151570101</v>
      </c>
      <c r="T16" s="36">
        <f>155359354</f>
        <v>155359354</v>
      </c>
      <c r="U16" s="36">
        <f>159243332</f>
        <v>159243332</v>
      </c>
    </row>
    <row r="17" spans="1:21" ht="18" customHeight="1">
      <c r="A17" s="65" t="s">
        <v>74</v>
      </c>
      <c r="B17" s="101" t="s">
        <v>321</v>
      </c>
      <c r="C17" s="64" t="s">
        <v>75</v>
      </c>
      <c r="D17" s="32">
        <f>0</f>
        <v>0</v>
      </c>
      <c r="E17" s="33">
        <f>0</f>
        <v>0</v>
      </c>
      <c r="F17" s="33">
        <f>488188</f>
        <v>488188</v>
      </c>
      <c r="G17" s="34">
        <f>431053.14</f>
        <v>431053.14</v>
      </c>
      <c r="H17" s="35">
        <f>432801</f>
        <v>432801</v>
      </c>
      <c r="I17" s="36">
        <f>2853098</f>
        <v>2853098</v>
      </c>
      <c r="J17" s="36">
        <f>2800000</f>
        <v>2800000</v>
      </c>
      <c r="K17" s="36">
        <f>2700000</f>
        <v>2700000</v>
      </c>
      <c r="L17" s="36">
        <f>2600000</f>
        <v>2600000</v>
      </c>
      <c r="M17" s="36">
        <f>2550000</f>
        <v>2550000</v>
      </c>
      <c r="N17" s="36">
        <f>0</f>
        <v>0</v>
      </c>
      <c r="O17" s="36">
        <f>0</f>
        <v>0</v>
      </c>
      <c r="P17" s="36">
        <f>0</f>
        <v>0</v>
      </c>
      <c r="Q17" s="36">
        <f>0</f>
        <v>0</v>
      </c>
      <c r="R17" s="36">
        <f>0</f>
        <v>0</v>
      </c>
      <c r="S17" s="36">
        <f>0</f>
        <v>0</v>
      </c>
      <c r="T17" s="36">
        <f>0</f>
        <v>0</v>
      </c>
      <c r="U17" s="36">
        <f>0</f>
        <v>0</v>
      </c>
    </row>
    <row r="18" spans="1:21" ht="56.25" customHeight="1">
      <c r="A18" s="65" t="s">
        <v>76</v>
      </c>
      <c r="B18" s="101" t="s">
        <v>322</v>
      </c>
      <c r="C18" s="74" t="s">
        <v>77</v>
      </c>
      <c r="D18" s="32">
        <f>0</f>
        <v>0</v>
      </c>
      <c r="E18" s="33">
        <f>0</f>
        <v>0</v>
      </c>
      <c r="F18" s="33">
        <f>0</f>
        <v>0</v>
      </c>
      <c r="G18" s="34">
        <f>0</f>
        <v>0</v>
      </c>
      <c r="H18" s="35">
        <f>0</f>
        <v>0</v>
      </c>
      <c r="I18" s="36">
        <f>0</f>
        <v>0</v>
      </c>
      <c r="J18" s="36">
        <f>0</f>
        <v>0</v>
      </c>
      <c r="K18" s="36">
        <f>0</f>
        <v>0</v>
      </c>
      <c r="L18" s="36">
        <f>0</f>
        <v>0</v>
      </c>
      <c r="M18" s="36">
        <f>0</f>
        <v>0</v>
      </c>
      <c r="N18" s="36">
        <f>0</f>
        <v>0</v>
      </c>
      <c r="O18" s="36">
        <f>0</f>
        <v>0</v>
      </c>
      <c r="P18" s="36">
        <f>0</f>
        <v>0</v>
      </c>
      <c r="Q18" s="36">
        <f>0</f>
        <v>0</v>
      </c>
      <c r="R18" s="36">
        <f>0</f>
        <v>0</v>
      </c>
      <c r="S18" s="36">
        <f>0</f>
        <v>0</v>
      </c>
      <c r="T18" s="36">
        <f>0</f>
        <v>0</v>
      </c>
      <c r="U18" s="36">
        <f>0</f>
        <v>0</v>
      </c>
    </row>
    <row r="19" spans="1:21" ht="87.75" customHeight="1">
      <c r="A19" s="65" t="s">
        <v>78</v>
      </c>
      <c r="B19" s="101" t="s">
        <v>323</v>
      </c>
      <c r="C19" s="64" t="s">
        <v>79</v>
      </c>
      <c r="D19" s="32">
        <f>2233504.87</f>
        <v>2233504.87</v>
      </c>
      <c r="E19" s="33">
        <f>0</f>
        <v>0</v>
      </c>
      <c r="F19" s="33">
        <f>0</f>
        <v>0</v>
      </c>
      <c r="G19" s="34">
        <f>0</f>
        <v>0</v>
      </c>
      <c r="H19" s="35">
        <f>0</f>
        <v>0</v>
      </c>
      <c r="I19" s="36">
        <f>0</f>
        <v>0</v>
      </c>
      <c r="J19" s="36">
        <f>0</f>
        <v>0</v>
      </c>
      <c r="K19" s="36">
        <f>0</f>
        <v>0</v>
      </c>
      <c r="L19" s="36">
        <f>0</f>
        <v>0</v>
      </c>
      <c r="M19" s="36">
        <f>0</f>
        <v>0</v>
      </c>
      <c r="N19" s="36">
        <f>0</f>
        <v>0</v>
      </c>
      <c r="O19" s="36">
        <f>0</f>
        <v>0</v>
      </c>
      <c r="P19" s="36">
        <f>0</f>
        <v>0</v>
      </c>
      <c r="Q19" s="36">
        <f>0</f>
        <v>0</v>
      </c>
      <c r="R19" s="36">
        <f>0</f>
        <v>0</v>
      </c>
      <c r="S19" s="36">
        <f>0</f>
        <v>0</v>
      </c>
      <c r="T19" s="36">
        <f>0</f>
        <v>0</v>
      </c>
      <c r="U19" s="36">
        <f>0</f>
        <v>0</v>
      </c>
    </row>
    <row r="20" spans="1:21" ht="20.25" customHeight="1">
      <c r="A20" s="65" t="s">
        <v>80</v>
      </c>
      <c r="B20" s="101" t="s">
        <v>324</v>
      </c>
      <c r="C20" s="64" t="s">
        <v>81</v>
      </c>
      <c r="D20" s="32">
        <f>1296684.51</f>
        <v>1296684.51</v>
      </c>
      <c r="E20" s="33">
        <f>1276184.14</f>
        <v>1276184.1399999999</v>
      </c>
      <c r="F20" s="33">
        <f>1300000</f>
        <v>1300000</v>
      </c>
      <c r="G20" s="34">
        <f>1119766</f>
        <v>1119766</v>
      </c>
      <c r="H20" s="35">
        <f>1140000</f>
        <v>1140000</v>
      </c>
      <c r="I20" s="36">
        <f>1450000</f>
        <v>1450000</v>
      </c>
      <c r="J20" s="36">
        <f>1300000</f>
        <v>1300000</v>
      </c>
      <c r="K20" s="36">
        <f>1200000</f>
        <v>1200000</v>
      </c>
      <c r="L20" s="36">
        <f>1100000</f>
        <v>1100000</v>
      </c>
      <c r="M20" s="36">
        <f>950000</f>
        <v>950000</v>
      </c>
      <c r="N20" s="36">
        <f>750000</f>
        <v>750000</v>
      </c>
      <c r="O20" s="36">
        <f>650000</f>
        <v>650000</v>
      </c>
      <c r="P20" s="36">
        <f>550000</f>
        <v>550000</v>
      </c>
      <c r="Q20" s="36">
        <f>450000</f>
        <v>450000</v>
      </c>
      <c r="R20" s="36">
        <f>350000</f>
        <v>350000</v>
      </c>
      <c r="S20" s="36">
        <f>250000</f>
        <v>250000</v>
      </c>
      <c r="T20" s="36">
        <f>150000</f>
        <v>150000</v>
      </c>
      <c r="U20" s="36">
        <f>80000</f>
        <v>80000</v>
      </c>
    </row>
    <row r="21" spans="1:21" ht="31.5" customHeight="1">
      <c r="A21" s="65" t="s">
        <v>82</v>
      </c>
      <c r="B21" s="101" t="s">
        <v>325</v>
      </c>
      <c r="C21" s="74" t="s">
        <v>83</v>
      </c>
      <c r="D21" s="32">
        <f>1296684.51</f>
        <v>1296684.51</v>
      </c>
      <c r="E21" s="33">
        <f>1276184.14</f>
        <v>1276184.1399999999</v>
      </c>
      <c r="F21" s="33">
        <f>1300000</f>
        <v>1300000</v>
      </c>
      <c r="G21" s="34">
        <f>1119766</f>
        <v>1119766</v>
      </c>
      <c r="H21" s="35">
        <f>1140000</f>
        <v>1140000</v>
      </c>
      <c r="I21" s="36">
        <f>1450000</f>
        <v>1450000</v>
      </c>
      <c r="J21" s="36">
        <f>1300000</f>
        <v>1300000</v>
      </c>
      <c r="K21" s="36">
        <f>1200000</f>
        <v>1200000</v>
      </c>
      <c r="L21" s="36">
        <f>1100000</f>
        <v>1100000</v>
      </c>
      <c r="M21" s="36">
        <f>950000</f>
        <v>950000</v>
      </c>
      <c r="N21" s="36">
        <f>750000</f>
        <v>750000</v>
      </c>
      <c r="O21" s="36">
        <f>650000</f>
        <v>650000</v>
      </c>
      <c r="P21" s="36">
        <f>550000</f>
        <v>550000</v>
      </c>
      <c r="Q21" s="36">
        <f>450000</f>
        <v>450000</v>
      </c>
      <c r="R21" s="36">
        <f>350000</f>
        <v>350000</v>
      </c>
      <c r="S21" s="36">
        <f>250000</f>
        <v>250000</v>
      </c>
      <c r="T21" s="36">
        <f>150000</f>
        <v>150000</v>
      </c>
      <c r="U21" s="36">
        <f>80000</f>
        <v>80000</v>
      </c>
    </row>
    <row r="22" spans="1:21" ht="105" customHeight="1">
      <c r="A22" s="65" t="s">
        <v>84</v>
      </c>
      <c r="B22" s="101" t="s">
        <v>326</v>
      </c>
      <c r="C22" s="75" t="s">
        <v>85</v>
      </c>
      <c r="D22" s="32">
        <f>0</f>
        <v>0</v>
      </c>
      <c r="E22" s="33">
        <f>0</f>
        <v>0</v>
      </c>
      <c r="F22" s="33">
        <f>0</f>
        <v>0</v>
      </c>
      <c r="G22" s="34">
        <f>0</f>
        <v>0</v>
      </c>
      <c r="H22" s="35">
        <f>0</f>
        <v>0</v>
      </c>
      <c r="I22" s="36">
        <f>0</f>
        <v>0</v>
      </c>
      <c r="J22" s="36">
        <f>0</f>
        <v>0</v>
      </c>
      <c r="K22" s="36">
        <f>0</f>
        <v>0</v>
      </c>
      <c r="L22" s="36">
        <f>0</f>
        <v>0</v>
      </c>
      <c r="M22" s="36">
        <f>0</f>
        <v>0</v>
      </c>
      <c r="N22" s="36">
        <f>0</f>
        <v>0</v>
      </c>
      <c r="O22" s="36">
        <f>0</f>
        <v>0</v>
      </c>
      <c r="P22" s="36">
        <f>0</f>
        <v>0</v>
      </c>
      <c r="Q22" s="36">
        <f>0</f>
        <v>0</v>
      </c>
      <c r="R22" s="36">
        <f>0</f>
        <v>0</v>
      </c>
      <c r="S22" s="36">
        <f>0</f>
        <v>0</v>
      </c>
      <c r="T22" s="36">
        <f>0</f>
        <v>0</v>
      </c>
      <c r="U22" s="36">
        <f>0</f>
        <v>0</v>
      </c>
    </row>
    <row r="23" spans="1:21" ht="71.25" customHeight="1">
      <c r="A23" s="65" t="s">
        <v>86</v>
      </c>
      <c r="B23" s="101" t="s">
        <v>327</v>
      </c>
      <c r="C23" s="75" t="s">
        <v>87</v>
      </c>
      <c r="D23" s="32">
        <f>0</f>
        <v>0</v>
      </c>
      <c r="E23" s="33">
        <f>0</f>
        <v>0</v>
      </c>
      <c r="F23" s="33">
        <f>0</f>
        <v>0</v>
      </c>
      <c r="G23" s="34">
        <f>0</f>
        <v>0</v>
      </c>
      <c r="H23" s="35">
        <f>0</f>
        <v>0</v>
      </c>
      <c r="I23" s="36">
        <f>0</f>
        <v>0</v>
      </c>
      <c r="J23" s="36">
        <f>0</f>
        <v>0</v>
      </c>
      <c r="K23" s="36">
        <f>0</f>
        <v>0</v>
      </c>
      <c r="L23" s="36">
        <f>0</f>
        <v>0</v>
      </c>
      <c r="M23" s="36">
        <f>0</f>
        <v>0</v>
      </c>
      <c r="N23" s="36">
        <f>0</f>
        <v>0</v>
      </c>
      <c r="O23" s="36">
        <f>0</f>
        <v>0</v>
      </c>
      <c r="P23" s="36">
        <f>0</f>
        <v>0</v>
      </c>
      <c r="Q23" s="36">
        <f>0</f>
        <v>0</v>
      </c>
      <c r="R23" s="36">
        <f>0</f>
        <v>0</v>
      </c>
      <c r="S23" s="36">
        <f>0</f>
        <v>0</v>
      </c>
      <c r="T23" s="36">
        <f>0</f>
        <v>0</v>
      </c>
      <c r="U23" s="36">
        <f>0</f>
        <v>0</v>
      </c>
    </row>
    <row r="24" spans="1:21" ht="18" customHeight="1">
      <c r="A24" s="65" t="s">
        <v>88</v>
      </c>
      <c r="B24" s="101" t="s">
        <v>328</v>
      </c>
      <c r="C24" s="66" t="s">
        <v>89</v>
      </c>
      <c r="D24" s="32">
        <f>6902836.85</f>
        <v>6902836.8499999996</v>
      </c>
      <c r="E24" s="33">
        <f>8682199.77</f>
        <v>8682199.7699999996</v>
      </c>
      <c r="F24" s="33">
        <f>30900872</f>
        <v>30900872</v>
      </c>
      <c r="G24" s="34">
        <f>27887980.07</f>
        <v>27887980.07</v>
      </c>
      <c r="H24" s="35">
        <f>37048218</f>
        <v>37048218</v>
      </c>
      <c r="I24" s="36">
        <f>6022532</f>
        <v>6022532</v>
      </c>
      <c r="J24" s="36">
        <f>6388505</f>
        <v>6388505</v>
      </c>
      <c r="K24" s="36">
        <f>8452475</f>
        <v>8452475</v>
      </c>
      <c r="L24" s="36">
        <f>9843288</f>
        <v>9843288</v>
      </c>
      <c r="M24" s="36">
        <f>11940928</f>
        <v>11940928</v>
      </c>
      <c r="N24" s="36">
        <f>13206790</f>
        <v>13206790</v>
      </c>
      <c r="O24" s="36">
        <f>14629798</f>
        <v>14629798</v>
      </c>
      <c r="P24" s="36">
        <f>15900527</f>
        <v>15900527</v>
      </c>
      <c r="Q24" s="36">
        <f>17023234</f>
        <v>17023234</v>
      </c>
      <c r="R24" s="36">
        <f>18192574</f>
        <v>18192574</v>
      </c>
      <c r="S24" s="36">
        <f>20640786</f>
        <v>20640786</v>
      </c>
      <c r="T24" s="36">
        <f>22155227</f>
        <v>22155227</v>
      </c>
      <c r="U24" s="36">
        <f>22923022</f>
        <v>22923022</v>
      </c>
    </row>
    <row r="25" spans="1:21" ht="18" customHeight="1">
      <c r="A25" s="68">
        <v>3</v>
      </c>
      <c r="B25" s="99" t="s">
        <v>90</v>
      </c>
      <c r="C25" s="67" t="s">
        <v>90</v>
      </c>
      <c r="D25" s="27">
        <f>2497259.53</f>
        <v>2497259.5299999998</v>
      </c>
      <c r="E25" s="28">
        <f>4019181.98</f>
        <v>4019181.98</v>
      </c>
      <c r="F25" s="28">
        <f>-2547592</f>
        <v>-2547592</v>
      </c>
      <c r="G25" s="29">
        <f>3000832.43</f>
        <v>3000832.43</v>
      </c>
      <c r="H25" s="30">
        <f>-9171369</f>
        <v>-9171369</v>
      </c>
      <c r="I25" s="31">
        <f>5788270</f>
        <v>5788270</v>
      </c>
      <c r="J25" s="31">
        <f>5164612</f>
        <v>5164612</v>
      </c>
      <c r="K25" s="31">
        <f>4342000</f>
        <v>4342000</v>
      </c>
      <c r="L25" s="31">
        <f>4442000</f>
        <v>4442000</v>
      </c>
      <c r="M25" s="31">
        <f>3742000</f>
        <v>3742000</v>
      </c>
      <c r="N25" s="31">
        <f>3892000</f>
        <v>3892000</v>
      </c>
      <c r="O25" s="31">
        <f>3992000</f>
        <v>3992000</v>
      </c>
      <c r="P25" s="31">
        <f>3700000</f>
        <v>3700000</v>
      </c>
      <c r="Q25" s="31">
        <f>3700000</f>
        <v>3700000</v>
      </c>
      <c r="R25" s="31">
        <f>3700000</f>
        <v>3700000</v>
      </c>
      <c r="S25" s="31">
        <f>2300000</f>
        <v>2300000</v>
      </c>
      <c r="T25" s="31">
        <f>1700000</f>
        <v>1700000</v>
      </c>
      <c r="U25" s="31">
        <f>1700000</f>
        <v>1700000</v>
      </c>
    </row>
    <row r="26" spans="1:21" ht="18" customHeight="1">
      <c r="A26" s="68">
        <v>4</v>
      </c>
      <c r="B26" s="99" t="s">
        <v>91</v>
      </c>
      <c r="C26" s="67" t="s">
        <v>91</v>
      </c>
      <c r="D26" s="27">
        <f>8236671.26</f>
        <v>8236671.2599999998</v>
      </c>
      <c r="E26" s="28">
        <f>7676749.94</f>
        <v>7676749.9400000004</v>
      </c>
      <c r="F26" s="28">
        <f>9724868</f>
        <v>9724868</v>
      </c>
      <c r="G26" s="29">
        <f>10166608.92</f>
        <v>10166608.92</v>
      </c>
      <c r="H26" s="30">
        <f>15732304</f>
        <v>15732304</v>
      </c>
      <c r="I26" s="31">
        <f>0</f>
        <v>0</v>
      </c>
      <c r="J26" s="31">
        <f>0</f>
        <v>0</v>
      </c>
      <c r="K26" s="31">
        <f>0</f>
        <v>0</v>
      </c>
      <c r="L26" s="31">
        <f>0</f>
        <v>0</v>
      </c>
      <c r="M26" s="31">
        <f>0</f>
        <v>0</v>
      </c>
      <c r="N26" s="31">
        <f>0</f>
        <v>0</v>
      </c>
      <c r="O26" s="31">
        <f>0</f>
        <v>0</v>
      </c>
      <c r="P26" s="31">
        <f>0</f>
        <v>0</v>
      </c>
      <c r="Q26" s="31">
        <f>0</f>
        <v>0</v>
      </c>
      <c r="R26" s="31">
        <f>0</f>
        <v>0</v>
      </c>
      <c r="S26" s="31">
        <f>0</f>
        <v>0</v>
      </c>
      <c r="T26" s="31">
        <f>0</f>
        <v>0</v>
      </c>
      <c r="U26" s="31">
        <f>0</f>
        <v>0</v>
      </c>
    </row>
    <row r="27" spans="1:21" ht="18" customHeight="1">
      <c r="A27" s="65" t="s">
        <v>92</v>
      </c>
      <c r="B27" s="101" t="s">
        <v>329</v>
      </c>
      <c r="C27" s="66" t="s">
        <v>93</v>
      </c>
      <c r="D27" s="32">
        <f>0</f>
        <v>0</v>
      </c>
      <c r="E27" s="33">
        <f>0</f>
        <v>0</v>
      </c>
      <c r="F27" s="33">
        <f>0</f>
        <v>0</v>
      </c>
      <c r="G27" s="34">
        <f>0</f>
        <v>0</v>
      </c>
      <c r="H27" s="35">
        <f>0</f>
        <v>0</v>
      </c>
      <c r="I27" s="36">
        <f>0</f>
        <v>0</v>
      </c>
      <c r="J27" s="36">
        <f>0</f>
        <v>0</v>
      </c>
      <c r="K27" s="36">
        <f>0</f>
        <v>0</v>
      </c>
      <c r="L27" s="36">
        <f>0</f>
        <v>0</v>
      </c>
      <c r="M27" s="36">
        <f>0</f>
        <v>0</v>
      </c>
      <c r="N27" s="36">
        <f>0</f>
        <v>0</v>
      </c>
      <c r="O27" s="36">
        <f>0</f>
        <v>0</v>
      </c>
      <c r="P27" s="36">
        <f>0</f>
        <v>0</v>
      </c>
      <c r="Q27" s="36">
        <f>0</f>
        <v>0</v>
      </c>
      <c r="R27" s="36">
        <f>0</f>
        <v>0</v>
      </c>
      <c r="S27" s="36">
        <f>0</f>
        <v>0</v>
      </c>
      <c r="T27" s="36">
        <f>0</f>
        <v>0</v>
      </c>
      <c r="U27" s="36">
        <f>0</f>
        <v>0</v>
      </c>
    </row>
    <row r="28" spans="1:21" ht="18" customHeight="1">
      <c r="A28" s="65" t="s">
        <v>94</v>
      </c>
      <c r="B28" s="101" t="s">
        <v>330</v>
      </c>
      <c r="C28" s="64" t="s">
        <v>95</v>
      </c>
      <c r="D28" s="32">
        <f>0</f>
        <v>0</v>
      </c>
      <c r="E28" s="33">
        <f>0</f>
        <v>0</v>
      </c>
      <c r="F28" s="33">
        <f>0</f>
        <v>0</v>
      </c>
      <c r="G28" s="34">
        <f>0</f>
        <v>0</v>
      </c>
      <c r="H28" s="35">
        <f>0</f>
        <v>0</v>
      </c>
      <c r="I28" s="36">
        <f>0</f>
        <v>0</v>
      </c>
      <c r="J28" s="36">
        <f>0</f>
        <v>0</v>
      </c>
      <c r="K28" s="36">
        <f>0</f>
        <v>0</v>
      </c>
      <c r="L28" s="36">
        <f>0</f>
        <v>0</v>
      </c>
      <c r="M28" s="36">
        <f>0</f>
        <v>0</v>
      </c>
      <c r="N28" s="36">
        <f>0</f>
        <v>0</v>
      </c>
      <c r="O28" s="36">
        <f>0</f>
        <v>0</v>
      </c>
      <c r="P28" s="36">
        <f>0</f>
        <v>0</v>
      </c>
      <c r="Q28" s="36">
        <f>0</f>
        <v>0</v>
      </c>
      <c r="R28" s="36">
        <f>0</f>
        <v>0</v>
      </c>
      <c r="S28" s="36">
        <f>0</f>
        <v>0</v>
      </c>
      <c r="T28" s="36">
        <f>0</f>
        <v>0</v>
      </c>
      <c r="U28" s="36">
        <f>0</f>
        <v>0</v>
      </c>
    </row>
    <row r="29" spans="1:21" ht="35.25" customHeight="1">
      <c r="A29" s="65" t="s">
        <v>96</v>
      </c>
      <c r="B29" s="101" t="s">
        <v>331</v>
      </c>
      <c r="C29" s="66" t="s">
        <v>97</v>
      </c>
      <c r="D29" s="32">
        <f>3276671.26</f>
        <v>3276671.26</v>
      </c>
      <c r="E29" s="33">
        <f>3476749.94</f>
        <v>3476749.94</v>
      </c>
      <c r="F29" s="33">
        <f>3524868</f>
        <v>3524868</v>
      </c>
      <c r="G29" s="34">
        <f>4466608.92</f>
        <v>4466608.92</v>
      </c>
      <c r="H29" s="35">
        <f>4782304</f>
        <v>4782304</v>
      </c>
      <c r="I29" s="36">
        <f>0</f>
        <v>0</v>
      </c>
      <c r="J29" s="36">
        <f>0</f>
        <v>0</v>
      </c>
      <c r="K29" s="36">
        <f>0</f>
        <v>0</v>
      </c>
      <c r="L29" s="36">
        <f>0</f>
        <v>0</v>
      </c>
      <c r="M29" s="36">
        <f>0</f>
        <v>0</v>
      </c>
      <c r="N29" s="36">
        <f>0</f>
        <v>0</v>
      </c>
      <c r="O29" s="36">
        <f>0</f>
        <v>0</v>
      </c>
      <c r="P29" s="36">
        <f>0</f>
        <v>0</v>
      </c>
      <c r="Q29" s="36">
        <f>0</f>
        <v>0</v>
      </c>
      <c r="R29" s="36">
        <f>0</f>
        <v>0</v>
      </c>
      <c r="S29" s="36">
        <f>0</f>
        <v>0</v>
      </c>
      <c r="T29" s="36">
        <f>0</f>
        <v>0</v>
      </c>
      <c r="U29" s="36">
        <f>0</f>
        <v>0</v>
      </c>
    </row>
    <row r="30" spans="1:21" ht="19.5" customHeight="1">
      <c r="A30" s="65" t="s">
        <v>98</v>
      </c>
      <c r="B30" s="101" t="s">
        <v>332</v>
      </c>
      <c r="C30" s="64" t="s">
        <v>95</v>
      </c>
      <c r="D30" s="32">
        <f>0</f>
        <v>0</v>
      </c>
      <c r="E30" s="33">
        <f>0</f>
        <v>0</v>
      </c>
      <c r="F30" s="33">
        <f>0</f>
        <v>0</v>
      </c>
      <c r="G30" s="34">
        <f>0</f>
        <v>0</v>
      </c>
      <c r="H30" s="35">
        <f>0</f>
        <v>0</v>
      </c>
      <c r="I30" s="36">
        <f>0</f>
        <v>0</v>
      </c>
      <c r="J30" s="36">
        <f>0</f>
        <v>0</v>
      </c>
      <c r="K30" s="36">
        <f>0</f>
        <v>0</v>
      </c>
      <c r="L30" s="36">
        <f>0</f>
        <v>0</v>
      </c>
      <c r="M30" s="36">
        <f>0</f>
        <v>0</v>
      </c>
      <c r="N30" s="36">
        <f>0</f>
        <v>0</v>
      </c>
      <c r="O30" s="36">
        <f>0</f>
        <v>0</v>
      </c>
      <c r="P30" s="36">
        <f>0</f>
        <v>0</v>
      </c>
      <c r="Q30" s="36">
        <f>0</f>
        <v>0</v>
      </c>
      <c r="R30" s="36">
        <f>0</f>
        <v>0</v>
      </c>
      <c r="S30" s="36">
        <f>0</f>
        <v>0</v>
      </c>
      <c r="T30" s="36">
        <f>0</f>
        <v>0</v>
      </c>
      <c r="U30" s="36">
        <f>0</f>
        <v>0</v>
      </c>
    </row>
    <row r="31" spans="1:21" ht="28.5" customHeight="1">
      <c r="A31" s="65" t="s">
        <v>99</v>
      </c>
      <c r="B31" s="101" t="s">
        <v>333</v>
      </c>
      <c r="C31" s="66" t="s">
        <v>100</v>
      </c>
      <c r="D31" s="32">
        <f>4960000</f>
        <v>4960000</v>
      </c>
      <c r="E31" s="33">
        <f>4200000</f>
        <v>4200000</v>
      </c>
      <c r="F31" s="33">
        <f>5700000</f>
        <v>5700000</v>
      </c>
      <c r="G31" s="34">
        <f>5700000</f>
        <v>5700000</v>
      </c>
      <c r="H31" s="35">
        <f>10950000</f>
        <v>10950000</v>
      </c>
      <c r="I31" s="36">
        <f>0</f>
        <v>0</v>
      </c>
      <c r="J31" s="36">
        <f>0</f>
        <v>0</v>
      </c>
      <c r="K31" s="36">
        <f>0</f>
        <v>0</v>
      </c>
      <c r="L31" s="36">
        <f>0</f>
        <v>0</v>
      </c>
      <c r="M31" s="36">
        <f>0</f>
        <v>0</v>
      </c>
      <c r="N31" s="36">
        <f>0</f>
        <v>0</v>
      </c>
      <c r="O31" s="36">
        <f>0</f>
        <v>0</v>
      </c>
      <c r="P31" s="36">
        <f>0</f>
        <v>0</v>
      </c>
      <c r="Q31" s="36">
        <f>0</f>
        <v>0</v>
      </c>
      <c r="R31" s="36">
        <f>0</f>
        <v>0</v>
      </c>
      <c r="S31" s="36">
        <f>0</f>
        <v>0</v>
      </c>
      <c r="T31" s="36">
        <f>0</f>
        <v>0</v>
      </c>
      <c r="U31" s="36">
        <f>0</f>
        <v>0</v>
      </c>
    </row>
    <row r="32" spans="1:21" ht="18" customHeight="1">
      <c r="A32" s="65" t="s">
        <v>101</v>
      </c>
      <c r="B32" s="101" t="s">
        <v>332</v>
      </c>
      <c r="C32" s="64" t="s">
        <v>95</v>
      </c>
      <c r="D32" s="32">
        <f>0</f>
        <v>0</v>
      </c>
      <c r="E32" s="33">
        <f>0</f>
        <v>0</v>
      </c>
      <c r="F32" s="33">
        <f>2547592</f>
        <v>2547592</v>
      </c>
      <c r="G32" s="34">
        <f>0</f>
        <v>0</v>
      </c>
      <c r="H32" s="35">
        <f>9171369</f>
        <v>9171369</v>
      </c>
      <c r="I32" s="36">
        <f>0</f>
        <v>0</v>
      </c>
      <c r="J32" s="36">
        <f>0</f>
        <v>0</v>
      </c>
      <c r="K32" s="36">
        <f>0</f>
        <v>0</v>
      </c>
      <c r="L32" s="36">
        <f>0</f>
        <v>0</v>
      </c>
      <c r="M32" s="36">
        <f>0</f>
        <v>0</v>
      </c>
      <c r="N32" s="36">
        <f>0</f>
        <v>0</v>
      </c>
      <c r="O32" s="36">
        <f>0</f>
        <v>0</v>
      </c>
      <c r="P32" s="36">
        <f>0</f>
        <v>0</v>
      </c>
      <c r="Q32" s="36">
        <f>0</f>
        <v>0</v>
      </c>
      <c r="R32" s="36">
        <f>0</f>
        <v>0</v>
      </c>
      <c r="S32" s="36">
        <f>0</f>
        <v>0</v>
      </c>
      <c r="T32" s="36">
        <f>0</f>
        <v>0</v>
      </c>
      <c r="U32" s="36">
        <f>0</f>
        <v>0</v>
      </c>
    </row>
    <row r="33" spans="1:21" ht="30.75" customHeight="1">
      <c r="A33" s="65" t="s">
        <v>102</v>
      </c>
      <c r="B33" s="101" t="s">
        <v>103</v>
      </c>
      <c r="C33" s="66" t="s">
        <v>103</v>
      </c>
      <c r="D33" s="32">
        <f>0</f>
        <v>0</v>
      </c>
      <c r="E33" s="33">
        <f>0</f>
        <v>0</v>
      </c>
      <c r="F33" s="33">
        <f>500000</f>
        <v>500000</v>
      </c>
      <c r="G33" s="34">
        <f>0</f>
        <v>0</v>
      </c>
      <c r="H33" s="35">
        <f>0</f>
        <v>0</v>
      </c>
      <c r="I33" s="36">
        <f>0</f>
        <v>0</v>
      </c>
      <c r="J33" s="36">
        <f>0</f>
        <v>0</v>
      </c>
      <c r="K33" s="36">
        <f>0</f>
        <v>0</v>
      </c>
      <c r="L33" s="36">
        <f>0</f>
        <v>0</v>
      </c>
      <c r="M33" s="36">
        <f>0</f>
        <v>0</v>
      </c>
      <c r="N33" s="36">
        <f>0</f>
        <v>0</v>
      </c>
      <c r="O33" s="36">
        <f>0</f>
        <v>0</v>
      </c>
      <c r="P33" s="36">
        <f>0</f>
        <v>0</v>
      </c>
      <c r="Q33" s="36">
        <f>0</f>
        <v>0</v>
      </c>
      <c r="R33" s="36">
        <f>0</f>
        <v>0</v>
      </c>
      <c r="S33" s="36">
        <f>0</f>
        <v>0</v>
      </c>
      <c r="T33" s="36">
        <f>0</f>
        <v>0</v>
      </c>
      <c r="U33" s="36">
        <f>0</f>
        <v>0</v>
      </c>
    </row>
    <row r="34" spans="1:21" ht="18" customHeight="1">
      <c r="A34" s="65" t="s">
        <v>104</v>
      </c>
      <c r="B34" s="101" t="s">
        <v>332</v>
      </c>
      <c r="C34" s="64" t="s">
        <v>95</v>
      </c>
      <c r="D34" s="32">
        <f>0</f>
        <v>0</v>
      </c>
      <c r="E34" s="33">
        <f>0</f>
        <v>0</v>
      </c>
      <c r="F34" s="33">
        <f>0</f>
        <v>0</v>
      </c>
      <c r="G34" s="34">
        <f>0</f>
        <v>0</v>
      </c>
      <c r="H34" s="35">
        <f>0</f>
        <v>0</v>
      </c>
      <c r="I34" s="36">
        <f>0</f>
        <v>0</v>
      </c>
      <c r="J34" s="36">
        <f>0</f>
        <v>0</v>
      </c>
      <c r="K34" s="36">
        <f>0</f>
        <v>0</v>
      </c>
      <c r="L34" s="36">
        <f>0</f>
        <v>0</v>
      </c>
      <c r="M34" s="36">
        <f>0</f>
        <v>0</v>
      </c>
      <c r="N34" s="36">
        <f>0</f>
        <v>0</v>
      </c>
      <c r="O34" s="36">
        <f>0</f>
        <v>0</v>
      </c>
      <c r="P34" s="36">
        <f>0</f>
        <v>0</v>
      </c>
      <c r="Q34" s="36">
        <f>0</f>
        <v>0</v>
      </c>
      <c r="R34" s="36">
        <f>0</f>
        <v>0</v>
      </c>
      <c r="S34" s="36">
        <f>0</f>
        <v>0</v>
      </c>
      <c r="T34" s="36">
        <f>0</f>
        <v>0</v>
      </c>
      <c r="U34" s="36">
        <f>0</f>
        <v>0</v>
      </c>
    </row>
    <row r="35" spans="1:21" ht="18" customHeight="1">
      <c r="A35" s="68">
        <v>5</v>
      </c>
      <c r="B35" s="99" t="s">
        <v>105</v>
      </c>
      <c r="C35" s="67" t="s">
        <v>105</v>
      </c>
      <c r="D35" s="27">
        <f>7257180.85</f>
        <v>7257180.8499999996</v>
      </c>
      <c r="E35" s="28">
        <f>7229323</f>
        <v>7229323</v>
      </c>
      <c r="F35" s="28">
        <f>7177276</f>
        <v>7177276</v>
      </c>
      <c r="G35" s="29">
        <f>8501375.48</f>
        <v>8501375.4800000004</v>
      </c>
      <c r="H35" s="30">
        <f>6560935</f>
        <v>6560935</v>
      </c>
      <c r="I35" s="31">
        <f>5788270</f>
        <v>5788270</v>
      </c>
      <c r="J35" s="31">
        <f>5164612</f>
        <v>5164612</v>
      </c>
      <c r="K35" s="31">
        <f>4342000</f>
        <v>4342000</v>
      </c>
      <c r="L35" s="31">
        <f>4442000</f>
        <v>4442000</v>
      </c>
      <c r="M35" s="31">
        <f>3742000</f>
        <v>3742000</v>
      </c>
      <c r="N35" s="31">
        <f>3892000</f>
        <v>3892000</v>
      </c>
      <c r="O35" s="31">
        <f>3992000</f>
        <v>3992000</v>
      </c>
      <c r="P35" s="31">
        <f t="shared" ref="P35:R36" si="3">3700000</f>
        <v>3700000</v>
      </c>
      <c r="Q35" s="31">
        <f t="shared" si="3"/>
        <v>3700000</v>
      </c>
      <c r="R35" s="31">
        <f t="shared" si="3"/>
        <v>3700000</v>
      </c>
      <c r="S35" s="31">
        <f>2300000</f>
        <v>2300000</v>
      </c>
      <c r="T35" s="31">
        <f>1700000</f>
        <v>1700000</v>
      </c>
      <c r="U35" s="31">
        <f>1700000</f>
        <v>1700000</v>
      </c>
    </row>
    <row r="36" spans="1:21" ht="35.25" customHeight="1">
      <c r="A36" s="65" t="s">
        <v>106</v>
      </c>
      <c r="B36" s="101" t="s">
        <v>334</v>
      </c>
      <c r="C36" s="66" t="s">
        <v>107</v>
      </c>
      <c r="D36" s="32">
        <f>7257180.85</f>
        <v>7257180.8499999996</v>
      </c>
      <c r="E36" s="33">
        <f>7229323</f>
        <v>7229323</v>
      </c>
      <c r="F36" s="33">
        <f>6677276</f>
        <v>6677276</v>
      </c>
      <c r="G36" s="34">
        <f>8501375.48</f>
        <v>8501375.4800000004</v>
      </c>
      <c r="H36" s="35">
        <f>6560935</f>
        <v>6560935</v>
      </c>
      <c r="I36" s="36">
        <f>5788270</f>
        <v>5788270</v>
      </c>
      <c r="J36" s="36">
        <f>5164612</f>
        <v>5164612</v>
      </c>
      <c r="K36" s="36">
        <f>4342000</f>
        <v>4342000</v>
      </c>
      <c r="L36" s="36">
        <f>4442000</f>
        <v>4442000</v>
      </c>
      <c r="M36" s="36">
        <f>3742000</f>
        <v>3742000</v>
      </c>
      <c r="N36" s="36">
        <f>3892000</f>
        <v>3892000</v>
      </c>
      <c r="O36" s="36">
        <f>3992000</f>
        <v>3992000</v>
      </c>
      <c r="P36" s="36">
        <f t="shared" si="3"/>
        <v>3700000</v>
      </c>
      <c r="Q36" s="36">
        <f t="shared" si="3"/>
        <v>3700000</v>
      </c>
      <c r="R36" s="36">
        <f t="shared" si="3"/>
        <v>3700000</v>
      </c>
      <c r="S36" s="36">
        <f>2300000</f>
        <v>2300000</v>
      </c>
      <c r="T36" s="36">
        <f>1700000</f>
        <v>1700000</v>
      </c>
      <c r="U36" s="36">
        <f>1700000</f>
        <v>1700000</v>
      </c>
    </row>
    <row r="37" spans="1:21" ht="58.5" customHeight="1">
      <c r="A37" s="65" t="s">
        <v>108</v>
      </c>
      <c r="B37" s="101" t="s">
        <v>335</v>
      </c>
      <c r="C37" s="64" t="s">
        <v>109</v>
      </c>
      <c r="D37" s="32">
        <f>2000000</f>
        <v>2000000</v>
      </c>
      <c r="E37" s="33">
        <f>2000000</f>
        <v>2000000</v>
      </c>
      <c r="F37" s="33">
        <f>2000000</f>
        <v>2000000</v>
      </c>
      <c r="G37" s="34">
        <f>2000000</f>
        <v>2000000</v>
      </c>
      <c r="H37" s="35">
        <f>2000000</f>
        <v>2000000</v>
      </c>
      <c r="I37" s="36">
        <f>0</f>
        <v>0</v>
      </c>
      <c r="J37" s="36">
        <f>0</f>
        <v>0</v>
      </c>
      <c r="K37" s="36">
        <f>0</f>
        <v>0</v>
      </c>
      <c r="L37" s="36">
        <f>0</f>
        <v>0</v>
      </c>
      <c r="M37" s="36">
        <f>0</f>
        <v>0</v>
      </c>
      <c r="N37" s="36">
        <f>0</f>
        <v>0</v>
      </c>
      <c r="O37" s="36">
        <f>0</f>
        <v>0</v>
      </c>
      <c r="P37" s="36">
        <f>0</f>
        <v>0</v>
      </c>
      <c r="Q37" s="36">
        <f>0</f>
        <v>0</v>
      </c>
      <c r="R37" s="36">
        <f>0</f>
        <v>0</v>
      </c>
      <c r="S37" s="36">
        <f>0</f>
        <v>0</v>
      </c>
      <c r="T37" s="36">
        <f>0</f>
        <v>0</v>
      </c>
      <c r="U37" s="36">
        <f>0</f>
        <v>0</v>
      </c>
    </row>
    <row r="38" spans="1:21" ht="46.5" customHeight="1">
      <c r="A38" s="65" t="s">
        <v>110</v>
      </c>
      <c r="B38" s="101" t="s">
        <v>336</v>
      </c>
      <c r="C38" s="74" t="s">
        <v>111</v>
      </c>
      <c r="D38" s="32">
        <f>0</f>
        <v>0</v>
      </c>
      <c r="E38" s="33">
        <f>0</f>
        <v>0</v>
      </c>
      <c r="F38" s="33">
        <f>0</f>
        <v>0</v>
      </c>
      <c r="G38" s="34">
        <f>0</f>
        <v>0</v>
      </c>
      <c r="H38" s="35">
        <f>0</f>
        <v>0</v>
      </c>
      <c r="I38" s="36">
        <f>0</f>
        <v>0</v>
      </c>
      <c r="J38" s="36">
        <f>0</f>
        <v>0</v>
      </c>
      <c r="K38" s="36">
        <f>0</f>
        <v>0</v>
      </c>
      <c r="L38" s="36">
        <f>0</f>
        <v>0</v>
      </c>
      <c r="M38" s="36">
        <f>0</f>
        <v>0</v>
      </c>
      <c r="N38" s="36">
        <f>0</f>
        <v>0</v>
      </c>
      <c r="O38" s="36">
        <f>0</f>
        <v>0</v>
      </c>
      <c r="P38" s="36">
        <f>0</f>
        <v>0</v>
      </c>
      <c r="Q38" s="36">
        <f>0</f>
        <v>0</v>
      </c>
      <c r="R38" s="36">
        <f>0</f>
        <v>0</v>
      </c>
      <c r="S38" s="36">
        <f>0</f>
        <v>0</v>
      </c>
      <c r="T38" s="36">
        <f>0</f>
        <v>0</v>
      </c>
      <c r="U38" s="36">
        <f>0</f>
        <v>0</v>
      </c>
    </row>
    <row r="39" spans="1:21" ht="48.75" customHeight="1">
      <c r="A39" s="65" t="s">
        <v>112</v>
      </c>
      <c r="B39" s="101" t="s">
        <v>337</v>
      </c>
      <c r="C39" s="74" t="s">
        <v>113</v>
      </c>
      <c r="D39" s="32">
        <f>0</f>
        <v>0</v>
      </c>
      <c r="E39" s="33">
        <f>0</f>
        <v>0</v>
      </c>
      <c r="F39" s="33">
        <f>0</f>
        <v>0</v>
      </c>
      <c r="G39" s="34">
        <f>0</f>
        <v>0</v>
      </c>
      <c r="H39" s="35">
        <f>0</f>
        <v>0</v>
      </c>
      <c r="I39" s="36">
        <f>0</f>
        <v>0</v>
      </c>
      <c r="J39" s="36">
        <f>0</f>
        <v>0</v>
      </c>
      <c r="K39" s="36">
        <f>0</f>
        <v>0</v>
      </c>
      <c r="L39" s="36">
        <f>0</f>
        <v>0</v>
      </c>
      <c r="M39" s="36">
        <f>0</f>
        <v>0</v>
      </c>
      <c r="N39" s="36">
        <f>0</f>
        <v>0</v>
      </c>
      <c r="O39" s="36">
        <f>0</f>
        <v>0</v>
      </c>
      <c r="P39" s="36">
        <f>0</f>
        <v>0</v>
      </c>
      <c r="Q39" s="36">
        <f>0</f>
        <v>0</v>
      </c>
      <c r="R39" s="36">
        <f>0</f>
        <v>0</v>
      </c>
      <c r="S39" s="36">
        <f>0</f>
        <v>0</v>
      </c>
      <c r="T39" s="36">
        <f>0</f>
        <v>0</v>
      </c>
      <c r="U39" s="36">
        <f>0</f>
        <v>0</v>
      </c>
    </row>
    <row r="40" spans="1:21" ht="50.25" customHeight="1">
      <c r="A40" s="65" t="s">
        <v>114</v>
      </c>
      <c r="B40" s="101" t="s">
        <v>338</v>
      </c>
      <c r="C40" s="74" t="s">
        <v>115</v>
      </c>
      <c r="D40" s="32">
        <f>2000000</f>
        <v>2000000</v>
      </c>
      <c r="E40" s="33">
        <f>2000000</f>
        <v>2000000</v>
      </c>
      <c r="F40" s="33">
        <f>2000000</f>
        <v>2000000</v>
      </c>
      <c r="G40" s="34">
        <f>2000000</f>
        <v>2000000</v>
      </c>
      <c r="H40" s="35">
        <f>2000000</f>
        <v>2000000</v>
      </c>
      <c r="I40" s="36">
        <f>0</f>
        <v>0</v>
      </c>
      <c r="J40" s="36">
        <f>0</f>
        <v>0</v>
      </c>
      <c r="K40" s="36">
        <f>0</f>
        <v>0</v>
      </c>
      <c r="L40" s="36">
        <f>0</f>
        <v>0</v>
      </c>
      <c r="M40" s="36">
        <f>0</f>
        <v>0</v>
      </c>
      <c r="N40" s="36">
        <f>0</f>
        <v>0</v>
      </c>
      <c r="O40" s="36">
        <f>0</f>
        <v>0</v>
      </c>
      <c r="P40" s="36">
        <f>0</f>
        <v>0</v>
      </c>
      <c r="Q40" s="36">
        <f>0</f>
        <v>0</v>
      </c>
      <c r="R40" s="36">
        <f>0</f>
        <v>0</v>
      </c>
      <c r="S40" s="36">
        <f>0</f>
        <v>0</v>
      </c>
      <c r="T40" s="36">
        <f>0</f>
        <v>0</v>
      </c>
      <c r="U40" s="36">
        <f>0</f>
        <v>0</v>
      </c>
    </row>
    <row r="41" spans="1:21" ht="18" customHeight="1">
      <c r="A41" s="65" t="s">
        <v>116</v>
      </c>
      <c r="B41" s="101" t="s">
        <v>117</v>
      </c>
      <c r="C41" s="66" t="s">
        <v>117</v>
      </c>
      <c r="D41" s="32">
        <f>0</f>
        <v>0</v>
      </c>
      <c r="E41" s="33">
        <f>0</f>
        <v>0</v>
      </c>
      <c r="F41" s="33">
        <f>500000</f>
        <v>500000</v>
      </c>
      <c r="G41" s="34">
        <f>0</f>
        <v>0</v>
      </c>
      <c r="H41" s="35">
        <f>0</f>
        <v>0</v>
      </c>
      <c r="I41" s="36">
        <f>0</f>
        <v>0</v>
      </c>
      <c r="J41" s="36">
        <f>0</f>
        <v>0</v>
      </c>
      <c r="K41" s="36">
        <f>0</f>
        <v>0</v>
      </c>
      <c r="L41" s="36">
        <f>0</f>
        <v>0</v>
      </c>
      <c r="M41" s="36">
        <f>0</f>
        <v>0</v>
      </c>
      <c r="N41" s="36">
        <f>0</f>
        <v>0</v>
      </c>
      <c r="O41" s="36">
        <f>0</f>
        <v>0</v>
      </c>
      <c r="P41" s="36">
        <f>0</f>
        <v>0</v>
      </c>
      <c r="Q41" s="36">
        <f>0</f>
        <v>0</v>
      </c>
      <c r="R41" s="36">
        <f>0</f>
        <v>0</v>
      </c>
      <c r="S41" s="36">
        <f>0</f>
        <v>0</v>
      </c>
      <c r="T41" s="36">
        <f>0</f>
        <v>0</v>
      </c>
      <c r="U41" s="36">
        <f>0</f>
        <v>0</v>
      </c>
    </row>
    <row r="42" spans="1:21" ht="18" customHeight="1">
      <c r="A42" s="68">
        <v>6</v>
      </c>
      <c r="B42" s="99" t="s">
        <v>118</v>
      </c>
      <c r="C42" s="67" t="s">
        <v>118</v>
      </c>
      <c r="D42" s="27">
        <f>51708987.45</f>
        <v>51708987.450000003</v>
      </c>
      <c r="E42" s="28">
        <f>48024902.57</f>
        <v>48024902.57</v>
      </c>
      <c r="F42" s="28">
        <f>46392865</f>
        <v>46392865</v>
      </c>
      <c r="G42" s="29">
        <f>46392864.69</f>
        <v>46392864.689999998</v>
      </c>
      <c r="H42" s="30">
        <f>50127168</f>
        <v>50127168</v>
      </c>
      <c r="I42" s="31">
        <f>43684136</f>
        <v>43684136</v>
      </c>
      <c r="J42" s="31">
        <f>37864762</f>
        <v>37864762</v>
      </c>
      <c r="K42" s="31">
        <f>32868000</f>
        <v>32868000</v>
      </c>
      <c r="L42" s="31">
        <f>28426000</f>
        <v>28426000</v>
      </c>
      <c r="M42" s="31">
        <f>24684000</f>
        <v>24684000</v>
      </c>
      <c r="N42" s="31">
        <f>20792000</f>
        <v>20792000</v>
      </c>
      <c r="O42" s="31">
        <f>16800000</f>
        <v>16800000</v>
      </c>
      <c r="P42" s="31">
        <f>13100000</f>
        <v>13100000</v>
      </c>
      <c r="Q42" s="31">
        <f>9400000</f>
        <v>9400000</v>
      </c>
      <c r="R42" s="31">
        <f>5700000</f>
        <v>5700000</v>
      </c>
      <c r="S42" s="31">
        <f>3400000</f>
        <v>3400000</v>
      </c>
      <c r="T42" s="31">
        <f>1700000</f>
        <v>1700000</v>
      </c>
      <c r="U42" s="31">
        <f>0</f>
        <v>0</v>
      </c>
    </row>
    <row r="43" spans="1:21" ht="69" customHeight="1">
      <c r="A43" s="68">
        <v>7</v>
      </c>
      <c r="B43" s="99" t="s">
        <v>119</v>
      </c>
      <c r="C43" s="67" t="s">
        <v>119</v>
      </c>
      <c r="D43" s="27">
        <f>3928571.45</f>
        <v>3928571.45</v>
      </c>
      <c r="E43" s="28">
        <f>3273809.57</f>
        <v>3273809.57</v>
      </c>
      <c r="F43" s="28">
        <f>2619048</f>
        <v>2619048</v>
      </c>
      <c r="G43" s="29">
        <f>2619047.69</f>
        <v>2619047.69</v>
      </c>
      <c r="H43" s="30">
        <f>1964286</f>
        <v>1964286</v>
      </c>
      <c r="I43" s="31">
        <f>1309524</f>
        <v>1309524</v>
      </c>
      <c r="J43" s="31">
        <f>654762</f>
        <v>654762</v>
      </c>
      <c r="K43" s="31">
        <f>0</f>
        <v>0</v>
      </c>
      <c r="L43" s="31">
        <f>0</f>
        <v>0</v>
      </c>
      <c r="M43" s="31">
        <f>0</f>
        <v>0</v>
      </c>
      <c r="N43" s="31">
        <f>0</f>
        <v>0</v>
      </c>
      <c r="O43" s="31">
        <f>0</f>
        <v>0</v>
      </c>
      <c r="P43" s="31">
        <f>0</f>
        <v>0</v>
      </c>
      <c r="Q43" s="31">
        <f>0</f>
        <v>0</v>
      </c>
      <c r="R43" s="31">
        <f>0</f>
        <v>0</v>
      </c>
      <c r="S43" s="31">
        <f>0</f>
        <v>0</v>
      </c>
      <c r="T43" s="31">
        <f>0</f>
        <v>0</v>
      </c>
      <c r="U43" s="31">
        <f>0</f>
        <v>0</v>
      </c>
    </row>
    <row r="44" spans="1:21" ht="41.25" customHeight="1">
      <c r="A44" s="68">
        <v>8</v>
      </c>
      <c r="B44" s="99" t="s">
        <v>120</v>
      </c>
      <c r="C44" s="67" t="s">
        <v>120</v>
      </c>
      <c r="D44" s="37" t="s">
        <v>121</v>
      </c>
      <c r="E44" s="38" t="s">
        <v>121</v>
      </c>
      <c r="F44" s="38" t="s">
        <v>121</v>
      </c>
      <c r="G44" s="39" t="s">
        <v>121</v>
      </c>
      <c r="H44" s="40" t="s">
        <v>121</v>
      </c>
      <c r="I44" s="41" t="s">
        <v>121</v>
      </c>
      <c r="J44" s="41" t="s">
        <v>121</v>
      </c>
      <c r="K44" s="41" t="s">
        <v>121</v>
      </c>
      <c r="L44" s="41" t="s">
        <v>121</v>
      </c>
      <c r="M44" s="41" t="s">
        <v>121</v>
      </c>
      <c r="N44" s="41" t="s">
        <v>121</v>
      </c>
      <c r="O44" s="41" t="s">
        <v>121</v>
      </c>
      <c r="P44" s="41" t="s">
        <v>121</v>
      </c>
      <c r="Q44" s="41" t="s">
        <v>121</v>
      </c>
      <c r="R44" s="41" t="s">
        <v>121</v>
      </c>
      <c r="S44" s="41" t="s">
        <v>121</v>
      </c>
      <c r="T44" s="41" t="s">
        <v>121</v>
      </c>
      <c r="U44" s="41" t="s">
        <v>121</v>
      </c>
    </row>
    <row r="45" spans="1:21" ht="34.5" customHeight="1">
      <c r="A45" s="65" t="s">
        <v>122</v>
      </c>
      <c r="B45" s="101" t="s">
        <v>339</v>
      </c>
      <c r="C45" s="66" t="s">
        <v>123</v>
      </c>
      <c r="D45" s="32">
        <f>6689493.43</f>
        <v>6689493.4299999997</v>
      </c>
      <c r="E45" s="33">
        <f>6008937.14</f>
        <v>6008937.1399999997</v>
      </c>
      <c r="F45" s="33">
        <f>7309055</f>
        <v>7309055</v>
      </c>
      <c r="G45" s="34">
        <f>11835222.3</f>
        <v>11835222.300000001</v>
      </c>
      <c r="H45" s="35">
        <f>8761371</f>
        <v>8761371</v>
      </c>
      <c r="I45" s="36">
        <f>8603427</f>
        <v>8603427</v>
      </c>
      <c r="J45" s="36">
        <f>10283117</f>
        <v>10283117</v>
      </c>
      <c r="K45" s="36">
        <f>12194475</f>
        <v>12194475</v>
      </c>
      <c r="L45" s="36">
        <f>13865288</f>
        <v>13865288</v>
      </c>
      <c r="M45" s="36">
        <f>15342928</f>
        <v>15342928</v>
      </c>
      <c r="N45" s="36">
        <f>16748790</f>
        <v>16748790</v>
      </c>
      <c r="O45" s="36">
        <f>18071798</f>
        <v>18071798</v>
      </c>
      <c r="P45" s="36">
        <f>19300527</f>
        <v>19300527</v>
      </c>
      <c r="Q45" s="36">
        <f>20423234</f>
        <v>20423234</v>
      </c>
      <c r="R45" s="36">
        <f>21592574</f>
        <v>21592574</v>
      </c>
      <c r="S45" s="36">
        <f>22640786</f>
        <v>22640786</v>
      </c>
      <c r="T45" s="36">
        <f>23555227</f>
        <v>23555227</v>
      </c>
      <c r="U45" s="36">
        <f>24323022</f>
        <v>24323022</v>
      </c>
    </row>
    <row r="46" spans="1:21" ht="45.75" customHeight="1">
      <c r="A46" s="65" t="s">
        <v>124</v>
      </c>
      <c r="B46" s="101" t="s">
        <v>340</v>
      </c>
      <c r="C46" s="66" t="s">
        <v>125</v>
      </c>
      <c r="D46" s="32">
        <f>12199669.56</f>
        <v>12199669.560000001</v>
      </c>
      <c r="E46" s="33">
        <f>9485687.08</f>
        <v>9485687.0800000001</v>
      </c>
      <c r="F46" s="33">
        <f>10833923</f>
        <v>10833923</v>
      </c>
      <c r="G46" s="34">
        <f>16301831.22</f>
        <v>16301831.220000001</v>
      </c>
      <c r="H46" s="35">
        <f>13543675</f>
        <v>13543675</v>
      </c>
      <c r="I46" s="36">
        <f>8603427</f>
        <v>8603427</v>
      </c>
      <c r="J46" s="36">
        <f>10283117</f>
        <v>10283117</v>
      </c>
      <c r="K46" s="36">
        <f>12194475</f>
        <v>12194475</v>
      </c>
      <c r="L46" s="36">
        <f>13865288</f>
        <v>13865288</v>
      </c>
      <c r="M46" s="36">
        <f>15342928</f>
        <v>15342928</v>
      </c>
      <c r="N46" s="36">
        <f>16748790</f>
        <v>16748790</v>
      </c>
      <c r="O46" s="36">
        <f>18071798</f>
        <v>18071798</v>
      </c>
      <c r="P46" s="36">
        <f>19300527</f>
        <v>19300527</v>
      </c>
      <c r="Q46" s="36">
        <f>20423234</f>
        <v>20423234</v>
      </c>
      <c r="R46" s="36">
        <f>21592574</f>
        <v>21592574</v>
      </c>
      <c r="S46" s="36">
        <f>22640786</f>
        <v>22640786</v>
      </c>
      <c r="T46" s="36">
        <f>23555227</f>
        <v>23555227</v>
      </c>
      <c r="U46" s="36">
        <f>24323022</f>
        <v>24323022</v>
      </c>
    </row>
    <row r="47" spans="1:21" ht="20.25" customHeight="1">
      <c r="A47" s="68">
        <v>9</v>
      </c>
      <c r="B47" s="99" t="s">
        <v>126</v>
      </c>
      <c r="C47" s="67" t="s">
        <v>126</v>
      </c>
      <c r="D47" s="37" t="s">
        <v>121</v>
      </c>
      <c r="E47" s="38" t="s">
        <v>121</v>
      </c>
      <c r="F47" s="38" t="s">
        <v>121</v>
      </c>
      <c r="G47" s="39" t="s">
        <v>121</v>
      </c>
      <c r="H47" s="40" t="s">
        <v>121</v>
      </c>
      <c r="I47" s="41" t="s">
        <v>121</v>
      </c>
      <c r="J47" s="41" t="s">
        <v>121</v>
      </c>
      <c r="K47" s="41" t="s">
        <v>121</v>
      </c>
      <c r="L47" s="41" t="s">
        <v>121</v>
      </c>
      <c r="M47" s="41" t="s">
        <v>121</v>
      </c>
      <c r="N47" s="41" t="s">
        <v>121</v>
      </c>
      <c r="O47" s="41" t="s">
        <v>121</v>
      </c>
      <c r="P47" s="41" t="s">
        <v>121</v>
      </c>
      <c r="Q47" s="41" t="s">
        <v>121</v>
      </c>
      <c r="R47" s="41" t="s">
        <v>121</v>
      </c>
      <c r="S47" s="41" t="s">
        <v>121</v>
      </c>
      <c r="T47" s="41" t="s">
        <v>121</v>
      </c>
      <c r="U47" s="41" t="s">
        <v>121</v>
      </c>
    </row>
    <row r="48" spans="1:21" ht="96" customHeight="1">
      <c r="A48" s="65" t="s">
        <v>127</v>
      </c>
      <c r="B48" s="101" t="s">
        <v>341</v>
      </c>
      <c r="C48" s="66" t="s">
        <v>128</v>
      </c>
      <c r="D48" s="42">
        <f>0.0754</f>
        <v>7.5399999999999995E-2</v>
      </c>
      <c r="E48" s="43">
        <f>0.0715</f>
        <v>7.1499999999999994E-2</v>
      </c>
      <c r="F48" s="43">
        <f>0.062</f>
        <v>6.2E-2</v>
      </c>
      <c r="G48" s="44">
        <f>0.074</f>
        <v>7.3999999999999996E-2</v>
      </c>
      <c r="H48" s="45">
        <f>0.056</f>
        <v>5.6000000000000001E-2</v>
      </c>
      <c r="I48" s="46">
        <f>0.0765</f>
        <v>7.6499999999999999E-2</v>
      </c>
      <c r="J48" s="46">
        <f>0.069</f>
        <v>6.9000000000000006E-2</v>
      </c>
      <c r="K48" s="46">
        <f>0.0601</f>
        <v>6.0100000000000001E-2</v>
      </c>
      <c r="L48" s="46">
        <f>0.0574</f>
        <v>5.74E-2</v>
      </c>
      <c r="M48" s="46">
        <f>0.0495</f>
        <v>4.9500000000000002E-2</v>
      </c>
      <c r="N48" s="46">
        <f>0.0307</f>
        <v>3.0700000000000002E-2</v>
      </c>
      <c r="O48" s="46">
        <f>0.0298</f>
        <v>2.98E-2</v>
      </c>
      <c r="P48" s="46">
        <f>0.0265</f>
        <v>2.6499999999999999E-2</v>
      </c>
      <c r="Q48" s="46">
        <f>0.0252</f>
        <v>2.52E-2</v>
      </c>
      <c r="R48" s="46">
        <f>0.0239</f>
        <v>2.3900000000000001E-2</v>
      </c>
      <c r="S48" s="46">
        <f>0.0146</f>
        <v>1.46E-2</v>
      </c>
      <c r="T48" s="46">
        <f>0.0103</f>
        <v>1.03E-2</v>
      </c>
      <c r="U48" s="46">
        <f>0.0097</f>
        <v>9.7000000000000003E-3</v>
      </c>
    </row>
    <row r="49" spans="1:21" ht="94.5" customHeight="1">
      <c r="A49" s="65" t="s">
        <v>129</v>
      </c>
      <c r="B49" s="101" t="s">
        <v>342</v>
      </c>
      <c r="C49" s="66" t="s">
        <v>130</v>
      </c>
      <c r="D49" s="42">
        <f>0.0578</f>
        <v>5.7799999999999997E-2</v>
      </c>
      <c r="E49" s="43">
        <f>0.0547</f>
        <v>5.4699999999999999E-2</v>
      </c>
      <c r="F49" s="43">
        <f>0.0473</f>
        <v>4.7300000000000002E-2</v>
      </c>
      <c r="G49" s="44">
        <f>0.0593</f>
        <v>5.9299999999999999E-2</v>
      </c>
      <c r="H49" s="45">
        <f>0.0422</f>
        <v>4.2200000000000001E-2</v>
      </c>
      <c r="I49" s="46">
        <f>0.0765</f>
        <v>7.6499999999999999E-2</v>
      </c>
      <c r="J49" s="46">
        <f>0.069</f>
        <v>6.9000000000000006E-2</v>
      </c>
      <c r="K49" s="46">
        <f>0.0601</f>
        <v>6.0100000000000001E-2</v>
      </c>
      <c r="L49" s="46">
        <f>0.0574</f>
        <v>5.74E-2</v>
      </c>
      <c r="M49" s="46">
        <f>0.0495</f>
        <v>4.9500000000000002E-2</v>
      </c>
      <c r="N49" s="46">
        <f>0.0307</f>
        <v>3.0700000000000002E-2</v>
      </c>
      <c r="O49" s="46">
        <f>0.0298</f>
        <v>2.98E-2</v>
      </c>
      <c r="P49" s="46">
        <f>0.0265</f>
        <v>2.6499999999999999E-2</v>
      </c>
      <c r="Q49" s="46">
        <f>0.0252</f>
        <v>2.52E-2</v>
      </c>
      <c r="R49" s="46">
        <f>0.0239</f>
        <v>2.3900000000000001E-2</v>
      </c>
      <c r="S49" s="46">
        <f>0.0146</f>
        <v>1.46E-2</v>
      </c>
      <c r="T49" s="46">
        <f>0.0103</f>
        <v>1.03E-2</v>
      </c>
      <c r="U49" s="46">
        <f>0.0097</f>
        <v>9.7000000000000003E-3</v>
      </c>
    </row>
    <row r="50" spans="1:21" ht="75" customHeight="1">
      <c r="A50" s="65" t="s">
        <v>131</v>
      </c>
      <c r="B50" s="101" t="s">
        <v>343</v>
      </c>
      <c r="C50" s="66" t="s">
        <v>132</v>
      </c>
      <c r="D50" s="32">
        <f>0</f>
        <v>0</v>
      </c>
      <c r="E50" s="33">
        <f>0</f>
        <v>0</v>
      </c>
      <c r="F50" s="33">
        <f>0</f>
        <v>0</v>
      </c>
      <c r="G50" s="34">
        <f>0</f>
        <v>0</v>
      </c>
      <c r="H50" s="35">
        <f>0</f>
        <v>0</v>
      </c>
      <c r="I50" s="36">
        <f>0</f>
        <v>0</v>
      </c>
      <c r="J50" s="36">
        <f>0</f>
        <v>0</v>
      </c>
      <c r="K50" s="36">
        <f>0</f>
        <v>0</v>
      </c>
      <c r="L50" s="36">
        <f>0</f>
        <v>0</v>
      </c>
      <c r="M50" s="36">
        <f>0</f>
        <v>0</v>
      </c>
      <c r="N50" s="36">
        <f>0</f>
        <v>0</v>
      </c>
      <c r="O50" s="36">
        <f>0</f>
        <v>0</v>
      </c>
      <c r="P50" s="36">
        <f>0</f>
        <v>0</v>
      </c>
      <c r="Q50" s="36">
        <f>0</f>
        <v>0</v>
      </c>
      <c r="R50" s="36">
        <f>0</f>
        <v>0</v>
      </c>
      <c r="S50" s="36">
        <f>0</f>
        <v>0</v>
      </c>
      <c r="T50" s="36">
        <f>0</f>
        <v>0</v>
      </c>
      <c r="U50" s="36">
        <f>0</f>
        <v>0</v>
      </c>
    </row>
    <row r="51" spans="1:21" ht="97.5" customHeight="1">
      <c r="A51" s="65" t="s">
        <v>133</v>
      </c>
      <c r="B51" s="101" t="s">
        <v>344</v>
      </c>
      <c r="C51" s="66" t="s">
        <v>134</v>
      </c>
      <c r="D51" s="42">
        <f>0.0578</f>
        <v>5.7799999999999997E-2</v>
      </c>
      <c r="E51" s="43">
        <f>0.0547</f>
        <v>5.4699999999999999E-2</v>
      </c>
      <c r="F51" s="43">
        <f>0.0473</f>
        <v>4.7300000000000002E-2</v>
      </c>
      <c r="G51" s="44">
        <f>0.0593</f>
        <v>5.9299999999999999E-2</v>
      </c>
      <c r="H51" s="45">
        <f>0.0422</f>
        <v>4.2200000000000001E-2</v>
      </c>
      <c r="I51" s="46">
        <f>0.0765</f>
        <v>7.6499999999999999E-2</v>
      </c>
      <c r="J51" s="46">
        <f>0.069</f>
        <v>6.9000000000000006E-2</v>
      </c>
      <c r="K51" s="46">
        <f>0.0601</f>
        <v>6.0100000000000001E-2</v>
      </c>
      <c r="L51" s="46">
        <f>0.0574</f>
        <v>5.74E-2</v>
      </c>
      <c r="M51" s="46">
        <f>0.0495</f>
        <v>4.9500000000000002E-2</v>
      </c>
      <c r="N51" s="46">
        <f>0.0307</f>
        <v>3.0700000000000002E-2</v>
      </c>
      <c r="O51" s="46">
        <f>0.0298</f>
        <v>2.98E-2</v>
      </c>
      <c r="P51" s="46">
        <f>0.0265</f>
        <v>2.6499999999999999E-2</v>
      </c>
      <c r="Q51" s="46">
        <f>0.0252</f>
        <v>2.52E-2</v>
      </c>
      <c r="R51" s="46">
        <f>0.0239</f>
        <v>2.3900000000000001E-2</v>
      </c>
      <c r="S51" s="46">
        <f>0.0146</f>
        <v>1.46E-2</v>
      </c>
      <c r="T51" s="46">
        <f>0.0103</f>
        <v>1.03E-2</v>
      </c>
      <c r="U51" s="46">
        <f>0.0097</f>
        <v>9.7000000000000003E-3</v>
      </c>
    </row>
    <row r="52" spans="1:21" ht="75" customHeight="1">
      <c r="A52" s="73" t="s">
        <v>135</v>
      </c>
      <c r="B52" s="101" t="s">
        <v>345</v>
      </c>
      <c r="C52" s="72" t="s">
        <v>136</v>
      </c>
      <c r="D52" s="42">
        <f>0.0824</f>
        <v>8.2400000000000001E-2</v>
      </c>
      <c r="E52" s="43">
        <f>0.0912</f>
        <v>9.1200000000000003E-2</v>
      </c>
      <c r="F52" s="43">
        <f>0.0975</f>
        <v>9.7500000000000003E-2</v>
      </c>
      <c r="G52" s="44">
        <f>0.123</f>
        <v>0.123</v>
      </c>
      <c r="H52" s="45">
        <f>0.0695</f>
        <v>6.9500000000000006E-2</v>
      </c>
      <c r="I52" s="46">
        <f>0.0777</f>
        <v>7.7700000000000005E-2</v>
      </c>
      <c r="J52" s="46">
        <f>0.0786</f>
        <v>7.8600000000000003E-2</v>
      </c>
      <c r="K52" s="46">
        <f>0.0911</f>
        <v>9.11E-2</v>
      </c>
      <c r="L52" s="46">
        <f>0.0986</f>
        <v>9.8599999999999993E-2</v>
      </c>
      <c r="M52" s="46">
        <f>0.1051</f>
        <v>0.1051</v>
      </c>
      <c r="N52" s="46">
        <f>0.1112</f>
        <v>0.11119999999999999</v>
      </c>
      <c r="O52" s="46">
        <f>0.1175</f>
        <v>0.11749999999999999</v>
      </c>
      <c r="P52" s="46">
        <f>0.1204</f>
        <v>0.12039999999999999</v>
      </c>
      <c r="Q52" s="46">
        <f>0.1238</f>
        <v>0.12379999999999999</v>
      </c>
      <c r="R52" s="46">
        <f>0.1272</f>
        <v>0.12720000000000001</v>
      </c>
      <c r="S52" s="46">
        <f>0.1297</f>
        <v>0.12970000000000001</v>
      </c>
      <c r="T52" s="46">
        <f>0.1314</f>
        <v>0.13139999999999999</v>
      </c>
      <c r="U52" s="46">
        <f>0.1323</f>
        <v>0.1323</v>
      </c>
    </row>
    <row r="53" spans="1:21" ht="87.75" customHeight="1">
      <c r="A53" s="65" t="s">
        <v>137</v>
      </c>
      <c r="B53" s="101" t="s">
        <v>346</v>
      </c>
      <c r="C53" s="66" t="s">
        <v>138</v>
      </c>
      <c r="D53" s="37" t="s">
        <v>121</v>
      </c>
      <c r="E53" s="38" t="s">
        <v>121</v>
      </c>
      <c r="F53" s="38" t="s">
        <v>121</v>
      </c>
      <c r="G53" s="39" t="s">
        <v>121</v>
      </c>
      <c r="H53" s="45">
        <f>0.0904</f>
        <v>9.0399999999999994E-2</v>
      </c>
      <c r="I53" s="46">
        <f>0.0861</f>
        <v>8.6099999999999996E-2</v>
      </c>
      <c r="J53" s="46">
        <f>0.0816</f>
        <v>8.1600000000000006E-2</v>
      </c>
      <c r="K53" s="46">
        <f>0.0753</f>
        <v>7.5300000000000006E-2</v>
      </c>
      <c r="L53" s="46">
        <f>0.0825</f>
        <v>8.2500000000000004E-2</v>
      </c>
      <c r="M53" s="46">
        <f>0.0894</f>
        <v>8.9399999999999993E-2</v>
      </c>
      <c r="N53" s="46">
        <f>0.0983</f>
        <v>9.8299999999999998E-2</v>
      </c>
      <c r="O53" s="46">
        <f>0.105</f>
        <v>0.105</v>
      </c>
      <c r="P53" s="46">
        <f>0.1113</f>
        <v>0.1113</v>
      </c>
      <c r="Q53" s="46">
        <f>0.1164</f>
        <v>0.1164</v>
      </c>
      <c r="R53" s="46">
        <f>0.1206</f>
        <v>0.1206</v>
      </c>
      <c r="S53" s="46">
        <f>0.1238</f>
        <v>0.12379999999999999</v>
      </c>
      <c r="T53" s="46">
        <f>0.1269</f>
        <v>0.12690000000000001</v>
      </c>
      <c r="U53" s="46">
        <f>0.1294</f>
        <v>0.12939999999999999</v>
      </c>
    </row>
    <row r="54" spans="1:21" ht="94.5" customHeight="1">
      <c r="A54" s="65" t="s">
        <v>139</v>
      </c>
      <c r="B54" s="101" t="s">
        <v>347</v>
      </c>
      <c r="C54" s="64" t="s">
        <v>140</v>
      </c>
      <c r="D54" s="37" t="s">
        <v>121</v>
      </c>
      <c r="E54" s="38" t="s">
        <v>121</v>
      </c>
      <c r="F54" s="38" t="s">
        <v>121</v>
      </c>
      <c r="G54" s="39" t="s">
        <v>121</v>
      </c>
      <c r="H54" s="45">
        <f>0.0989</f>
        <v>9.8900000000000002E-2</v>
      </c>
      <c r="I54" s="46">
        <f>0.0946</f>
        <v>9.4600000000000004E-2</v>
      </c>
      <c r="J54" s="46">
        <f>0.0901</f>
        <v>9.01E-2</v>
      </c>
      <c r="K54" s="46">
        <f>0.0753</f>
        <v>7.5300000000000006E-2</v>
      </c>
      <c r="L54" s="46">
        <f>0.0825</f>
        <v>8.2500000000000004E-2</v>
      </c>
      <c r="M54" s="46">
        <f>0.0894</f>
        <v>8.9399999999999993E-2</v>
      </c>
      <c r="N54" s="46">
        <f>0.0983</f>
        <v>9.8299999999999998E-2</v>
      </c>
      <c r="O54" s="46">
        <f>0.105</f>
        <v>0.105</v>
      </c>
      <c r="P54" s="46">
        <f>0.1113</f>
        <v>0.1113</v>
      </c>
      <c r="Q54" s="46">
        <f>0.1164</f>
        <v>0.1164</v>
      </c>
      <c r="R54" s="46">
        <f>0.1206</f>
        <v>0.1206</v>
      </c>
      <c r="S54" s="46">
        <f>0.1238</f>
        <v>0.12379999999999999</v>
      </c>
      <c r="T54" s="46">
        <f>0.1269</f>
        <v>0.12690000000000001</v>
      </c>
      <c r="U54" s="46">
        <f>0.1294</f>
        <v>0.12939999999999999</v>
      </c>
    </row>
    <row r="55" spans="1:21" ht="114" customHeight="1">
      <c r="A55" s="65" t="s">
        <v>141</v>
      </c>
      <c r="B55" s="101" t="s">
        <v>348</v>
      </c>
      <c r="C55" s="66" t="s">
        <v>142</v>
      </c>
      <c r="D55" s="37" t="s">
        <v>121</v>
      </c>
      <c r="E55" s="38" t="s">
        <v>121</v>
      </c>
      <c r="F55" s="38" t="s">
        <v>121</v>
      </c>
      <c r="G55" s="39" t="s">
        <v>121</v>
      </c>
      <c r="H55" s="47" t="str">
        <f>IF(H51&lt;=H53,"Spełniona","Nie spełniona")</f>
        <v>Spełniona</v>
      </c>
      <c r="I55" s="48" t="str">
        <f t="shared" ref="I55:U55" si="4">IF(I51&lt;=I53,"Spełniona","Nie spełniona")</f>
        <v>Spełniona</v>
      </c>
      <c r="J55" s="48" t="str">
        <f t="shared" si="4"/>
        <v>Spełniona</v>
      </c>
      <c r="K55" s="48" t="str">
        <f t="shared" si="4"/>
        <v>Spełniona</v>
      </c>
      <c r="L55" s="48" t="str">
        <f t="shared" si="4"/>
        <v>Spełniona</v>
      </c>
      <c r="M55" s="48" t="str">
        <f t="shared" si="4"/>
        <v>Spełniona</v>
      </c>
      <c r="N55" s="48" t="str">
        <f t="shared" si="4"/>
        <v>Spełniona</v>
      </c>
      <c r="O55" s="48" t="str">
        <f t="shared" si="4"/>
        <v>Spełniona</v>
      </c>
      <c r="P55" s="48" t="str">
        <f t="shared" si="4"/>
        <v>Spełniona</v>
      </c>
      <c r="Q55" s="48" t="str">
        <f t="shared" si="4"/>
        <v>Spełniona</v>
      </c>
      <c r="R55" s="48" t="str">
        <f t="shared" si="4"/>
        <v>Spełniona</v>
      </c>
      <c r="S55" s="48" t="str">
        <f t="shared" si="4"/>
        <v>Spełniona</v>
      </c>
      <c r="T55" s="48" t="str">
        <f t="shared" si="4"/>
        <v>Spełniona</v>
      </c>
      <c r="U55" s="48" t="str">
        <f t="shared" si="4"/>
        <v>Spełniona</v>
      </c>
    </row>
    <row r="56" spans="1:21" ht="111.75" customHeight="1">
      <c r="A56" s="65" t="s">
        <v>143</v>
      </c>
      <c r="B56" s="101" t="s">
        <v>349</v>
      </c>
      <c r="C56" s="64" t="s">
        <v>144</v>
      </c>
      <c r="D56" s="37" t="s">
        <v>121</v>
      </c>
      <c r="E56" s="38" t="s">
        <v>121</v>
      </c>
      <c r="F56" s="38" t="s">
        <v>121</v>
      </c>
      <c r="G56" s="39" t="s">
        <v>121</v>
      </c>
      <c r="H56" s="47" t="str">
        <f>IF(H51&lt;=H54,"Spełniona","Nie spełniona")</f>
        <v>Spełniona</v>
      </c>
      <c r="I56" s="48" t="str">
        <f t="shared" ref="I56:U56" si="5">IF(I51&lt;=I54,"Spełniona","Nie spełniona")</f>
        <v>Spełniona</v>
      </c>
      <c r="J56" s="48" t="str">
        <f t="shared" si="5"/>
        <v>Spełniona</v>
      </c>
      <c r="K56" s="48" t="str">
        <f t="shared" si="5"/>
        <v>Spełniona</v>
      </c>
      <c r="L56" s="48" t="str">
        <f t="shared" si="5"/>
        <v>Spełniona</v>
      </c>
      <c r="M56" s="48" t="str">
        <f t="shared" si="5"/>
        <v>Spełniona</v>
      </c>
      <c r="N56" s="48" t="str">
        <f t="shared" si="5"/>
        <v>Spełniona</v>
      </c>
      <c r="O56" s="48" t="str">
        <f t="shared" si="5"/>
        <v>Spełniona</v>
      </c>
      <c r="P56" s="48" t="str">
        <f t="shared" si="5"/>
        <v>Spełniona</v>
      </c>
      <c r="Q56" s="48" t="str">
        <f t="shared" si="5"/>
        <v>Spełniona</v>
      </c>
      <c r="R56" s="48" t="str">
        <f t="shared" si="5"/>
        <v>Spełniona</v>
      </c>
      <c r="S56" s="48" t="str">
        <f t="shared" si="5"/>
        <v>Spełniona</v>
      </c>
      <c r="T56" s="48" t="str">
        <f t="shared" si="5"/>
        <v>Spełniona</v>
      </c>
      <c r="U56" s="48" t="str">
        <f t="shared" si="5"/>
        <v>Spełniona</v>
      </c>
    </row>
    <row r="57" spans="1:21" ht="31.5" customHeight="1">
      <c r="A57" s="68">
        <v>10</v>
      </c>
      <c r="B57" s="99" t="s">
        <v>145</v>
      </c>
      <c r="C57" s="67" t="s">
        <v>145</v>
      </c>
      <c r="D57" s="27">
        <f>0</f>
        <v>0</v>
      </c>
      <c r="E57" s="28">
        <f>0</f>
        <v>0</v>
      </c>
      <c r="F57" s="28">
        <f>0</f>
        <v>0</v>
      </c>
      <c r="G57" s="29">
        <f>0</f>
        <v>0</v>
      </c>
      <c r="H57" s="30">
        <f>0</f>
        <v>0</v>
      </c>
      <c r="I57" s="31">
        <f>5788270</f>
        <v>5788270</v>
      </c>
      <c r="J57" s="31">
        <f>5164612</f>
        <v>5164612</v>
      </c>
      <c r="K57" s="31">
        <f>4342000</f>
        <v>4342000</v>
      </c>
      <c r="L57" s="31">
        <f>4442000</f>
        <v>4442000</v>
      </c>
      <c r="M57" s="31">
        <f>3742000</f>
        <v>3742000</v>
      </c>
      <c r="N57" s="31">
        <f>3892000</f>
        <v>3892000</v>
      </c>
      <c r="O57" s="31">
        <f>3992000</f>
        <v>3992000</v>
      </c>
      <c r="P57" s="31">
        <f t="shared" ref="P57:R58" si="6">3700000</f>
        <v>3700000</v>
      </c>
      <c r="Q57" s="31">
        <f t="shared" si="6"/>
        <v>3700000</v>
      </c>
      <c r="R57" s="31">
        <f t="shared" si="6"/>
        <v>3700000</v>
      </c>
      <c r="S57" s="31">
        <f>2300000</f>
        <v>2300000</v>
      </c>
      <c r="T57" s="31">
        <f>1700000</f>
        <v>1700000</v>
      </c>
      <c r="U57" s="31">
        <f>1700000</f>
        <v>1700000</v>
      </c>
    </row>
    <row r="58" spans="1:21" ht="30" customHeight="1">
      <c r="A58" s="65" t="s">
        <v>146</v>
      </c>
      <c r="B58" s="101" t="s">
        <v>350</v>
      </c>
      <c r="C58" s="66" t="s">
        <v>147</v>
      </c>
      <c r="D58" s="32">
        <f>0</f>
        <v>0</v>
      </c>
      <c r="E58" s="33">
        <f>0</f>
        <v>0</v>
      </c>
      <c r="F58" s="33">
        <f>0</f>
        <v>0</v>
      </c>
      <c r="G58" s="34">
        <f>0</f>
        <v>0</v>
      </c>
      <c r="H58" s="35">
        <f>0</f>
        <v>0</v>
      </c>
      <c r="I58" s="36">
        <f>5788270</f>
        <v>5788270</v>
      </c>
      <c r="J58" s="36">
        <f>5164612</f>
        <v>5164612</v>
      </c>
      <c r="K58" s="36">
        <f>4342000</f>
        <v>4342000</v>
      </c>
      <c r="L58" s="36">
        <f>4442000</f>
        <v>4442000</v>
      </c>
      <c r="M58" s="36">
        <f>3742000</f>
        <v>3742000</v>
      </c>
      <c r="N58" s="36">
        <f>3892000</f>
        <v>3892000</v>
      </c>
      <c r="O58" s="36">
        <f>3992000</f>
        <v>3992000</v>
      </c>
      <c r="P58" s="36">
        <f t="shared" si="6"/>
        <v>3700000</v>
      </c>
      <c r="Q58" s="36">
        <f t="shared" si="6"/>
        <v>3700000</v>
      </c>
      <c r="R58" s="36">
        <f t="shared" si="6"/>
        <v>3700000</v>
      </c>
      <c r="S58" s="36">
        <f>2300000</f>
        <v>2300000</v>
      </c>
      <c r="T58" s="36">
        <f>1700000</f>
        <v>1700000</v>
      </c>
      <c r="U58" s="36">
        <f>1699994</f>
        <v>1699994</v>
      </c>
    </row>
    <row r="59" spans="1:21" ht="33" customHeight="1">
      <c r="A59" s="68">
        <v>11</v>
      </c>
      <c r="B59" s="99" t="s">
        <v>148</v>
      </c>
      <c r="C59" s="67" t="s">
        <v>148</v>
      </c>
      <c r="D59" s="37" t="s">
        <v>121</v>
      </c>
      <c r="E59" s="38" t="s">
        <v>121</v>
      </c>
      <c r="F59" s="38" t="s">
        <v>121</v>
      </c>
      <c r="G59" s="39" t="s">
        <v>121</v>
      </c>
      <c r="H59" s="40" t="s">
        <v>121</v>
      </c>
      <c r="I59" s="41" t="s">
        <v>121</v>
      </c>
      <c r="J59" s="41" t="s">
        <v>121</v>
      </c>
      <c r="K59" s="41" t="s">
        <v>121</v>
      </c>
      <c r="L59" s="41" t="s">
        <v>121</v>
      </c>
      <c r="M59" s="41" t="s">
        <v>121</v>
      </c>
      <c r="N59" s="41" t="s">
        <v>121</v>
      </c>
      <c r="O59" s="41" t="s">
        <v>121</v>
      </c>
      <c r="P59" s="41" t="s">
        <v>121</v>
      </c>
      <c r="Q59" s="41" t="s">
        <v>121</v>
      </c>
      <c r="R59" s="41" t="s">
        <v>121</v>
      </c>
      <c r="S59" s="41" t="s">
        <v>121</v>
      </c>
      <c r="T59" s="41" t="s">
        <v>121</v>
      </c>
      <c r="U59" s="41" t="s">
        <v>121</v>
      </c>
    </row>
    <row r="60" spans="1:21" ht="30.75" customHeight="1">
      <c r="A60" s="65" t="s">
        <v>149</v>
      </c>
      <c r="B60" s="101" t="s">
        <v>351</v>
      </c>
      <c r="C60" s="66" t="s">
        <v>150</v>
      </c>
      <c r="D60" s="32">
        <f>65172879.09</f>
        <v>65172879.090000004</v>
      </c>
      <c r="E60" s="33">
        <f>64574748.58</f>
        <v>64574748.579999998</v>
      </c>
      <c r="F60" s="33">
        <f>67969509</f>
        <v>67969509</v>
      </c>
      <c r="G60" s="34">
        <f>67696183.63</f>
        <v>67696183.629999995</v>
      </c>
      <c r="H60" s="35">
        <f>73050829</f>
        <v>73050829</v>
      </c>
      <c r="I60" s="36">
        <f>74773570</f>
        <v>74773570</v>
      </c>
      <c r="J60" s="36">
        <f>76642909</f>
        <v>76642909</v>
      </c>
      <c r="K60" s="36">
        <f>78558982</f>
        <v>78558982</v>
      </c>
      <c r="L60" s="36">
        <f>80522957</f>
        <v>80522957</v>
      </c>
      <c r="M60" s="36">
        <f>82536031</f>
        <v>82536031</v>
      </c>
      <c r="N60" s="36">
        <f>84599432</f>
        <v>84599432</v>
      </c>
      <c r="O60" s="36">
        <f>86714418</f>
        <v>86714418</v>
      </c>
      <c r="P60" s="36">
        <f>88882278</f>
        <v>88882278</v>
      </c>
      <c r="Q60" s="36">
        <f>91104335</f>
        <v>91104335</v>
      </c>
      <c r="R60" s="36">
        <f>93381943</f>
        <v>93381943</v>
      </c>
      <c r="S60" s="36">
        <f>95716492</f>
        <v>95716492</v>
      </c>
      <c r="T60" s="36">
        <f>98109404</f>
        <v>98109404</v>
      </c>
      <c r="U60" s="36">
        <f>100562139</f>
        <v>100562139</v>
      </c>
    </row>
    <row r="61" spans="1:21" ht="33" customHeight="1">
      <c r="A61" s="65" t="s">
        <v>151</v>
      </c>
      <c r="B61" s="101" t="s">
        <v>352</v>
      </c>
      <c r="C61" s="66" t="s">
        <v>152</v>
      </c>
      <c r="D61" s="32">
        <f>9963467.6</f>
        <v>9963467.5999999996</v>
      </c>
      <c r="E61" s="33">
        <f>9861886.2</f>
        <v>9861886.1999999993</v>
      </c>
      <c r="F61" s="33">
        <f>11210886</f>
        <v>11210886</v>
      </c>
      <c r="G61" s="34">
        <f>9942354.83</f>
        <v>9942354.8300000001</v>
      </c>
      <c r="H61" s="35">
        <f>11830843</f>
        <v>11830843</v>
      </c>
      <c r="I61" s="36">
        <f>11942591</f>
        <v>11942591</v>
      </c>
      <c r="J61" s="36">
        <f>12241156</f>
        <v>12241156</v>
      </c>
      <c r="K61" s="36">
        <f>12547185</f>
        <v>12547185</v>
      </c>
      <c r="L61" s="36">
        <f>12860865</f>
        <v>12860865</v>
      </c>
      <c r="M61" s="36">
        <f>13182387</f>
        <v>13182387</v>
      </c>
      <c r="N61" s="36">
        <f>13511947</f>
        <v>13511947</v>
      </c>
      <c r="O61" s="36">
        <f>13849746</f>
        <v>13849746</v>
      </c>
      <c r="P61" s="36">
        <f>14195990</f>
        <v>14195990</v>
      </c>
      <c r="Q61" s="36">
        <f>14550890</f>
        <v>14550890</v>
      </c>
      <c r="R61" s="36">
        <f>14914662</f>
        <v>14914662</v>
      </c>
      <c r="S61" s="36">
        <f>15287529</f>
        <v>15287529</v>
      </c>
      <c r="T61" s="36">
        <f>15669717</f>
        <v>15669717</v>
      </c>
      <c r="U61" s="36">
        <f>16061460</f>
        <v>16061460</v>
      </c>
    </row>
    <row r="62" spans="1:21" ht="36" customHeight="1">
      <c r="A62" s="65" t="s">
        <v>153</v>
      </c>
      <c r="B62" s="101" t="s">
        <v>353</v>
      </c>
      <c r="C62" s="66" t="s">
        <v>154</v>
      </c>
      <c r="D62" s="32">
        <f>2598399.8</f>
        <v>2598399.7999999998</v>
      </c>
      <c r="E62" s="33">
        <f>4693324.07</f>
        <v>4693324.07</v>
      </c>
      <c r="F62" s="33">
        <f>23776558</f>
        <v>23776558</v>
      </c>
      <c r="G62" s="34">
        <f>19651893.88</f>
        <v>19651893.879999999</v>
      </c>
      <c r="H62" s="35">
        <f>28365570</f>
        <v>28365570</v>
      </c>
      <c r="I62" s="36">
        <f>5663521</f>
        <v>5663521</v>
      </c>
      <c r="J62" s="36">
        <f>2925957</f>
        <v>2925957</v>
      </c>
      <c r="K62" s="36">
        <f>374400</f>
        <v>374400</v>
      </c>
      <c r="L62" s="36">
        <f>0</f>
        <v>0</v>
      </c>
      <c r="M62" s="36">
        <f>0</f>
        <v>0</v>
      </c>
      <c r="N62" s="36">
        <f>0</f>
        <v>0</v>
      </c>
      <c r="O62" s="36">
        <f>0</f>
        <v>0</v>
      </c>
      <c r="P62" s="36">
        <f>0</f>
        <v>0</v>
      </c>
      <c r="Q62" s="36">
        <f>0</f>
        <v>0</v>
      </c>
      <c r="R62" s="36">
        <f>0</f>
        <v>0</v>
      </c>
      <c r="S62" s="36">
        <f>0</f>
        <v>0</v>
      </c>
      <c r="T62" s="36">
        <f>0</f>
        <v>0</v>
      </c>
      <c r="U62" s="36">
        <f>0</f>
        <v>0</v>
      </c>
    </row>
    <row r="63" spans="1:21" ht="18" customHeight="1">
      <c r="A63" s="65" t="s">
        <v>155</v>
      </c>
      <c r="B63" s="101" t="s">
        <v>354</v>
      </c>
      <c r="C63" s="64" t="s">
        <v>156</v>
      </c>
      <c r="D63" s="32">
        <f>1723051.81</f>
        <v>1723051.81</v>
      </c>
      <c r="E63" s="33">
        <f>860587.73</f>
        <v>860587.73</v>
      </c>
      <c r="F63" s="33">
        <f>1372496</f>
        <v>1372496</v>
      </c>
      <c r="G63" s="34">
        <f>1317922.84</f>
        <v>1317922.8400000001</v>
      </c>
      <c r="H63" s="35">
        <f>1934023</f>
        <v>1934023</v>
      </c>
      <c r="I63" s="36">
        <f>2513856</f>
        <v>2513856</v>
      </c>
      <c r="J63" s="36">
        <f>1725957</f>
        <v>1725957</v>
      </c>
      <c r="K63" s="36">
        <f>374400</f>
        <v>374400</v>
      </c>
      <c r="L63" s="36">
        <f>0</f>
        <v>0</v>
      </c>
      <c r="M63" s="36">
        <f>0</f>
        <v>0</v>
      </c>
      <c r="N63" s="36">
        <f>0</f>
        <v>0</v>
      </c>
      <c r="O63" s="36">
        <f>0</f>
        <v>0</v>
      </c>
      <c r="P63" s="36">
        <f>0</f>
        <v>0</v>
      </c>
      <c r="Q63" s="36">
        <f>0</f>
        <v>0</v>
      </c>
      <c r="R63" s="36">
        <f>0</f>
        <v>0</v>
      </c>
      <c r="S63" s="36">
        <f>0</f>
        <v>0</v>
      </c>
      <c r="T63" s="36">
        <f>0</f>
        <v>0</v>
      </c>
      <c r="U63" s="36">
        <f>0</f>
        <v>0</v>
      </c>
    </row>
    <row r="64" spans="1:21" ht="18" customHeight="1">
      <c r="A64" s="65" t="s">
        <v>157</v>
      </c>
      <c r="B64" s="101" t="s">
        <v>355</v>
      </c>
      <c r="C64" s="64" t="s">
        <v>158</v>
      </c>
      <c r="D64" s="32">
        <f>875347.99</f>
        <v>875347.99</v>
      </c>
      <c r="E64" s="33">
        <f>3832736.34</f>
        <v>3832736.34</v>
      </c>
      <c r="F64" s="33">
        <f>22404062</f>
        <v>22404062</v>
      </c>
      <c r="G64" s="34">
        <f>18333971.04</f>
        <v>18333971.039999999</v>
      </c>
      <c r="H64" s="35">
        <f>26431547</f>
        <v>26431547</v>
      </c>
      <c r="I64" s="36">
        <f>3149665</f>
        <v>3149665</v>
      </c>
      <c r="J64" s="36">
        <f>1200000</f>
        <v>1200000</v>
      </c>
      <c r="K64" s="36">
        <f>0</f>
        <v>0</v>
      </c>
      <c r="L64" s="36">
        <f>0</f>
        <v>0</v>
      </c>
      <c r="M64" s="36">
        <f>0</f>
        <v>0</v>
      </c>
      <c r="N64" s="36">
        <f>0</f>
        <v>0</v>
      </c>
      <c r="O64" s="36">
        <f>0</f>
        <v>0</v>
      </c>
      <c r="P64" s="36">
        <f>0</f>
        <v>0</v>
      </c>
      <c r="Q64" s="36">
        <f>0</f>
        <v>0</v>
      </c>
      <c r="R64" s="36">
        <f>0</f>
        <v>0</v>
      </c>
      <c r="S64" s="36">
        <f>0</f>
        <v>0</v>
      </c>
      <c r="T64" s="36">
        <f>0</f>
        <v>0</v>
      </c>
      <c r="U64" s="36">
        <f>0</f>
        <v>0</v>
      </c>
    </row>
    <row r="65" spans="1:21" ht="18" customHeight="1">
      <c r="A65" s="65" t="s">
        <v>159</v>
      </c>
      <c r="B65" s="101" t="s">
        <v>356</v>
      </c>
      <c r="C65" s="66" t="s">
        <v>160</v>
      </c>
      <c r="D65" s="32">
        <f>754548.64</f>
        <v>754548.64</v>
      </c>
      <c r="E65" s="33">
        <f>3638806.34</f>
        <v>3638806.34</v>
      </c>
      <c r="F65" s="33">
        <f>19320326</f>
        <v>19320326</v>
      </c>
      <c r="G65" s="34">
        <f>16269990.03</f>
        <v>16269990.029999999</v>
      </c>
      <c r="H65" s="35">
        <f>26103420</f>
        <v>26103420</v>
      </c>
      <c r="I65" s="36">
        <f>3090000</f>
        <v>3090000</v>
      </c>
      <c r="J65" s="36">
        <f>1200000</f>
        <v>1200000</v>
      </c>
      <c r="K65" s="36">
        <f>0</f>
        <v>0</v>
      </c>
      <c r="L65" s="36">
        <f>0</f>
        <v>0</v>
      </c>
      <c r="M65" s="36">
        <f>0</f>
        <v>0</v>
      </c>
      <c r="N65" s="36">
        <f>0</f>
        <v>0</v>
      </c>
      <c r="O65" s="36">
        <f>0</f>
        <v>0</v>
      </c>
      <c r="P65" s="36">
        <f>0</f>
        <v>0</v>
      </c>
      <c r="Q65" s="36">
        <f>0</f>
        <v>0</v>
      </c>
      <c r="R65" s="36">
        <f>0</f>
        <v>0</v>
      </c>
      <c r="S65" s="36">
        <f>0</f>
        <v>0</v>
      </c>
      <c r="T65" s="36">
        <f>0</f>
        <v>0</v>
      </c>
      <c r="U65" s="36">
        <f>0</f>
        <v>0</v>
      </c>
    </row>
    <row r="66" spans="1:21" ht="18" customHeight="1">
      <c r="A66" s="65" t="s">
        <v>161</v>
      </c>
      <c r="B66" s="101" t="s">
        <v>357</v>
      </c>
      <c r="C66" s="66" t="s">
        <v>162</v>
      </c>
      <c r="D66" s="32">
        <f>5975191.67</f>
        <v>5975191.6699999999</v>
      </c>
      <c r="E66" s="33">
        <f>4953899.43</f>
        <v>4953899.43</v>
      </c>
      <c r="F66" s="33">
        <f>8877262</f>
        <v>8877262</v>
      </c>
      <c r="G66" s="34">
        <f>8914706.04</f>
        <v>8914706.0399999991</v>
      </c>
      <c r="H66" s="35">
        <f>8204271</f>
        <v>8204271</v>
      </c>
      <c r="I66" s="36">
        <f>2872867</f>
        <v>2872867</v>
      </c>
      <c r="J66" s="36">
        <f>5188505</f>
        <v>5188505</v>
      </c>
      <c r="K66" s="36">
        <f>8452475</f>
        <v>8452475</v>
      </c>
      <c r="L66" s="36">
        <f>9843288</f>
        <v>9843288</v>
      </c>
      <c r="M66" s="36">
        <f>11940928</f>
        <v>11940928</v>
      </c>
      <c r="N66" s="36">
        <f>13206790</f>
        <v>13206790</v>
      </c>
      <c r="O66" s="36">
        <f>14629798</f>
        <v>14629798</v>
      </c>
      <c r="P66" s="36">
        <f>15900527</f>
        <v>15900527</v>
      </c>
      <c r="Q66" s="36">
        <f>17023234</f>
        <v>17023234</v>
      </c>
      <c r="R66" s="36">
        <f>18192574</f>
        <v>18192574</v>
      </c>
      <c r="S66" s="36">
        <f>20640786</f>
        <v>20640786</v>
      </c>
      <c r="T66" s="36">
        <f>22155227</f>
        <v>22155227</v>
      </c>
      <c r="U66" s="36">
        <f>22923022</f>
        <v>22923022</v>
      </c>
    </row>
    <row r="67" spans="1:21" ht="18" customHeight="1">
      <c r="A67" s="65" t="s">
        <v>163</v>
      </c>
      <c r="B67" s="101" t="s">
        <v>358</v>
      </c>
      <c r="C67" s="66" t="s">
        <v>164</v>
      </c>
      <c r="D67" s="32">
        <f>151426.54</f>
        <v>151426.54</v>
      </c>
      <c r="E67" s="33">
        <f>89494</f>
        <v>89494</v>
      </c>
      <c r="F67" s="33">
        <f>712834</f>
        <v>712834</v>
      </c>
      <c r="G67" s="34">
        <f>712834</f>
        <v>712834</v>
      </c>
      <c r="H67" s="35">
        <f>750077</f>
        <v>750077</v>
      </c>
      <c r="I67" s="36">
        <f>59665</f>
        <v>59665</v>
      </c>
      <c r="J67" s="36">
        <f>0</f>
        <v>0</v>
      </c>
      <c r="K67" s="36">
        <f>0</f>
        <v>0</v>
      </c>
      <c r="L67" s="36">
        <f>0</f>
        <v>0</v>
      </c>
      <c r="M67" s="36">
        <f>0</f>
        <v>0</v>
      </c>
      <c r="N67" s="36">
        <f>0</f>
        <v>0</v>
      </c>
      <c r="O67" s="36">
        <f>0</f>
        <v>0</v>
      </c>
      <c r="P67" s="36">
        <f>0</f>
        <v>0</v>
      </c>
      <c r="Q67" s="36">
        <f>0</f>
        <v>0</v>
      </c>
      <c r="R67" s="36">
        <f>0</f>
        <v>0</v>
      </c>
      <c r="S67" s="36">
        <f>0</f>
        <v>0</v>
      </c>
      <c r="T67" s="36">
        <f>0</f>
        <v>0</v>
      </c>
      <c r="U67" s="36">
        <f>0</f>
        <v>0</v>
      </c>
    </row>
    <row r="68" spans="1:21" ht="47.25" customHeight="1">
      <c r="A68" s="68">
        <v>12</v>
      </c>
      <c r="B68" s="99" t="s">
        <v>165</v>
      </c>
      <c r="C68" s="67" t="s">
        <v>165</v>
      </c>
      <c r="D68" s="37" t="s">
        <v>121</v>
      </c>
      <c r="E68" s="38" t="s">
        <v>121</v>
      </c>
      <c r="F68" s="38" t="s">
        <v>121</v>
      </c>
      <c r="G68" s="39" t="s">
        <v>121</v>
      </c>
      <c r="H68" s="40" t="s">
        <v>121</v>
      </c>
      <c r="I68" s="41" t="s">
        <v>121</v>
      </c>
      <c r="J68" s="41" t="s">
        <v>121</v>
      </c>
      <c r="K68" s="41" t="s">
        <v>121</v>
      </c>
      <c r="L68" s="41" t="s">
        <v>121</v>
      </c>
      <c r="M68" s="41" t="s">
        <v>121</v>
      </c>
      <c r="N68" s="41" t="s">
        <v>121</v>
      </c>
      <c r="O68" s="41" t="s">
        <v>121</v>
      </c>
      <c r="P68" s="41" t="s">
        <v>121</v>
      </c>
      <c r="Q68" s="41" t="s">
        <v>121</v>
      </c>
      <c r="R68" s="41" t="s">
        <v>121</v>
      </c>
      <c r="S68" s="41" t="s">
        <v>121</v>
      </c>
      <c r="T68" s="41" t="s">
        <v>121</v>
      </c>
      <c r="U68" s="41" t="s">
        <v>121</v>
      </c>
    </row>
    <row r="69" spans="1:21" ht="46.5" customHeight="1">
      <c r="A69" s="65" t="s">
        <v>166</v>
      </c>
      <c r="B69" s="101" t="s">
        <v>359</v>
      </c>
      <c r="C69" s="66" t="s">
        <v>167</v>
      </c>
      <c r="D69" s="32">
        <f>1464674.96</f>
        <v>1464674.96</v>
      </c>
      <c r="E69" s="33">
        <f>1030177.5</f>
        <v>1030177.5</v>
      </c>
      <c r="F69" s="33">
        <f>1195267</f>
        <v>1195267</v>
      </c>
      <c r="G69" s="34">
        <f>1117061.86</f>
        <v>1117061.8600000001</v>
      </c>
      <c r="H69" s="35">
        <f>1629440</f>
        <v>1629440</v>
      </c>
      <c r="I69" s="36">
        <f>2068369</f>
        <v>2068369</v>
      </c>
      <c r="J69" s="36">
        <f>1152585</f>
        <v>1152585</v>
      </c>
      <c r="K69" s="36">
        <f>0</f>
        <v>0</v>
      </c>
      <c r="L69" s="36">
        <f>0</f>
        <v>0</v>
      </c>
      <c r="M69" s="36">
        <f>0</f>
        <v>0</v>
      </c>
      <c r="N69" s="36">
        <f>0</f>
        <v>0</v>
      </c>
      <c r="O69" s="36">
        <f>0</f>
        <v>0</v>
      </c>
      <c r="P69" s="36">
        <f>0</f>
        <v>0</v>
      </c>
      <c r="Q69" s="36">
        <f>0</f>
        <v>0</v>
      </c>
      <c r="R69" s="36">
        <f>0</f>
        <v>0</v>
      </c>
      <c r="S69" s="36">
        <f>0</f>
        <v>0</v>
      </c>
      <c r="T69" s="36">
        <f>0</f>
        <v>0</v>
      </c>
      <c r="U69" s="36">
        <f>0</f>
        <v>0</v>
      </c>
    </row>
    <row r="70" spans="1:21" ht="37.5" customHeight="1">
      <c r="A70" s="65" t="s">
        <v>168</v>
      </c>
      <c r="B70" s="101" t="s">
        <v>360</v>
      </c>
      <c r="C70" s="70" t="s">
        <v>169</v>
      </c>
      <c r="D70" s="32">
        <f>1385887.31</f>
        <v>1385887.31</v>
      </c>
      <c r="E70" s="33">
        <f>1007962.48</f>
        <v>1007962.48</v>
      </c>
      <c r="F70" s="33">
        <f>1195267</f>
        <v>1195267</v>
      </c>
      <c r="G70" s="34">
        <f>1117061.86</f>
        <v>1117061.8600000001</v>
      </c>
      <c r="H70" s="35">
        <f>1564281</f>
        <v>1564281</v>
      </c>
      <c r="I70" s="36">
        <f>1930295</f>
        <v>1930295</v>
      </c>
      <c r="J70" s="36">
        <f>996720</f>
        <v>996720</v>
      </c>
      <c r="K70" s="36">
        <f>0</f>
        <v>0</v>
      </c>
      <c r="L70" s="36">
        <f>0</f>
        <v>0</v>
      </c>
      <c r="M70" s="36">
        <f>0</f>
        <v>0</v>
      </c>
      <c r="N70" s="36">
        <f>0</f>
        <v>0</v>
      </c>
      <c r="O70" s="36">
        <f>0</f>
        <v>0</v>
      </c>
      <c r="P70" s="36">
        <f>0</f>
        <v>0</v>
      </c>
      <c r="Q70" s="36">
        <f>0</f>
        <v>0</v>
      </c>
      <c r="R70" s="36">
        <f>0</f>
        <v>0</v>
      </c>
      <c r="S70" s="36">
        <f>0</f>
        <v>0</v>
      </c>
      <c r="T70" s="36">
        <f>0</f>
        <v>0</v>
      </c>
      <c r="U70" s="36">
        <f>0</f>
        <v>0</v>
      </c>
    </row>
    <row r="71" spans="1:21" ht="57.75" customHeight="1">
      <c r="A71" s="65" t="s">
        <v>170</v>
      </c>
      <c r="B71" s="101" t="s">
        <v>361</v>
      </c>
      <c r="C71" s="71" t="s">
        <v>171</v>
      </c>
      <c r="D71" s="32">
        <f>1385887.31</f>
        <v>1385887.31</v>
      </c>
      <c r="E71" s="33">
        <f>1007962.48</f>
        <v>1007962.48</v>
      </c>
      <c r="F71" s="33">
        <f>1195267</f>
        <v>1195267</v>
      </c>
      <c r="G71" s="34">
        <f>1117061.86</f>
        <v>1117061.8600000001</v>
      </c>
      <c r="H71" s="35">
        <f>1564281</f>
        <v>1564281</v>
      </c>
      <c r="I71" s="36">
        <f>1930295</f>
        <v>1930295</v>
      </c>
      <c r="J71" s="36">
        <f>996720</f>
        <v>996720</v>
      </c>
      <c r="K71" s="36">
        <f>0</f>
        <v>0</v>
      </c>
      <c r="L71" s="36">
        <f>0</f>
        <v>0</v>
      </c>
      <c r="M71" s="36">
        <f>0</f>
        <v>0</v>
      </c>
      <c r="N71" s="36">
        <f>0</f>
        <v>0</v>
      </c>
      <c r="O71" s="36">
        <f>0</f>
        <v>0</v>
      </c>
      <c r="P71" s="36">
        <f>0</f>
        <v>0</v>
      </c>
      <c r="Q71" s="36">
        <f>0</f>
        <v>0</v>
      </c>
      <c r="R71" s="36">
        <f>0</f>
        <v>0</v>
      </c>
      <c r="S71" s="36">
        <f>0</f>
        <v>0</v>
      </c>
      <c r="T71" s="36">
        <f>0</f>
        <v>0</v>
      </c>
      <c r="U71" s="36">
        <f>0</f>
        <v>0</v>
      </c>
    </row>
    <row r="72" spans="1:21" ht="46.5" customHeight="1">
      <c r="A72" s="65" t="s">
        <v>172</v>
      </c>
      <c r="B72" s="101" t="s">
        <v>362</v>
      </c>
      <c r="C72" s="66" t="s">
        <v>173</v>
      </c>
      <c r="D72" s="32">
        <f>0</f>
        <v>0</v>
      </c>
      <c r="E72" s="33">
        <f>0</f>
        <v>0</v>
      </c>
      <c r="F72" s="33">
        <f>940361</f>
        <v>940361</v>
      </c>
      <c r="G72" s="34">
        <f>181441</f>
        <v>181441</v>
      </c>
      <c r="H72" s="35">
        <f>586345</f>
        <v>586345</v>
      </c>
      <c r="I72" s="36">
        <f>0</f>
        <v>0</v>
      </c>
      <c r="J72" s="36">
        <f>0</f>
        <v>0</v>
      </c>
      <c r="K72" s="36">
        <f>0</f>
        <v>0</v>
      </c>
      <c r="L72" s="36">
        <f>0</f>
        <v>0</v>
      </c>
      <c r="M72" s="36">
        <f>0</f>
        <v>0</v>
      </c>
      <c r="N72" s="36">
        <f>0</f>
        <v>0</v>
      </c>
      <c r="O72" s="36">
        <f>0</f>
        <v>0</v>
      </c>
      <c r="P72" s="36">
        <f>0</f>
        <v>0</v>
      </c>
      <c r="Q72" s="36">
        <f>0</f>
        <v>0</v>
      </c>
      <c r="R72" s="36">
        <f>0</f>
        <v>0</v>
      </c>
      <c r="S72" s="36">
        <f>0</f>
        <v>0</v>
      </c>
      <c r="T72" s="36">
        <f>0</f>
        <v>0</v>
      </c>
      <c r="U72" s="36">
        <f>0</f>
        <v>0</v>
      </c>
    </row>
    <row r="73" spans="1:21" ht="36.75" customHeight="1">
      <c r="A73" s="65" t="s">
        <v>174</v>
      </c>
      <c r="B73" s="101" t="s">
        <v>363</v>
      </c>
      <c r="C73" s="70" t="s">
        <v>169</v>
      </c>
      <c r="D73" s="32">
        <f>0</f>
        <v>0</v>
      </c>
      <c r="E73" s="33">
        <f>0</f>
        <v>0</v>
      </c>
      <c r="F73" s="33">
        <f>676681</f>
        <v>676681</v>
      </c>
      <c r="G73" s="34">
        <f>1120</f>
        <v>1120</v>
      </c>
      <c r="H73" s="35">
        <f>586345</f>
        <v>586345</v>
      </c>
      <c r="I73" s="36">
        <f>0</f>
        <v>0</v>
      </c>
      <c r="J73" s="36">
        <f>0</f>
        <v>0</v>
      </c>
      <c r="K73" s="36">
        <f>0</f>
        <v>0</v>
      </c>
      <c r="L73" s="36">
        <f>0</f>
        <v>0</v>
      </c>
      <c r="M73" s="36">
        <f>0</f>
        <v>0</v>
      </c>
      <c r="N73" s="36">
        <f>0</f>
        <v>0</v>
      </c>
      <c r="O73" s="36">
        <f>0</f>
        <v>0</v>
      </c>
      <c r="P73" s="36">
        <f>0</f>
        <v>0</v>
      </c>
      <c r="Q73" s="36">
        <f>0</f>
        <v>0</v>
      </c>
      <c r="R73" s="36">
        <f>0</f>
        <v>0</v>
      </c>
      <c r="S73" s="36">
        <f>0</f>
        <v>0</v>
      </c>
      <c r="T73" s="36">
        <f>0</f>
        <v>0</v>
      </c>
      <c r="U73" s="36">
        <f>0</f>
        <v>0</v>
      </c>
    </row>
    <row r="74" spans="1:21" ht="64.5" customHeight="1">
      <c r="A74" s="65" t="s">
        <v>175</v>
      </c>
      <c r="B74" s="101" t="s">
        <v>364</v>
      </c>
      <c r="C74" s="71" t="s">
        <v>176</v>
      </c>
      <c r="D74" s="32">
        <f>0</f>
        <v>0</v>
      </c>
      <c r="E74" s="33">
        <f>0</f>
        <v>0</v>
      </c>
      <c r="F74" s="33">
        <f>676681</f>
        <v>676681</v>
      </c>
      <c r="G74" s="34">
        <f>1120</f>
        <v>1120</v>
      </c>
      <c r="H74" s="35">
        <f>586345</f>
        <v>586345</v>
      </c>
      <c r="I74" s="36">
        <f>0</f>
        <v>0</v>
      </c>
      <c r="J74" s="36">
        <f>0</f>
        <v>0</v>
      </c>
      <c r="K74" s="36">
        <f>0</f>
        <v>0</v>
      </c>
      <c r="L74" s="36">
        <f>0</f>
        <v>0</v>
      </c>
      <c r="M74" s="36">
        <f>0</f>
        <v>0</v>
      </c>
      <c r="N74" s="36">
        <f>0</f>
        <v>0</v>
      </c>
      <c r="O74" s="36">
        <f>0</f>
        <v>0</v>
      </c>
      <c r="P74" s="36">
        <f>0</f>
        <v>0</v>
      </c>
      <c r="Q74" s="36">
        <f>0</f>
        <v>0</v>
      </c>
      <c r="R74" s="36">
        <f>0</f>
        <v>0</v>
      </c>
      <c r="S74" s="36">
        <f>0</f>
        <v>0</v>
      </c>
      <c r="T74" s="36">
        <f>0</f>
        <v>0</v>
      </c>
      <c r="U74" s="36">
        <f>0</f>
        <v>0</v>
      </c>
    </row>
    <row r="75" spans="1:21" ht="45.75" customHeight="1">
      <c r="A75" s="65" t="s">
        <v>177</v>
      </c>
      <c r="B75" s="101" t="s">
        <v>365</v>
      </c>
      <c r="C75" s="66" t="s">
        <v>178</v>
      </c>
      <c r="D75" s="32">
        <f>1657551.81</f>
        <v>1657551.81</v>
      </c>
      <c r="E75" s="33">
        <f>860587.73</f>
        <v>860587.73</v>
      </c>
      <c r="F75" s="33">
        <f>1292496</f>
        <v>1292496</v>
      </c>
      <c r="G75" s="34">
        <f>1214289.48</f>
        <v>1214289.48</v>
      </c>
      <c r="H75" s="35">
        <f>1583823</f>
        <v>1583823</v>
      </c>
      <c r="I75" s="36">
        <f>2137456</f>
        <v>2137456</v>
      </c>
      <c r="J75" s="36">
        <f>1351557</f>
        <v>1351557</v>
      </c>
      <c r="K75" s="36">
        <f>0</f>
        <v>0</v>
      </c>
      <c r="L75" s="36">
        <f>0</f>
        <v>0</v>
      </c>
      <c r="M75" s="36">
        <f>0</f>
        <v>0</v>
      </c>
      <c r="N75" s="36">
        <f>0</f>
        <v>0</v>
      </c>
      <c r="O75" s="36">
        <f>0</f>
        <v>0</v>
      </c>
      <c r="P75" s="36">
        <f>0</f>
        <v>0</v>
      </c>
      <c r="Q75" s="36">
        <f>0</f>
        <v>0</v>
      </c>
      <c r="R75" s="36">
        <f>0</f>
        <v>0</v>
      </c>
      <c r="S75" s="36">
        <f>0</f>
        <v>0</v>
      </c>
      <c r="T75" s="36">
        <f>0</f>
        <v>0</v>
      </c>
      <c r="U75" s="36">
        <f>0</f>
        <v>0</v>
      </c>
    </row>
    <row r="76" spans="1:21" ht="35.25" customHeight="1">
      <c r="A76" s="65" t="s">
        <v>179</v>
      </c>
      <c r="B76" s="101" t="s">
        <v>366</v>
      </c>
      <c r="C76" s="70" t="s">
        <v>180</v>
      </c>
      <c r="D76" s="32">
        <f>1511772.32</f>
        <v>1511772.32</v>
      </c>
      <c r="E76" s="33">
        <f>860587.73</f>
        <v>860587.73</v>
      </c>
      <c r="F76" s="33">
        <f>1195267</f>
        <v>1195267</v>
      </c>
      <c r="G76" s="34">
        <f>1117060.7</f>
        <v>1117060.7</v>
      </c>
      <c r="H76" s="35">
        <f>1449213</f>
        <v>1449213</v>
      </c>
      <c r="I76" s="36">
        <f>1910591</f>
        <v>1910591</v>
      </c>
      <c r="J76" s="36">
        <f>1131492</f>
        <v>1131492</v>
      </c>
      <c r="K76" s="36">
        <f>0</f>
        <v>0</v>
      </c>
      <c r="L76" s="36">
        <f>0</f>
        <v>0</v>
      </c>
      <c r="M76" s="36">
        <f>0</f>
        <v>0</v>
      </c>
      <c r="N76" s="36">
        <f>0</f>
        <v>0</v>
      </c>
      <c r="O76" s="36">
        <f>0</f>
        <v>0</v>
      </c>
      <c r="P76" s="36">
        <f>0</f>
        <v>0</v>
      </c>
      <c r="Q76" s="36">
        <f>0</f>
        <v>0</v>
      </c>
      <c r="R76" s="36">
        <f>0</f>
        <v>0</v>
      </c>
      <c r="S76" s="36">
        <f>0</f>
        <v>0</v>
      </c>
      <c r="T76" s="36">
        <f>0</f>
        <v>0</v>
      </c>
      <c r="U76" s="36">
        <f>0</f>
        <v>0</v>
      </c>
    </row>
    <row r="77" spans="1:21" ht="74.25" customHeight="1">
      <c r="A77" s="65" t="s">
        <v>181</v>
      </c>
      <c r="B77" s="101" t="s">
        <v>367</v>
      </c>
      <c r="C77" s="64" t="s">
        <v>182</v>
      </c>
      <c r="D77" s="32">
        <f>1511772.32</f>
        <v>1511772.32</v>
      </c>
      <c r="E77" s="33">
        <f>860587.73</f>
        <v>860587.73</v>
      </c>
      <c r="F77" s="33">
        <f>1195267</f>
        <v>1195267</v>
      </c>
      <c r="G77" s="34">
        <f>1117060.7</f>
        <v>1117060.7</v>
      </c>
      <c r="H77" s="35">
        <f>1449213</f>
        <v>1449213</v>
      </c>
      <c r="I77" s="36">
        <f>1910591</f>
        <v>1910591</v>
      </c>
      <c r="J77" s="36">
        <f>1131492</f>
        <v>1131492</v>
      </c>
      <c r="K77" s="36">
        <f>0</f>
        <v>0</v>
      </c>
      <c r="L77" s="36">
        <f>0</f>
        <v>0</v>
      </c>
      <c r="M77" s="36">
        <f>0</f>
        <v>0</v>
      </c>
      <c r="N77" s="36">
        <f>0</f>
        <v>0</v>
      </c>
      <c r="O77" s="36">
        <f>0</f>
        <v>0</v>
      </c>
      <c r="P77" s="36">
        <f>0</f>
        <v>0</v>
      </c>
      <c r="Q77" s="36">
        <f>0</f>
        <v>0</v>
      </c>
      <c r="R77" s="36">
        <f>0</f>
        <v>0</v>
      </c>
      <c r="S77" s="36">
        <f>0</f>
        <v>0</v>
      </c>
      <c r="T77" s="36">
        <f>0</f>
        <v>0</v>
      </c>
      <c r="U77" s="36">
        <f>0</f>
        <v>0</v>
      </c>
    </row>
    <row r="78" spans="1:21" ht="47.25" customHeight="1">
      <c r="A78" s="65" t="s">
        <v>183</v>
      </c>
      <c r="B78" s="101" t="s">
        <v>368</v>
      </c>
      <c r="C78" s="66" t="s">
        <v>184</v>
      </c>
      <c r="D78" s="32">
        <f>117799.35</f>
        <v>117799.35</v>
      </c>
      <c r="E78" s="33">
        <f>11600</f>
        <v>11600</v>
      </c>
      <c r="F78" s="33">
        <f>1039997</f>
        <v>1039997</v>
      </c>
      <c r="G78" s="34">
        <f>861627.63</f>
        <v>861627.63</v>
      </c>
      <c r="H78" s="35">
        <f>215077</f>
        <v>215077</v>
      </c>
      <c r="I78" s="36">
        <f>59665</f>
        <v>59665</v>
      </c>
      <c r="J78" s="36">
        <f>0</f>
        <v>0</v>
      </c>
      <c r="K78" s="36">
        <f>0</f>
        <v>0</v>
      </c>
      <c r="L78" s="36">
        <f>0</f>
        <v>0</v>
      </c>
      <c r="M78" s="36">
        <f>0</f>
        <v>0</v>
      </c>
      <c r="N78" s="36">
        <f>0</f>
        <v>0</v>
      </c>
      <c r="O78" s="36">
        <f>0</f>
        <v>0</v>
      </c>
      <c r="P78" s="36">
        <f>0</f>
        <v>0</v>
      </c>
      <c r="Q78" s="36">
        <f>0</f>
        <v>0</v>
      </c>
      <c r="R78" s="36">
        <f>0</f>
        <v>0</v>
      </c>
      <c r="S78" s="36">
        <f>0</f>
        <v>0</v>
      </c>
      <c r="T78" s="36">
        <f>0</f>
        <v>0</v>
      </c>
      <c r="U78" s="36">
        <f>0</f>
        <v>0</v>
      </c>
    </row>
    <row r="79" spans="1:21" ht="34.5" customHeight="1">
      <c r="A79" s="65" t="s">
        <v>185</v>
      </c>
      <c r="B79" s="101" t="s">
        <v>369</v>
      </c>
      <c r="C79" s="70" t="s">
        <v>186</v>
      </c>
      <c r="D79" s="32">
        <f>0</f>
        <v>0</v>
      </c>
      <c r="E79" s="33">
        <f>1120</f>
        <v>1120</v>
      </c>
      <c r="F79" s="33">
        <f>675561</f>
        <v>675561</v>
      </c>
      <c r="G79" s="34">
        <f>586344.48</f>
        <v>586344.48</v>
      </c>
      <c r="H79" s="35">
        <f>0</f>
        <v>0</v>
      </c>
      <c r="I79" s="36">
        <f>0</f>
        <v>0</v>
      </c>
      <c r="J79" s="36">
        <f>0</f>
        <v>0</v>
      </c>
      <c r="K79" s="36">
        <f>0</f>
        <v>0</v>
      </c>
      <c r="L79" s="36">
        <f>0</f>
        <v>0</v>
      </c>
      <c r="M79" s="36">
        <f>0</f>
        <v>0</v>
      </c>
      <c r="N79" s="36">
        <f>0</f>
        <v>0</v>
      </c>
      <c r="O79" s="36">
        <f>0</f>
        <v>0</v>
      </c>
      <c r="P79" s="36">
        <f>0</f>
        <v>0</v>
      </c>
      <c r="Q79" s="36">
        <f>0</f>
        <v>0</v>
      </c>
      <c r="R79" s="36">
        <f>0</f>
        <v>0</v>
      </c>
      <c r="S79" s="36">
        <f>0</f>
        <v>0</v>
      </c>
      <c r="T79" s="36">
        <f>0</f>
        <v>0</v>
      </c>
      <c r="U79" s="36">
        <f>0</f>
        <v>0</v>
      </c>
    </row>
    <row r="80" spans="1:21" ht="60">
      <c r="A80" s="65" t="s">
        <v>187</v>
      </c>
      <c r="B80" s="101" t="s">
        <v>370</v>
      </c>
      <c r="C80" s="64" t="s">
        <v>188</v>
      </c>
      <c r="D80" s="32">
        <f>0</f>
        <v>0</v>
      </c>
      <c r="E80" s="33">
        <f>1120</f>
        <v>1120</v>
      </c>
      <c r="F80" s="33">
        <f>675561</f>
        <v>675561</v>
      </c>
      <c r="G80" s="34">
        <f>586344.48</f>
        <v>586344.48</v>
      </c>
      <c r="H80" s="35">
        <f>0</f>
        <v>0</v>
      </c>
      <c r="I80" s="36">
        <f>0</f>
        <v>0</v>
      </c>
      <c r="J80" s="36">
        <f>0</f>
        <v>0</v>
      </c>
      <c r="K80" s="36">
        <f>0</f>
        <v>0</v>
      </c>
      <c r="L80" s="36">
        <f>0</f>
        <v>0</v>
      </c>
      <c r="M80" s="36">
        <f>0</f>
        <v>0</v>
      </c>
      <c r="N80" s="36">
        <f>0</f>
        <v>0</v>
      </c>
      <c r="O80" s="36">
        <f>0</f>
        <v>0</v>
      </c>
      <c r="P80" s="36">
        <f>0</f>
        <v>0</v>
      </c>
      <c r="Q80" s="36">
        <f>0</f>
        <v>0</v>
      </c>
      <c r="R80" s="36">
        <f>0</f>
        <v>0</v>
      </c>
      <c r="S80" s="36">
        <f>0</f>
        <v>0</v>
      </c>
      <c r="T80" s="36">
        <f>0</f>
        <v>0</v>
      </c>
      <c r="U80" s="36">
        <f>0</f>
        <v>0</v>
      </c>
    </row>
    <row r="81" spans="1:21" ht="75" customHeight="1">
      <c r="A81" s="65" t="s">
        <v>189</v>
      </c>
      <c r="B81" s="101" t="s">
        <v>371</v>
      </c>
      <c r="C81" s="66" t="s">
        <v>190</v>
      </c>
      <c r="D81" s="32">
        <f>263578.84</f>
        <v>263578.84000000003</v>
      </c>
      <c r="E81" s="33">
        <f>10480</f>
        <v>10480</v>
      </c>
      <c r="F81" s="33">
        <f>461665</f>
        <v>461665</v>
      </c>
      <c r="G81" s="34">
        <f>372511.93</f>
        <v>372511.93</v>
      </c>
      <c r="H81" s="35">
        <f>349687</f>
        <v>349687</v>
      </c>
      <c r="I81" s="36">
        <f>286530</f>
        <v>286530</v>
      </c>
      <c r="J81" s="36">
        <f>220065</f>
        <v>220065</v>
      </c>
      <c r="K81" s="36">
        <f>0</f>
        <v>0</v>
      </c>
      <c r="L81" s="36">
        <f>0</f>
        <v>0</v>
      </c>
      <c r="M81" s="36">
        <f>0</f>
        <v>0</v>
      </c>
      <c r="N81" s="36">
        <f>0</f>
        <v>0</v>
      </c>
      <c r="O81" s="36">
        <f>0</f>
        <v>0</v>
      </c>
      <c r="P81" s="36">
        <f>0</f>
        <v>0</v>
      </c>
      <c r="Q81" s="36">
        <f>0</f>
        <v>0</v>
      </c>
      <c r="R81" s="36">
        <f>0</f>
        <v>0</v>
      </c>
      <c r="S81" s="36">
        <f>0</f>
        <v>0</v>
      </c>
      <c r="T81" s="36">
        <f>0</f>
        <v>0</v>
      </c>
      <c r="U81" s="36">
        <f>0</f>
        <v>0</v>
      </c>
    </row>
    <row r="82" spans="1:21" ht="44.25" customHeight="1">
      <c r="A82" s="65" t="s">
        <v>191</v>
      </c>
      <c r="B82" s="101" t="s">
        <v>372</v>
      </c>
      <c r="C82" s="64" t="s">
        <v>192</v>
      </c>
      <c r="D82" s="32">
        <f>263578.84</f>
        <v>263578.84000000003</v>
      </c>
      <c r="E82" s="33">
        <f>10480</f>
        <v>10480</v>
      </c>
      <c r="F82" s="33">
        <f>461665</f>
        <v>461665</v>
      </c>
      <c r="G82" s="34">
        <f>372511.93</f>
        <v>372511.93</v>
      </c>
      <c r="H82" s="35">
        <f>349687</f>
        <v>349687</v>
      </c>
      <c r="I82" s="36">
        <f>286530</f>
        <v>286530</v>
      </c>
      <c r="J82" s="36">
        <f>220065</f>
        <v>220065</v>
      </c>
      <c r="K82" s="36">
        <f>0</f>
        <v>0</v>
      </c>
      <c r="L82" s="36">
        <f>0</f>
        <v>0</v>
      </c>
      <c r="M82" s="36">
        <f>0</f>
        <v>0</v>
      </c>
      <c r="N82" s="36">
        <f>0</f>
        <v>0</v>
      </c>
      <c r="O82" s="36">
        <f>0</f>
        <v>0</v>
      </c>
      <c r="P82" s="36">
        <f>0</f>
        <v>0</v>
      </c>
      <c r="Q82" s="36">
        <f>0</f>
        <v>0</v>
      </c>
      <c r="R82" s="36">
        <f>0</f>
        <v>0</v>
      </c>
      <c r="S82" s="36">
        <f>0</f>
        <v>0</v>
      </c>
      <c r="T82" s="36">
        <f>0</f>
        <v>0</v>
      </c>
      <c r="U82" s="36">
        <f>0</f>
        <v>0</v>
      </c>
    </row>
    <row r="83" spans="1:21" ht="72" customHeight="1">
      <c r="A83" s="65" t="s">
        <v>193</v>
      </c>
      <c r="B83" s="101" t="s">
        <v>373</v>
      </c>
      <c r="C83" s="66" t="s">
        <v>194</v>
      </c>
      <c r="D83" s="32">
        <f>48172</f>
        <v>48172</v>
      </c>
      <c r="E83" s="33">
        <f>10480</f>
        <v>10480</v>
      </c>
      <c r="F83" s="33">
        <f>461665</f>
        <v>461665</v>
      </c>
      <c r="G83" s="34">
        <f>372511.93</f>
        <v>372511.93</v>
      </c>
      <c r="H83" s="35">
        <f>349687</f>
        <v>349687</v>
      </c>
      <c r="I83" s="36">
        <f>286530</f>
        <v>286530</v>
      </c>
      <c r="J83" s="36">
        <f>220065</f>
        <v>220065</v>
      </c>
      <c r="K83" s="36">
        <f>0</f>
        <v>0</v>
      </c>
      <c r="L83" s="36">
        <f>0</f>
        <v>0</v>
      </c>
      <c r="M83" s="36">
        <f>0</f>
        <v>0</v>
      </c>
      <c r="N83" s="36">
        <f>0</f>
        <v>0</v>
      </c>
      <c r="O83" s="36">
        <f>0</f>
        <v>0</v>
      </c>
      <c r="P83" s="36">
        <f>0</f>
        <v>0</v>
      </c>
      <c r="Q83" s="36">
        <f>0</f>
        <v>0</v>
      </c>
      <c r="R83" s="36">
        <f>0</f>
        <v>0</v>
      </c>
      <c r="S83" s="36">
        <f>0</f>
        <v>0</v>
      </c>
      <c r="T83" s="36">
        <f>0</f>
        <v>0</v>
      </c>
      <c r="U83" s="36">
        <f>0</f>
        <v>0</v>
      </c>
    </row>
    <row r="84" spans="1:21" ht="33.75" customHeight="1">
      <c r="A84" s="65" t="s">
        <v>195</v>
      </c>
      <c r="B84" s="101" t="s">
        <v>372</v>
      </c>
      <c r="C84" s="64" t="s">
        <v>192</v>
      </c>
      <c r="D84" s="32">
        <f>48172</f>
        <v>48172</v>
      </c>
      <c r="E84" s="33">
        <f>10480</f>
        <v>10480</v>
      </c>
      <c r="F84" s="33">
        <f>461665</f>
        <v>461665</v>
      </c>
      <c r="G84" s="34">
        <f>372511.93</f>
        <v>372511.93</v>
      </c>
      <c r="H84" s="35">
        <f>349687</f>
        <v>349687</v>
      </c>
      <c r="I84" s="36">
        <f>286530</f>
        <v>286530</v>
      </c>
      <c r="J84" s="36">
        <f>220065</f>
        <v>220065</v>
      </c>
      <c r="K84" s="36">
        <f>0</f>
        <v>0</v>
      </c>
      <c r="L84" s="36">
        <f>0</f>
        <v>0</v>
      </c>
      <c r="M84" s="36">
        <f>0</f>
        <v>0</v>
      </c>
      <c r="N84" s="36">
        <f>0</f>
        <v>0</v>
      </c>
      <c r="O84" s="36">
        <f>0</f>
        <v>0</v>
      </c>
      <c r="P84" s="36">
        <f>0</f>
        <v>0</v>
      </c>
      <c r="Q84" s="36">
        <f>0</f>
        <v>0</v>
      </c>
      <c r="R84" s="36">
        <f>0</f>
        <v>0</v>
      </c>
      <c r="S84" s="36">
        <f>0</f>
        <v>0</v>
      </c>
      <c r="T84" s="36">
        <f>0</f>
        <v>0</v>
      </c>
      <c r="U84" s="36">
        <f>0</f>
        <v>0</v>
      </c>
    </row>
    <row r="85" spans="1:21" ht="84">
      <c r="A85" s="65" t="s">
        <v>196</v>
      </c>
      <c r="B85" s="101" t="s">
        <v>374</v>
      </c>
      <c r="C85" s="66" t="s">
        <v>197</v>
      </c>
      <c r="D85" s="32">
        <f>0</f>
        <v>0</v>
      </c>
      <c r="E85" s="33">
        <f>0</f>
        <v>0</v>
      </c>
      <c r="F85" s="33">
        <f>0</f>
        <v>0</v>
      </c>
      <c r="G85" s="34">
        <f>0</f>
        <v>0</v>
      </c>
      <c r="H85" s="35">
        <f>0</f>
        <v>0</v>
      </c>
      <c r="I85" s="36">
        <f>0</f>
        <v>0</v>
      </c>
      <c r="J85" s="36">
        <f>0</f>
        <v>0</v>
      </c>
      <c r="K85" s="36">
        <f>0</f>
        <v>0</v>
      </c>
      <c r="L85" s="36">
        <f>0</f>
        <v>0</v>
      </c>
      <c r="M85" s="36">
        <f>0</f>
        <v>0</v>
      </c>
      <c r="N85" s="36">
        <f>0</f>
        <v>0</v>
      </c>
      <c r="O85" s="36">
        <f>0</f>
        <v>0</v>
      </c>
      <c r="P85" s="36">
        <f>0</f>
        <v>0</v>
      </c>
      <c r="Q85" s="36">
        <f>0</f>
        <v>0</v>
      </c>
      <c r="R85" s="36">
        <f>0</f>
        <v>0</v>
      </c>
      <c r="S85" s="36">
        <f>0</f>
        <v>0</v>
      </c>
      <c r="T85" s="36">
        <f>0</f>
        <v>0</v>
      </c>
      <c r="U85" s="36">
        <f>0</f>
        <v>0</v>
      </c>
    </row>
    <row r="86" spans="1:21" ht="33.75" customHeight="1">
      <c r="A86" s="65" t="s">
        <v>198</v>
      </c>
      <c r="B86" s="101" t="s">
        <v>372</v>
      </c>
      <c r="C86" s="64" t="s">
        <v>192</v>
      </c>
      <c r="D86" s="32">
        <f>0</f>
        <v>0</v>
      </c>
      <c r="E86" s="33">
        <f>0</f>
        <v>0</v>
      </c>
      <c r="F86" s="33">
        <f>0</f>
        <v>0</v>
      </c>
      <c r="G86" s="34">
        <f>0</f>
        <v>0</v>
      </c>
      <c r="H86" s="35">
        <f>0</f>
        <v>0</v>
      </c>
      <c r="I86" s="36">
        <f>0</f>
        <v>0</v>
      </c>
      <c r="J86" s="36">
        <f>0</f>
        <v>0</v>
      </c>
      <c r="K86" s="36">
        <f>0</f>
        <v>0</v>
      </c>
      <c r="L86" s="36">
        <f>0</f>
        <v>0</v>
      </c>
      <c r="M86" s="36">
        <f>0</f>
        <v>0</v>
      </c>
      <c r="N86" s="36">
        <f>0</f>
        <v>0</v>
      </c>
      <c r="O86" s="36">
        <f>0</f>
        <v>0</v>
      </c>
      <c r="P86" s="36">
        <f>0</f>
        <v>0</v>
      </c>
      <c r="Q86" s="36">
        <f>0</f>
        <v>0</v>
      </c>
      <c r="R86" s="36">
        <f>0</f>
        <v>0</v>
      </c>
      <c r="S86" s="36">
        <f>0</f>
        <v>0</v>
      </c>
      <c r="T86" s="36">
        <f>0</f>
        <v>0</v>
      </c>
      <c r="U86" s="36">
        <f>0</f>
        <v>0</v>
      </c>
    </row>
    <row r="87" spans="1:21" ht="91.5" customHeight="1">
      <c r="A87" s="65" t="s">
        <v>199</v>
      </c>
      <c r="B87" s="101" t="s">
        <v>375</v>
      </c>
      <c r="C87" s="66" t="s">
        <v>200</v>
      </c>
      <c r="D87" s="32">
        <f>0</f>
        <v>0</v>
      </c>
      <c r="E87" s="33">
        <f>0</f>
        <v>0</v>
      </c>
      <c r="F87" s="33">
        <f>0</f>
        <v>0</v>
      </c>
      <c r="G87" s="34">
        <f>0</f>
        <v>0</v>
      </c>
      <c r="H87" s="35">
        <f>0</f>
        <v>0</v>
      </c>
      <c r="I87" s="36">
        <f>0</f>
        <v>0</v>
      </c>
      <c r="J87" s="36">
        <f>0</f>
        <v>0</v>
      </c>
      <c r="K87" s="36">
        <f>0</f>
        <v>0</v>
      </c>
      <c r="L87" s="36">
        <f>0</f>
        <v>0</v>
      </c>
      <c r="M87" s="36">
        <f>0</f>
        <v>0</v>
      </c>
      <c r="N87" s="36">
        <f>0</f>
        <v>0</v>
      </c>
      <c r="O87" s="36">
        <f>0</f>
        <v>0</v>
      </c>
      <c r="P87" s="36">
        <f>0</f>
        <v>0</v>
      </c>
      <c r="Q87" s="36">
        <f>0</f>
        <v>0</v>
      </c>
      <c r="R87" s="36">
        <f>0</f>
        <v>0</v>
      </c>
      <c r="S87" s="36">
        <f>0</f>
        <v>0</v>
      </c>
      <c r="T87" s="36">
        <f>0</f>
        <v>0</v>
      </c>
      <c r="U87" s="36">
        <f>0</f>
        <v>0</v>
      </c>
    </row>
    <row r="88" spans="1:21" ht="34.5" customHeight="1">
      <c r="A88" s="65" t="s">
        <v>201</v>
      </c>
      <c r="B88" s="101" t="s">
        <v>372</v>
      </c>
      <c r="C88" s="64" t="s">
        <v>192</v>
      </c>
      <c r="D88" s="32">
        <f>0</f>
        <v>0</v>
      </c>
      <c r="E88" s="33">
        <f>0</f>
        <v>0</v>
      </c>
      <c r="F88" s="33">
        <f>0</f>
        <v>0</v>
      </c>
      <c r="G88" s="34">
        <f>0</f>
        <v>0</v>
      </c>
      <c r="H88" s="35">
        <f>0</f>
        <v>0</v>
      </c>
      <c r="I88" s="36">
        <f>0</f>
        <v>0</v>
      </c>
      <c r="J88" s="36">
        <f>0</f>
        <v>0</v>
      </c>
      <c r="K88" s="36">
        <f>0</f>
        <v>0</v>
      </c>
      <c r="L88" s="36">
        <f>0</f>
        <v>0</v>
      </c>
      <c r="M88" s="36">
        <f>0</f>
        <v>0</v>
      </c>
      <c r="N88" s="36">
        <f>0</f>
        <v>0</v>
      </c>
      <c r="O88" s="36">
        <f>0</f>
        <v>0</v>
      </c>
      <c r="P88" s="36">
        <f>0</f>
        <v>0</v>
      </c>
      <c r="Q88" s="36">
        <f>0</f>
        <v>0</v>
      </c>
      <c r="R88" s="36">
        <f>0</f>
        <v>0</v>
      </c>
      <c r="S88" s="36">
        <f>0</f>
        <v>0</v>
      </c>
      <c r="T88" s="36">
        <f>0</f>
        <v>0</v>
      </c>
      <c r="U88" s="36">
        <f>0</f>
        <v>0</v>
      </c>
    </row>
    <row r="89" spans="1:21" ht="54" customHeight="1">
      <c r="A89" s="68">
        <v>13</v>
      </c>
      <c r="B89" s="99" t="s">
        <v>202</v>
      </c>
      <c r="C89" s="69" t="s">
        <v>202</v>
      </c>
      <c r="D89" s="37" t="s">
        <v>121</v>
      </c>
      <c r="E89" s="38" t="s">
        <v>121</v>
      </c>
      <c r="F89" s="38" t="s">
        <v>121</v>
      </c>
      <c r="G89" s="39" t="s">
        <v>121</v>
      </c>
      <c r="H89" s="40" t="s">
        <v>121</v>
      </c>
      <c r="I89" s="41" t="s">
        <v>121</v>
      </c>
      <c r="J89" s="41" t="s">
        <v>121</v>
      </c>
      <c r="K89" s="41" t="s">
        <v>121</v>
      </c>
      <c r="L89" s="41" t="s">
        <v>121</v>
      </c>
      <c r="M89" s="41" t="s">
        <v>121</v>
      </c>
      <c r="N89" s="41" t="s">
        <v>121</v>
      </c>
      <c r="O89" s="41" t="s">
        <v>121</v>
      </c>
      <c r="P89" s="41" t="s">
        <v>121</v>
      </c>
      <c r="Q89" s="41" t="s">
        <v>121</v>
      </c>
      <c r="R89" s="41" t="s">
        <v>121</v>
      </c>
      <c r="S89" s="41" t="s">
        <v>121</v>
      </c>
      <c r="T89" s="41" t="s">
        <v>121</v>
      </c>
      <c r="U89" s="41" t="s">
        <v>121</v>
      </c>
    </row>
    <row r="90" spans="1:21" ht="72.75" customHeight="1">
      <c r="A90" s="65" t="s">
        <v>203</v>
      </c>
      <c r="B90" s="101" t="s">
        <v>376</v>
      </c>
      <c r="C90" s="66" t="s">
        <v>204</v>
      </c>
      <c r="D90" s="32">
        <f>3928571.45</f>
        <v>3928571.45</v>
      </c>
      <c r="E90" s="33">
        <f>3273809.57</f>
        <v>3273809.57</v>
      </c>
      <c r="F90" s="33">
        <f>2619048</f>
        <v>2619048</v>
      </c>
      <c r="G90" s="34">
        <f>2619047.69</f>
        <v>2619047.69</v>
      </c>
      <c r="H90" s="35">
        <f>1964286</f>
        <v>1964286</v>
      </c>
      <c r="I90" s="36">
        <f>1309524</f>
        <v>1309524</v>
      </c>
      <c r="J90" s="36">
        <f>654762</f>
        <v>654762</v>
      </c>
      <c r="K90" s="36">
        <f>0</f>
        <v>0</v>
      </c>
      <c r="L90" s="36">
        <f>0</f>
        <v>0</v>
      </c>
      <c r="M90" s="36">
        <f>0</f>
        <v>0</v>
      </c>
      <c r="N90" s="36">
        <f>0</f>
        <v>0</v>
      </c>
      <c r="O90" s="36">
        <f>0</f>
        <v>0</v>
      </c>
      <c r="P90" s="36">
        <f>0</f>
        <v>0</v>
      </c>
      <c r="Q90" s="36">
        <f>0</f>
        <v>0</v>
      </c>
      <c r="R90" s="36">
        <f>0</f>
        <v>0</v>
      </c>
      <c r="S90" s="36">
        <f>0</f>
        <v>0</v>
      </c>
      <c r="T90" s="36">
        <f>0</f>
        <v>0</v>
      </c>
      <c r="U90" s="36">
        <f>0</f>
        <v>0</v>
      </c>
    </row>
    <row r="91" spans="1:21" ht="68.25" customHeight="1">
      <c r="A91" s="65" t="s">
        <v>205</v>
      </c>
      <c r="B91" s="101" t="s">
        <v>377</v>
      </c>
      <c r="C91" s="66" t="s">
        <v>206</v>
      </c>
      <c r="D91" s="32">
        <f>0</f>
        <v>0</v>
      </c>
      <c r="E91" s="33">
        <f>0</f>
        <v>0</v>
      </c>
      <c r="F91" s="33">
        <f>0</f>
        <v>0</v>
      </c>
      <c r="G91" s="34">
        <f>0</f>
        <v>0</v>
      </c>
      <c r="H91" s="35">
        <f>0</f>
        <v>0</v>
      </c>
      <c r="I91" s="36">
        <f>0</f>
        <v>0</v>
      </c>
      <c r="J91" s="36">
        <f>0</f>
        <v>0</v>
      </c>
      <c r="K91" s="36">
        <f>0</f>
        <v>0</v>
      </c>
      <c r="L91" s="36">
        <f>0</f>
        <v>0</v>
      </c>
      <c r="M91" s="36">
        <f>0</f>
        <v>0</v>
      </c>
      <c r="N91" s="36">
        <f>0</f>
        <v>0</v>
      </c>
      <c r="O91" s="36">
        <f>0</f>
        <v>0</v>
      </c>
      <c r="P91" s="36">
        <f>0</f>
        <v>0</v>
      </c>
      <c r="Q91" s="36">
        <f>0</f>
        <v>0</v>
      </c>
      <c r="R91" s="36">
        <f>0</f>
        <v>0</v>
      </c>
      <c r="S91" s="36">
        <f>0</f>
        <v>0</v>
      </c>
      <c r="T91" s="36">
        <f>0</f>
        <v>0</v>
      </c>
      <c r="U91" s="36">
        <f>0</f>
        <v>0</v>
      </c>
    </row>
    <row r="92" spans="1:21" ht="56.25" customHeight="1">
      <c r="A92" s="65" t="s">
        <v>207</v>
      </c>
      <c r="B92" s="101" t="s">
        <v>378</v>
      </c>
      <c r="C92" s="66" t="s">
        <v>208</v>
      </c>
      <c r="D92" s="32">
        <f>0</f>
        <v>0</v>
      </c>
      <c r="E92" s="33">
        <f>0</f>
        <v>0</v>
      </c>
      <c r="F92" s="33">
        <f>0</f>
        <v>0</v>
      </c>
      <c r="G92" s="34">
        <f>0</f>
        <v>0</v>
      </c>
      <c r="H92" s="35">
        <f>0</f>
        <v>0</v>
      </c>
      <c r="I92" s="36">
        <f>0</f>
        <v>0</v>
      </c>
      <c r="J92" s="36">
        <f>0</f>
        <v>0</v>
      </c>
      <c r="K92" s="36">
        <f>0</f>
        <v>0</v>
      </c>
      <c r="L92" s="36">
        <f>0</f>
        <v>0</v>
      </c>
      <c r="M92" s="36">
        <f>0</f>
        <v>0</v>
      </c>
      <c r="N92" s="36">
        <f>0</f>
        <v>0</v>
      </c>
      <c r="O92" s="36">
        <f>0</f>
        <v>0</v>
      </c>
      <c r="P92" s="36">
        <f>0</f>
        <v>0</v>
      </c>
      <c r="Q92" s="36">
        <f>0</f>
        <v>0</v>
      </c>
      <c r="R92" s="36">
        <f>0</f>
        <v>0</v>
      </c>
      <c r="S92" s="36">
        <f>0</f>
        <v>0</v>
      </c>
      <c r="T92" s="36">
        <f>0</f>
        <v>0</v>
      </c>
      <c r="U92" s="36">
        <f>0</f>
        <v>0</v>
      </c>
    </row>
    <row r="93" spans="1:21" ht="69.75" customHeight="1">
      <c r="A93" s="65" t="s">
        <v>209</v>
      </c>
      <c r="B93" s="101" t="s">
        <v>379</v>
      </c>
      <c r="C93" s="66" t="s">
        <v>210</v>
      </c>
      <c r="D93" s="32">
        <f>2233504.87</f>
        <v>2233504.87</v>
      </c>
      <c r="E93" s="33">
        <f>654761.88</f>
        <v>654761.88</v>
      </c>
      <c r="F93" s="33">
        <f>654762</f>
        <v>654762</v>
      </c>
      <c r="G93" s="34">
        <f>654761.88</f>
        <v>654761.88</v>
      </c>
      <c r="H93" s="35">
        <f>654762</f>
        <v>654762</v>
      </c>
      <c r="I93" s="36">
        <f>654762</f>
        <v>654762</v>
      </c>
      <c r="J93" s="36">
        <f>654762</f>
        <v>654762</v>
      </c>
      <c r="K93" s="36">
        <f>654762</f>
        <v>654762</v>
      </c>
      <c r="L93" s="36">
        <f>0</f>
        <v>0</v>
      </c>
      <c r="M93" s="36">
        <f>0</f>
        <v>0</v>
      </c>
      <c r="N93" s="36">
        <f>0</f>
        <v>0</v>
      </c>
      <c r="O93" s="36">
        <f>0</f>
        <v>0</v>
      </c>
      <c r="P93" s="36">
        <f>0</f>
        <v>0</v>
      </c>
      <c r="Q93" s="36">
        <f>0</f>
        <v>0</v>
      </c>
      <c r="R93" s="36">
        <f>0</f>
        <v>0</v>
      </c>
      <c r="S93" s="36">
        <f>0</f>
        <v>0</v>
      </c>
      <c r="T93" s="36">
        <f>0</f>
        <v>0</v>
      </c>
      <c r="U93" s="36">
        <f>0</f>
        <v>0</v>
      </c>
    </row>
    <row r="94" spans="1:21" ht="69" customHeight="1">
      <c r="A94" s="65" t="s">
        <v>211</v>
      </c>
      <c r="B94" s="101" t="s">
        <v>380</v>
      </c>
      <c r="C94" s="66" t="s">
        <v>212</v>
      </c>
      <c r="D94" s="32">
        <f>0</f>
        <v>0</v>
      </c>
      <c r="E94" s="33">
        <f>0</f>
        <v>0</v>
      </c>
      <c r="F94" s="33">
        <f>0</f>
        <v>0</v>
      </c>
      <c r="G94" s="34">
        <f>0</f>
        <v>0</v>
      </c>
      <c r="H94" s="35">
        <f>0</f>
        <v>0</v>
      </c>
      <c r="I94" s="36">
        <f>0</f>
        <v>0</v>
      </c>
      <c r="J94" s="36">
        <f>0</f>
        <v>0</v>
      </c>
      <c r="K94" s="36">
        <f>0</f>
        <v>0</v>
      </c>
      <c r="L94" s="36">
        <f>0</f>
        <v>0</v>
      </c>
      <c r="M94" s="36">
        <f>0</f>
        <v>0</v>
      </c>
      <c r="N94" s="36">
        <f>0</f>
        <v>0</v>
      </c>
      <c r="O94" s="36">
        <f>0</f>
        <v>0</v>
      </c>
      <c r="P94" s="36">
        <f>0</f>
        <v>0</v>
      </c>
      <c r="Q94" s="36">
        <f>0</f>
        <v>0</v>
      </c>
      <c r="R94" s="36">
        <f>0</f>
        <v>0</v>
      </c>
      <c r="S94" s="36">
        <f>0</f>
        <v>0</v>
      </c>
      <c r="T94" s="36">
        <f>0</f>
        <v>0</v>
      </c>
      <c r="U94" s="36">
        <f>0</f>
        <v>0</v>
      </c>
    </row>
    <row r="95" spans="1:21" ht="60" customHeight="1">
      <c r="A95" s="65" t="s">
        <v>213</v>
      </c>
      <c r="B95" s="101" t="s">
        <v>381</v>
      </c>
      <c r="C95" s="66" t="s">
        <v>214</v>
      </c>
      <c r="D95" s="32">
        <f>0</f>
        <v>0</v>
      </c>
      <c r="E95" s="33">
        <f>0</f>
        <v>0</v>
      </c>
      <c r="F95" s="33">
        <f>0</f>
        <v>0</v>
      </c>
      <c r="G95" s="34">
        <f>0</f>
        <v>0</v>
      </c>
      <c r="H95" s="35">
        <f>0</f>
        <v>0</v>
      </c>
      <c r="I95" s="36">
        <f>0</f>
        <v>0</v>
      </c>
      <c r="J95" s="36">
        <f>0</f>
        <v>0</v>
      </c>
      <c r="K95" s="36">
        <f>0</f>
        <v>0</v>
      </c>
      <c r="L95" s="36">
        <f>0</f>
        <v>0</v>
      </c>
      <c r="M95" s="36">
        <f>0</f>
        <v>0</v>
      </c>
      <c r="N95" s="36">
        <f>0</f>
        <v>0</v>
      </c>
      <c r="O95" s="36">
        <f>0</f>
        <v>0</v>
      </c>
      <c r="P95" s="36">
        <f>0</f>
        <v>0</v>
      </c>
      <c r="Q95" s="36">
        <f>0</f>
        <v>0</v>
      </c>
      <c r="R95" s="36">
        <f>0</f>
        <v>0</v>
      </c>
      <c r="S95" s="36">
        <f>0</f>
        <v>0</v>
      </c>
      <c r="T95" s="36">
        <f>0</f>
        <v>0</v>
      </c>
      <c r="U95" s="36">
        <f>0</f>
        <v>0</v>
      </c>
    </row>
    <row r="96" spans="1:21" ht="48.75" customHeight="1">
      <c r="A96" s="65" t="s">
        <v>215</v>
      </c>
      <c r="B96" s="101" t="s">
        <v>382</v>
      </c>
      <c r="C96" s="66" t="s">
        <v>216</v>
      </c>
      <c r="D96" s="32">
        <f>0</f>
        <v>0</v>
      </c>
      <c r="E96" s="33">
        <f>0</f>
        <v>0</v>
      </c>
      <c r="F96" s="33">
        <f>0</f>
        <v>0</v>
      </c>
      <c r="G96" s="34">
        <f>0</f>
        <v>0</v>
      </c>
      <c r="H96" s="35">
        <f>0</f>
        <v>0</v>
      </c>
      <c r="I96" s="36">
        <f>0</f>
        <v>0</v>
      </c>
      <c r="J96" s="36">
        <f>0</f>
        <v>0</v>
      </c>
      <c r="K96" s="36">
        <f>0</f>
        <v>0</v>
      </c>
      <c r="L96" s="36">
        <f>0</f>
        <v>0</v>
      </c>
      <c r="M96" s="36">
        <f>0</f>
        <v>0</v>
      </c>
      <c r="N96" s="36">
        <f>0</f>
        <v>0</v>
      </c>
      <c r="O96" s="36">
        <f>0</f>
        <v>0</v>
      </c>
      <c r="P96" s="36">
        <f>0</f>
        <v>0</v>
      </c>
      <c r="Q96" s="36">
        <f>0</f>
        <v>0</v>
      </c>
      <c r="R96" s="36">
        <f>0</f>
        <v>0</v>
      </c>
      <c r="S96" s="36">
        <f>0</f>
        <v>0</v>
      </c>
      <c r="T96" s="36">
        <f>0</f>
        <v>0</v>
      </c>
      <c r="U96" s="36">
        <f>0</f>
        <v>0</v>
      </c>
    </row>
    <row r="97" spans="1:21" ht="20.25" customHeight="1">
      <c r="A97" s="68">
        <v>14</v>
      </c>
      <c r="B97" s="99" t="s">
        <v>217</v>
      </c>
      <c r="C97" s="67" t="s">
        <v>217</v>
      </c>
      <c r="D97" s="37" t="s">
        <v>121</v>
      </c>
      <c r="E97" s="38" t="s">
        <v>121</v>
      </c>
      <c r="F97" s="38" t="s">
        <v>121</v>
      </c>
      <c r="G97" s="39" t="s">
        <v>121</v>
      </c>
      <c r="H97" s="40" t="s">
        <v>121</v>
      </c>
      <c r="I97" s="41" t="s">
        <v>121</v>
      </c>
      <c r="J97" s="41" t="s">
        <v>121</v>
      </c>
      <c r="K97" s="41" t="s">
        <v>121</v>
      </c>
      <c r="L97" s="41" t="s">
        <v>121</v>
      </c>
      <c r="M97" s="41" t="s">
        <v>121</v>
      </c>
      <c r="N97" s="41" t="s">
        <v>121</v>
      </c>
      <c r="O97" s="41" t="s">
        <v>121</v>
      </c>
      <c r="P97" s="41" t="s">
        <v>121</v>
      </c>
      <c r="Q97" s="41" t="s">
        <v>121</v>
      </c>
      <c r="R97" s="41" t="s">
        <v>121</v>
      </c>
      <c r="S97" s="41" t="s">
        <v>121</v>
      </c>
      <c r="T97" s="41" t="s">
        <v>121</v>
      </c>
      <c r="U97" s="41" t="s">
        <v>121</v>
      </c>
    </row>
    <row r="98" spans="1:21" ht="57" customHeight="1">
      <c r="A98" s="65" t="s">
        <v>218</v>
      </c>
      <c r="B98" s="101" t="s">
        <v>383</v>
      </c>
      <c r="C98" s="66" t="s">
        <v>219</v>
      </c>
      <c r="D98" s="32">
        <f>7257180.85</f>
        <v>7257180.8499999996</v>
      </c>
      <c r="E98" s="33">
        <f>7229323</f>
        <v>7229323</v>
      </c>
      <c r="F98" s="33">
        <f>6677276</f>
        <v>6677276</v>
      </c>
      <c r="G98" s="34">
        <f>6677276</f>
        <v>6677276</v>
      </c>
      <c r="H98" s="35">
        <f>6560935</f>
        <v>6560935</v>
      </c>
      <c r="I98" s="36">
        <f>5588270</f>
        <v>5588270</v>
      </c>
      <c r="J98" s="36">
        <f>4864612</f>
        <v>4864612</v>
      </c>
      <c r="K98" s="36">
        <f>3842000</f>
        <v>3842000</v>
      </c>
      <c r="L98" s="36">
        <f>3942000</f>
        <v>3942000</v>
      </c>
      <c r="M98" s="36">
        <f>3192000</f>
        <v>3192000</v>
      </c>
      <c r="N98" s="36">
        <f>3192000</f>
        <v>3192000</v>
      </c>
      <c r="O98" s="36">
        <f>3292000</f>
        <v>3292000</v>
      </c>
      <c r="P98" s="36">
        <f>2500000</f>
        <v>2500000</v>
      </c>
      <c r="Q98" s="36">
        <f>2500000</f>
        <v>2500000</v>
      </c>
      <c r="R98" s="36">
        <f>2500000</f>
        <v>2500000</v>
      </c>
      <c r="S98" s="36">
        <f>1000000</f>
        <v>1000000</v>
      </c>
      <c r="T98" s="36">
        <f>400000</f>
        <v>400000</v>
      </c>
      <c r="U98" s="36">
        <f>400000</f>
        <v>400000</v>
      </c>
    </row>
    <row r="99" spans="1:21" ht="33" customHeight="1">
      <c r="A99" s="65" t="s">
        <v>220</v>
      </c>
      <c r="B99" s="101" t="s">
        <v>384</v>
      </c>
      <c r="C99" s="66" t="s">
        <v>221</v>
      </c>
      <c r="D99" s="32">
        <f>3928571.45</f>
        <v>3928571.45</v>
      </c>
      <c r="E99" s="33">
        <f>3273809.57</f>
        <v>3273809.57</v>
      </c>
      <c r="F99" s="33">
        <f>2619048</f>
        <v>2619048</v>
      </c>
      <c r="G99" s="34">
        <f>2619047.69</f>
        <v>2619047.69</v>
      </c>
      <c r="H99" s="35">
        <f>1964286</f>
        <v>1964286</v>
      </c>
      <c r="I99" s="36">
        <f>1309524</f>
        <v>1309524</v>
      </c>
      <c r="J99" s="36">
        <f>654762</f>
        <v>654762</v>
      </c>
      <c r="K99" s="36">
        <f>0</f>
        <v>0</v>
      </c>
      <c r="L99" s="36">
        <f>0</f>
        <v>0</v>
      </c>
      <c r="M99" s="36">
        <f>0</f>
        <v>0</v>
      </c>
      <c r="N99" s="36">
        <f>0</f>
        <v>0</v>
      </c>
      <c r="O99" s="36">
        <f>0</f>
        <v>0</v>
      </c>
      <c r="P99" s="36">
        <f>0</f>
        <v>0</v>
      </c>
      <c r="Q99" s="36">
        <f>0</f>
        <v>0</v>
      </c>
      <c r="R99" s="36">
        <f>0</f>
        <v>0</v>
      </c>
      <c r="S99" s="36">
        <f>0</f>
        <v>0</v>
      </c>
      <c r="T99" s="36">
        <f>0</f>
        <v>0</v>
      </c>
      <c r="U99" s="36">
        <f>0</f>
        <v>0</v>
      </c>
    </row>
    <row r="100" spans="1:21" ht="18.75" customHeight="1">
      <c r="A100" s="65" t="s">
        <v>222</v>
      </c>
      <c r="B100" s="101" t="s">
        <v>385</v>
      </c>
      <c r="C100" s="66" t="s">
        <v>223</v>
      </c>
      <c r="D100" s="32">
        <f>2233504.87</f>
        <v>2233504.87</v>
      </c>
      <c r="E100" s="33">
        <f>654761.88</f>
        <v>654761.88</v>
      </c>
      <c r="F100" s="33">
        <f>654762</f>
        <v>654762</v>
      </c>
      <c r="G100" s="34">
        <f>654761.88</f>
        <v>654761.88</v>
      </c>
      <c r="H100" s="35">
        <f>654762</f>
        <v>654762</v>
      </c>
      <c r="I100" s="36">
        <f>654762</f>
        <v>654762</v>
      </c>
      <c r="J100" s="36">
        <f>654762</f>
        <v>654762</v>
      </c>
      <c r="K100" s="36">
        <f>654762</f>
        <v>654762</v>
      </c>
      <c r="L100" s="36">
        <f>0</f>
        <v>0</v>
      </c>
      <c r="M100" s="36">
        <f>0</f>
        <v>0</v>
      </c>
      <c r="N100" s="36">
        <f>0</f>
        <v>0</v>
      </c>
      <c r="O100" s="36">
        <f>0</f>
        <v>0</v>
      </c>
      <c r="P100" s="36">
        <f>0</f>
        <v>0</v>
      </c>
      <c r="Q100" s="36">
        <f>0</f>
        <v>0</v>
      </c>
      <c r="R100" s="36">
        <f>0</f>
        <v>0</v>
      </c>
      <c r="S100" s="36">
        <f>0</f>
        <v>0</v>
      </c>
      <c r="T100" s="36">
        <f>0</f>
        <v>0</v>
      </c>
      <c r="U100" s="36">
        <f>0</f>
        <v>0</v>
      </c>
    </row>
    <row r="101" spans="1:21" ht="30" customHeight="1">
      <c r="A101" s="65" t="s">
        <v>224</v>
      </c>
      <c r="B101" s="101" t="s">
        <v>386</v>
      </c>
      <c r="C101" s="64" t="s">
        <v>225</v>
      </c>
      <c r="D101" s="32">
        <f>0</f>
        <v>0</v>
      </c>
      <c r="E101" s="33">
        <f>0</f>
        <v>0</v>
      </c>
      <c r="F101" s="33">
        <f>0</f>
        <v>0</v>
      </c>
      <c r="G101" s="34">
        <f>0</f>
        <v>0</v>
      </c>
      <c r="H101" s="35">
        <f>0</f>
        <v>0</v>
      </c>
      <c r="I101" s="36">
        <f>0</f>
        <v>0</v>
      </c>
      <c r="J101" s="36">
        <f>0</f>
        <v>0</v>
      </c>
      <c r="K101" s="36">
        <f>0</f>
        <v>0</v>
      </c>
      <c r="L101" s="36">
        <f>0</f>
        <v>0</v>
      </c>
      <c r="M101" s="36">
        <f>0</f>
        <v>0</v>
      </c>
      <c r="N101" s="36">
        <f>0</f>
        <v>0</v>
      </c>
      <c r="O101" s="36">
        <f>0</f>
        <v>0</v>
      </c>
      <c r="P101" s="36">
        <f>0</f>
        <v>0</v>
      </c>
      <c r="Q101" s="36">
        <f>0</f>
        <v>0</v>
      </c>
      <c r="R101" s="36">
        <f>0</f>
        <v>0</v>
      </c>
      <c r="S101" s="36">
        <f>0</f>
        <v>0</v>
      </c>
      <c r="T101" s="36">
        <f>0</f>
        <v>0</v>
      </c>
      <c r="U101" s="36">
        <f>0</f>
        <v>0</v>
      </c>
    </row>
    <row r="102" spans="1:21" ht="42" customHeight="1">
      <c r="A102" s="65" t="s">
        <v>226</v>
      </c>
      <c r="B102" s="101" t="s">
        <v>387</v>
      </c>
      <c r="C102" s="64" t="s">
        <v>227</v>
      </c>
      <c r="D102" s="32">
        <f>2233504.87</f>
        <v>2233504.87</v>
      </c>
      <c r="E102" s="33">
        <f>654761.88</f>
        <v>654761.88</v>
      </c>
      <c r="F102" s="33">
        <f>654762</f>
        <v>654762</v>
      </c>
      <c r="G102" s="34">
        <f>654761.88</f>
        <v>654761.88</v>
      </c>
      <c r="H102" s="35">
        <f>654762</f>
        <v>654762</v>
      </c>
      <c r="I102" s="36">
        <f>654762</f>
        <v>654762</v>
      </c>
      <c r="J102" s="36">
        <f>654762</f>
        <v>654762</v>
      </c>
      <c r="K102" s="36">
        <f>654762</f>
        <v>654762</v>
      </c>
      <c r="L102" s="36">
        <f>0</f>
        <v>0</v>
      </c>
      <c r="M102" s="36">
        <f>0</f>
        <v>0</v>
      </c>
      <c r="N102" s="36">
        <f>0</f>
        <v>0</v>
      </c>
      <c r="O102" s="36">
        <f>0</f>
        <v>0</v>
      </c>
      <c r="P102" s="36">
        <f>0</f>
        <v>0</v>
      </c>
      <c r="Q102" s="36">
        <f>0</f>
        <v>0</v>
      </c>
      <c r="R102" s="36">
        <f>0</f>
        <v>0</v>
      </c>
      <c r="S102" s="36">
        <f>0</f>
        <v>0</v>
      </c>
      <c r="T102" s="36">
        <f>0</f>
        <v>0</v>
      </c>
      <c r="U102" s="36">
        <f>0</f>
        <v>0</v>
      </c>
    </row>
    <row r="103" spans="1:21" ht="30.75" customHeight="1">
      <c r="A103" s="65" t="s">
        <v>228</v>
      </c>
      <c r="B103" s="101" t="s">
        <v>388</v>
      </c>
      <c r="C103" s="64" t="s">
        <v>229</v>
      </c>
      <c r="D103" s="32">
        <f>0</f>
        <v>0</v>
      </c>
      <c r="E103" s="33">
        <f>0</f>
        <v>0</v>
      </c>
      <c r="F103" s="33">
        <f>0</f>
        <v>0</v>
      </c>
      <c r="G103" s="34">
        <f>0</f>
        <v>0</v>
      </c>
      <c r="H103" s="35">
        <f>0</f>
        <v>0</v>
      </c>
      <c r="I103" s="36">
        <f>0</f>
        <v>0</v>
      </c>
      <c r="J103" s="36">
        <f>0</f>
        <v>0</v>
      </c>
      <c r="K103" s="36">
        <f>0</f>
        <v>0</v>
      </c>
      <c r="L103" s="36">
        <f>0</f>
        <v>0</v>
      </c>
      <c r="M103" s="36">
        <f>0</f>
        <v>0</v>
      </c>
      <c r="N103" s="36">
        <f>0</f>
        <v>0</v>
      </c>
      <c r="O103" s="36">
        <f>0</f>
        <v>0</v>
      </c>
      <c r="P103" s="36">
        <f>0</f>
        <v>0</v>
      </c>
      <c r="Q103" s="36">
        <f>0</f>
        <v>0</v>
      </c>
      <c r="R103" s="36">
        <f>0</f>
        <v>0</v>
      </c>
      <c r="S103" s="36">
        <f>0</f>
        <v>0</v>
      </c>
      <c r="T103" s="36">
        <f>0</f>
        <v>0</v>
      </c>
      <c r="U103" s="36">
        <f>0</f>
        <v>0</v>
      </c>
    </row>
    <row r="104" spans="1:21" ht="33" customHeight="1">
      <c r="A104" s="80" t="s">
        <v>230</v>
      </c>
      <c r="B104" s="108" t="s">
        <v>389</v>
      </c>
      <c r="C104" s="81" t="s">
        <v>231</v>
      </c>
      <c r="D104" s="49">
        <f>-71682.92</f>
        <v>-71682.92</v>
      </c>
      <c r="E104" s="50">
        <f>0</f>
        <v>0</v>
      </c>
      <c r="F104" s="50">
        <f>0</f>
        <v>0</v>
      </c>
      <c r="G104" s="51">
        <f>0</f>
        <v>0</v>
      </c>
      <c r="H104" s="52">
        <f>0</f>
        <v>0</v>
      </c>
      <c r="I104" s="53">
        <f>0</f>
        <v>0</v>
      </c>
      <c r="J104" s="53">
        <f>0</f>
        <v>0</v>
      </c>
      <c r="K104" s="53">
        <f>0</f>
        <v>0</v>
      </c>
      <c r="L104" s="53">
        <f>0</f>
        <v>0</v>
      </c>
      <c r="M104" s="53">
        <f>0</f>
        <v>0</v>
      </c>
      <c r="N104" s="53">
        <f>0</f>
        <v>0</v>
      </c>
      <c r="O104" s="53">
        <f>0</f>
        <v>0</v>
      </c>
      <c r="P104" s="53">
        <f>0</f>
        <v>0</v>
      </c>
      <c r="Q104" s="53">
        <f>0</f>
        <v>0</v>
      </c>
      <c r="R104" s="53">
        <f>0</f>
        <v>0</v>
      </c>
      <c r="S104" s="53">
        <f>0</f>
        <v>0</v>
      </c>
      <c r="T104" s="53">
        <f>0</f>
        <v>0</v>
      </c>
      <c r="U104" s="53">
        <f>0</f>
        <v>0</v>
      </c>
    </row>
  </sheetData>
  <sheetProtection algorithmName="SHA-512" hashValue="cWpUefqC+KHSvo1+qPcDFVOmLdEUsilUC1dyapwyTx6w2BcD0ez7++alzHFn0qBhqCutfru6SeviiLr/sk2hWA==" saltValue="KIY6c1QiFtTJo/IZPW67yQ==" spinCount="100000" sheet="1" objects="1" scenarios="1" formatCells="0" formatColumns="0" formatRows="0" insertColumns="0" deleteColumns="0"/>
  <mergeCells count="2">
    <mergeCell ref="D2:E2"/>
    <mergeCell ref="A1:U1"/>
  </mergeCells>
  <conditionalFormatting sqref="H55:U56">
    <cfRule type="expression" dxfId="0" priority="12" stopIfTrue="1">
      <formula>LEFT(H55,3)="Nie"</formula>
    </cfRule>
  </conditionalFormatting>
  <pageMargins left="0.15748031496062992" right="0.15748031496062992" top="1.299212598425197" bottom="1.299212598425197" header="0.74803149606299213" footer="0.43307086614173229"/>
  <pageSetup paperSize="9" scale="56" orientation="landscape" blackAndWhite="1" horizontalDpi="4294967293" verticalDpi="4294967293" r:id="rId1"/>
  <headerFooter differentOddEven="1" differentFirst="1" alignWithMargins="0">
    <oddHeader>&amp;RZałącznik Nr 1
do uchwały Nr ............
Rady Powiatu w Otwocku
z dnia ........................</oddHeader>
    <oddFooter>&amp;C&amp;P</oddFooter>
    <evenFooter>&amp;C&amp;P</evenFooter>
    <firstHeader>&amp;RZałącznik Nr 1
do uchwały Nr ............
Rady Powiatu w Otwocku
z dnia ........................</firstHeader>
    <firstFooter>&amp;C&amp;P</firstFooter>
  </headerFooter>
  <rowBreaks count="2" manualBreakCount="2">
    <brk id="46" max="20" man="1"/>
    <brk id="80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tabSelected="1" zoomScale="120" zoomScaleNormal="120" workbookViewId="0">
      <pane ySplit="4" topLeftCell="A11" activePane="bottomLeft" state="frozen"/>
      <selection pane="bottomLeft" activeCell="G41" sqref="G41"/>
    </sheetView>
  </sheetViews>
  <sheetFormatPr defaultRowHeight="12.75"/>
  <cols>
    <col min="1" max="1" width="7.85546875" style="2" customWidth="1"/>
    <col min="2" max="2" width="55" style="1" customWidth="1"/>
    <col min="3" max="3" width="19.42578125" style="2" customWidth="1"/>
    <col min="4" max="5" width="7.42578125" style="2" customWidth="1"/>
    <col min="6" max="6" width="13.7109375" style="1" customWidth="1"/>
    <col min="7" max="10" width="12.140625" style="1" customWidth="1"/>
    <col min="11" max="11" width="13" style="1" customWidth="1"/>
    <col min="12" max="240" width="9.140625" style="1"/>
    <col min="241" max="241" width="1" style="1" customWidth="1"/>
    <col min="242" max="242" width="39.140625" style="1" customWidth="1"/>
    <col min="243" max="243" width="21.42578125" style="1" customWidth="1"/>
    <col min="244" max="244" width="11.28515625" style="1" customWidth="1"/>
    <col min="245" max="245" width="9.5703125" style="1" customWidth="1"/>
    <col min="246" max="246" width="13.5703125" style="1" customWidth="1"/>
    <col min="247" max="256" width="12.140625" style="1" customWidth="1"/>
    <col min="257" max="266" width="0" style="1" hidden="1" customWidth="1"/>
    <col min="267" max="267" width="14.140625" style="1" customWidth="1"/>
    <col min="268" max="496" width="9.140625" style="1"/>
    <col min="497" max="497" width="1" style="1" customWidth="1"/>
    <col min="498" max="498" width="39.140625" style="1" customWidth="1"/>
    <col min="499" max="499" width="21.42578125" style="1" customWidth="1"/>
    <col min="500" max="500" width="11.28515625" style="1" customWidth="1"/>
    <col min="501" max="501" width="9.5703125" style="1" customWidth="1"/>
    <col min="502" max="502" width="13.5703125" style="1" customWidth="1"/>
    <col min="503" max="512" width="12.140625" style="1" customWidth="1"/>
    <col min="513" max="522" width="0" style="1" hidden="1" customWidth="1"/>
    <col min="523" max="523" width="14.140625" style="1" customWidth="1"/>
    <col min="524" max="752" width="9.140625" style="1"/>
    <col min="753" max="753" width="1" style="1" customWidth="1"/>
    <col min="754" max="754" width="39.140625" style="1" customWidth="1"/>
    <col min="755" max="755" width="21.42578125" style="1" customWidth="1"/>
    <col min="756" max="756" width="11.28515625" style="1" customWidth="1"/>
    <col min="757" max="757" width="9.5703125" style="1" customWidth="1"/>
    <col min="758" max="758" width="13.5703125" style="1" customWidth="1"/>
    <col min="759" max="768" width="12.140625" style="1" customWidth="1"/>
    <col min="769" max="778" width="0" style="1" hidden="1" customWidth="1"/>
    <col min="779" max="779" width="14.140625" style="1" customWidth="1"/>
    <col min="780" max="1008" width="9.140625" style="1"/>
    <col min="1009" max="1009" width="1" style="1" customWidth="1"/>
    <col min="1010" max="1010" width="39.140625" style="1" customWidth="1"/>
    <col min="1011" max="1011" width="21.42578125" style="1" customWidth="1"/>
    <col min="1012" max="1012" width="11.28515625" style="1" customWidth="1"/>
    <col min="1013" max="1013" width="9.5703125" style="1" customWidth="1"/>
    <col min="1014" max="1014" width="13.5703125" style="1" customWidth="1"/>
    <col min="1015" max="1024" width="12.140625" style="1" customWidth="1"/>
    <col min="1025" max="1034" width="0" style="1" hidden="1" customWidth="1"/>
    <col min="1035" max="1035" width="14.140625" style="1" customWidth="1"/>
    <col min="1036" max="1264" width="9.140625" style="1"/>
    <col min="1265" max="1265" width="1" style="1" customWidth="1"/>
    <col min="1266" max="1266" width="39.140625" style="1" customWidth="1"/>
    <col min="1267" max="1267" width="21.42578125" style="1" customWidth="1"/>
    <col min="1268" max="1268" width="11.28515625" style="1" customWidth="1"/>
    <col min="1269" max="1269" width="9.5703125" style="1" customWidth="1"/>
    <col min="1270" max="1270" width="13.5703125" style="1" customWidth="1"/>
    <col min="1271" max="1280" width="12.140625" style="1" customWidth="1"/>
    <col min="1281" max="1290" width="0" style="1" hidden="1" customWidth="1"/>
    <col min="1291" max="1291" width="14.140625" style="1" customWidth="1"/>
    <col min="1292" max="1520" width="9.140625" style="1"/>
    <col min="1521" max="1521" width="1" style="1" customWidth="1"/>
    <col min="1522" max="1522" width="39.140625" style="1" customWidth="1"/>
    <col min="1523" max="1523" width="21.42578125" style="1" customWidth="1"/>
    <col min="1524" max="1524" width="11.28515625" style="1" customWidth="1"/>
    <col min="1525" max="1525" width="9.5703125" style="1" customWidth="1"/>
    <col min="1526" max="1526" width="13.5703125" style="1" customWidth="1"/>
    <col min="1527" max="1536" width="12.140625" style="1" customWidth="1"/>
    <col min="1537" max="1546" width="0" style="1" hidden="1" customWidth="1"/>
    <col min="1547" max="1547" width="14.140625" style="1" customWidth="1"/>
    <col min="1548" max="1776" width="9.140625" style="1"/>
    <col min="1777" max="1777" width="1" style="1" customWidth="1"/>
    <col min="1778" max="1778" width="39.140625" style="1" customWidth="1"/>
    <col min="1779" max="1779" width="21.42578125" style="1" customWidth="1"/>
    <col min="1780" max="1780" width="11.28515625" style="1" customWidth="1"/>
    <col min="1781" max="1781" width="9.5703125" style="1" customWidth="1"/>
    <col min="1782" max="1782" width="13.5703125" style="1" customWidth="1"/>
    <col min="1783" max="1792" width="12.140625" style="1" customWidth="1"/>
    <col min="1793" max="1802" width="0" style="1" hidden="1" customWidth="1"/>
    <col min="1803" max="1803" width="14.140625" style="1" customWidth="1"/>
    <col min="1804" max="2032" width="9.140625" style="1"/>
    <col min="2033" max="2033" width="1" style="1" customWidth="1"/>
    <col min="2034" max="2034" width="39.140625" style="1" customWidth="1"/>
    <col min="2035" max="2035" width="21.42578125" style="1" customWidth="1"/>
    <col min="2036" max="2036" width="11.28515625" style="1" customWidth="1"/>
    <col min="2037" max="2037" width="9.5703125" style="1" customWidth="1"/>
    <col min="2038" max="2038" width="13.5703125" style="1" customWidth="1"/>
    <col min="2039" max="2048" width="12.140625" style="1" customWidth="1"/>
    <col min="2049" max="2058" width="0" style="1" hidden="1" customWidth="1"/>
    <col min="2059" max="2059" width="14.140625" style="1" customWidth="1"/>
    <col min="2060" max="2288" width="9.140625" style="1"/>
    <col min="2289" max="2289" width="1" style="1" customWidth="1"/>
    <col min="2290" max="2290" width="39.140625" style="1" customWidth="1"/>
    <col min="2291" max="2291" width="21.42578125" style="1" customWidth="1"/>
    <col min="2292" max="2292" width="11.28515625" style="1" customWidth="1"/>
    <col min="2293" max="2293" width="9.5703125" style="1" customWidth="1"/>
    <col min="2294" max="2294" width="13.5703125" style="1" customWidth="1"/>
    <col min="2295" max="2304" width="12.140625" style="1" customWidth="1"/>
    <col min="2305" max="2314" width="0" style="1" hidden="1" customWidth="1"/>
    <col min="2315" max="2315" width="14.140625" style="1" customWidth="1"/>
    <col min="2316" max="2544" width="9.140625" style="1"/>
    <col min="2545" max="2545" width="1" style="1" customWidth="1"/>
    <col min="2546" max="2546" width="39.140625" style="1" customWidth="1"/>
    <col min="2547" max="2547" width="21.42578125" style="1" customWidth="1"/>
    <col min="2548" max="2548" width="11.28515625" style="1" customWidth="1"/>
    <col min="2549" max="2549" width="9.5703125" style="1" customWidth="1"/>
    <col min="2550" max="2550" width="13.5703125" style="1" customWidth="1"/>
    <col min="2551" max="2560" width="12.140625" style="1" customWidth="1"/>
    <col min="2561" max="2570" width="0" style="1" hidden="1" customWidth="1"/>
    <col min="2571" max="2571" width="14.140625" style="1" customWidth="1"/>
    <col min="2572" max="2800" width="9.140625" style="1"/>
    <col min="2801" max="2801" width="1" style="1" customWidth="1"/>
    <col min="2802" max="2802" width="39.140625" style="1" customWidth="1"/>
    <col min="2803" max="2803" width="21.42578125" style="1" customWidth="1"/>
    <col min="2804" max="2804" width="11.28515625" style="1" customWidth="1"/>
    <col min="2805" max="2805" width="9.5703125" style="1" customWidth="1"/>
    <col min="2806" max="2806" width="13.5703125" style="1" customWidth="1"/>
    <col min="2807" max="2816" width="12.140625" style="1" customWidth="1"/>
    <col min="2817" max="2826" width="0" style="1" hidden="1" customWidth="1"/>
    <col min="2827" max="2827" width="14.140625" style="1" customWidth="1"/>
    <col min="2828" max="3056" width="9.140625" style="1"/>
    <col min="3057" max="3057" width="1" style="1" customWidth="1"/>
    <col min="3058" max="3058" width="39.140625" style="1" customWidth="1"/>
    <col min="3059" max="3059" width="21.42578125" style="1" customWidth="1"/>
    <col min="3060" max="3060" width="11.28515625" style="1" customWidth="1"/>
    <col min="3061" max="3061" width="9.5703125" style="1" customWidth="1"/>
    <col min="3062" max="3062" width="13.5703125" style="1" customWidth="1"/>
    <col min="3063" max="3072" width="12.140625" style="1" customWidth="1"/>
    <col min="3073" max="3082" width="0" style="1" hidden="1" customWidth="1"/>
    <col min="3083" max="3083" width="14.140625" style="1" customWidth="1"/>
    <col min="3084" max="3312" width="9.140625" style="1"/>
    <col min="3313" max="3313" width="1" style="1" customWidth="1"/>
    <col min="3314" max="3314" width="39.140625" style="1" customWidth="1"/>
    <col min="3315" max="3315" width="21.42578125" style="1" customWidth="1"/>
    <col min="3316" max="3316" width="11.28515625" style="1" customWidth="1"/>
    <col min="3317" max="3317" width="9.5703125" style="1" customWidth="1"/>
    <col min="3318" max="3318" width="13.5703125" style="1" customWidth="1"/>
    <col min="3319" max="3328" width="12.140625" style="1" customWidth="1"/>
    <col min="3329" max="3338" width="0" style="1" hidden="1" customWidth="1"/>
    <col min="3339" max="3339" width="14.140625" style="1" customWidth="1"/>
    <col min="3340" max="3568" width="9.140625" style="1"/>
    <col min="3569" max="3569" width="1" style="1" customWidth="1"/>
    <col min="3570" max="3570" width="39.140625" style="1" customWidth="1"/>
    <col min="3571" max="3571" width="21.42578125" style="1" customWidth="1"/>
    <col min="3572" max="3572" width="11.28515625" style="1" customWidth="1"/>
    <col min="3573" max="3573" width="9.5703125" style="1" customWidth="1"/>
    <col min="3574" max="3574" width="13.5703125" style="1" customWidth="1"/>
    <col min="3575" max="3584" width="12.140625" style="1" customWidth="1"/>
    <col min="3585" max="3594" width="0" style="1" hidden="1" customWidth="1"/>
    <col min="3595" max="3595" width="14.140625" style="1" customWidth="1"/>
    <col min="3596" max="3824" width="9.140625" style="1"/>
    <col min="3825" max="3825" width="1" style="1" customWidth="1"/>
    <col min="3826" max="3826" width="39.140625" style="1" customWidth="1"/>
    <col min="3827" max="3827" width="21.42578125" style="1" customWidth="1"/>
    <col min="3828" max="3828" width="11.28515625" style="1" customWidth="1"/>
    <col min="3829" max="3829" width="9.5703125" style="1" customWidth="1"/>
    <col min="3830" max="3830" width="13.5703125" style="1" customWidth="1"/>
    <col min="3831" max="3840" width="12.140625" style="1" customWidth="1"/>
    <col min="3841" max="3850" width="0" style="1" hidden="1" customWidth="1"/>
    <col min="3851" max="3851" width="14.140625" style="1" customWidth="1"/>
    <col min="3852" max="4080" width="9.140625" style="1"/>
    <col min="4081" max="4081" width="1" style="1" customWidth="1"/>
    <col min="4082" max="4082" width="39.140625" style="1" customWidth="1"/>
    <col min="4083" max="4083" width="21.42578125" style="1" customWidth="1"/>
    <col min="4084" max="4084" width="11.28515625" style="1" customWidth="1"/>
    <col min="4085" max="4085" width="9.5703125" style="1" customWidth="1"/>
    <col min="4086" max="4086" width="13.5703125" style="1" customWidth="1"/>
    <col min="4087" max="4096" width="12.140625" style="1" customWidth="1"/>
    <col min="4097" max="4106" width="0" style="1" hidden="1" customWidth="1"/>
    <col min="4107" max="4107" width="14.140625" style="1" customWidth="1"/>
    <col min="4108" max="4336" width="9.140625" style="1"/>
    <col min="4337" max="4337" width="1" style="1" customWidth="1"/>
    <col min="4338" max="4338" width="39.140625" style="1" customWidth="1"/>
    <col min="4339" max="4339" width="21.42578125" style="1" customWidth="1"/>
    <col min="4340" max="4340" width="11.28515625" style="1" customWidth="1"/>
    <col min="4341" max="4341" width="9.5703125" style="1" customWidth="1"/>
    <col min="4342" max="4342" width="13.5703125" style="1" customWidth="1"/>
    <col min="4343" max="4352" width="12.140625" style="1" customWidth="1"/>
    <col min="4353" max="4362" width="0" style="1" hidden="1" customWidth="1"/>
    <col min="4363" max="4363" width="14.140625" style="1" customWidth="1"/>
    <col min="4364" max="4592" width="9.140625" style="1"/>
    <col min="4593" max="4593" width="1" style="1" customWidth="1"/>
    <col min="4594" max="4594" width="39.140625" style="1" customWidth="1"/>
    <col min="4595" max="4595" width="21.42578125" style="1" customWidth="1"/>
    <col min="4596" max="4596" width="11.28515625" style="1" customWidth="1"/>
    <col min="4597" max="4597" width="9.5703125" style="1" customWidth="1"/>
    <col min="4598" max="4598" width="13.5703125" style="1" customWidth="1"/>
    <col min="4599" max="4608" width="12.140625" style="1" customWidth="1"/>
    <col min="4609" max="4618" width="0" style="1" hidden="1" customWidth="1"/>
    <col min="4619" max="4619" width="14.140625" style="1" customWidth="1"/>
    <col min="4620" max="4848" width="9.140625" style="1"/>
    <col min="4849" max="4849" width="1" style="1" customWidth="1"/>
    <col min="4850" max="4850" width="39.140625" style="1" customWidth="1"/>
    <col min="4851" max="4851" width="21.42578125" style="1" customWidth="1"/>
    <col min="4852" max="4852" width="11.28515625" style="1" customWidth="1"/>
    <col min="4853" max="4853" width="9.5703125" style="1" customWidth="1"/>
    <col min="4854" max="4854" width="13.5703125" style="1" customWidth="1"/>
    <col min="4855" max="4864" width="12.140625" style="1" customWidth="1"/>
    <col min="4865" max="4874" width="0" style="1" hidden="1" customWidth="1"/>
    <col min="4875" max="4875" width="14.140625" style="1" customWidth="1"/>
    <col min="4876" max="5104" width="9.140625" style="1"/>
    <col min="5105" max="5105" width="1" style="1" customWidth="1"/>
    <col min="5106" max="5106" width="39.140625" style="1" customWidth="1"/>
    <col min="5107" max="5107" width="21.42578125" style="1" customWidth="1"/>
    <col min="5108" max="5108" width="11.28515625" style="1" customWidth="1"/>
    <col min="5109" max="5109" width="9.5703125" style="1" customWidth="1"/>
    <col min="5110" max="5110" width="13.5703125" style="1" customWidth="1"/>
    <col min="5111" max="5120" width="12.140625" style="1" customWidth="1"/>
    <col min="5121" max="5130" width="0" style="1" hidden="1" customWidth="1"/>
    <col min="5131" max="5131" width="14.140625" style="1" customWidth="1"/>
    <col min="5132" max="5360" width="9.140625" style="1"/>
    <col min="5361" max="5361" width="1" style="1" customWidth="1"/>
    <col min="5362" max="5362" width="39.140625" style="1" customWidth="1"/>
    <col min="5363" max="5363" width="21.42578125" style="1" customWidth="1"/>
    <col min="5364" max="5364" width="11.28515625" style="1" customWidth="1"/>
    <col min="5365" max="5365" width="9.5703125" style="1" customWidth="1"/>
    <col min="5366" max="5366" width="13.5703125" style="1" customWidth="1"/>
    <col min="5367" max="5376" width="12.140625" style="1" customWidth="1"/>
    <col min="5377" max="5386" width="0" style="1" hidden="1" customWidth="1"/>
    <col min="5387" max="5387" width="14.140625" style="1" customWidth="1"/>
    <col min="5388" max="5616" width="9.140625" style="1"/>
    <col min="5617" max="5617" width="1" style="1" customWidth="1"/>
    <col min="5618" max="5618" width="39.140625" style="1" customWidth="1"/>
    <col min="5619" max="5619" width="21.42578125" style="1" customWidth="1"/>
    <col min="5620" max="5620" width="11.28515625" style="1" customWidth="1"/>
    <col min="5621" max="5621" width="9.5703125" style="1" customWidth="1"/>
    <col min="5622" max="5622" width="13.5703125" style="1" customWidth="1"/>
    <col min="5623" max="5632" width="12.140625" style="1" customWidth="1"/>
    <col min="5633" max="5642" width="0" style="1" hidden="1" customWidth="1"/>
    <col min="5643" max="5643" width="14.140625" style="1" customWidth="1"/>
    <col min="5644" max="5872" width="9.140625" style="1"/>
    <col min="5873" max="5873" width="1" style="1" customWidth="1"/>
    <col min="5874" max="5874" width="39.140625" style="1" customWidth="1"/>
    <col min="5875" max="5875" width="21.42578125" style="1" customWidth="1"/>
    <col min="5876" max="5876" width="11.28515625" style="1" customWidth="1"/>
    <col min="5877" max="5877" width="9.5703125" style="1" customWidth="1"/>
    <col min="5878" max="5878" width="13.5703125" style="1" customWidth="1"/>
    <col min="5879" max="5888" width="12.140625" style="1" customWidth="1"/>
    <col min="5889" max="5898" width="0" style="1" hidden="1" customWidth="1"/>
    <col min="5899" max="5899" width="14.140625" style="1" customWidth="1"/>
    <col min="5900" max="6128" width="9.140625" style="1"/>
    <col min="6129" max="6129" width="1" style="1" customWidth="1"/>
    <col min="6130" max="6130" width="39.140625" style="1" customWidth="1"/>
    <col min="6131" max="6131" width="21.42578125" style="1" customWidth="1"/>
    <col min="6132" max="6132" width="11.28515625" style="1" customWidth="1"/>
    <col min="6133" max="6133" width="9.5703125" style="1" customWidth="1"/>
    <col min="6134" max="6134" width="13.5703125" style="1" customWidth="1"/>
    <col min="6135" max="6144" width="12.140625" style="1" customWidth="1"/>
    <col min="6145" max="6154" width="0" style="1" hidden="1" customWidth="1"/>
    <col min="6155" max="6155" width="14.140625" style="1" customWidth="1"/>
    <col min="6156" max="6384" width="9.140625" style="1"/>
    <col min="6385" max="6385" width="1" style="1" customWidth="1"/>
    <col min="6386" max="6386" width="39.140625" style="1" customWidth="1"/>
    <col min="6387" max="6387" width="21.42578125" style="1" customWidth="1"/>
    <col min="6388" max="6388" width="11.28515625" style="1" customWidth="1"/>
    <col min="6389" max="6389" width="9.5703125" style="1" customWidth="1"/>
    <col min="6390" max="6390" width="13.5703125" style="1" customWidth="1"/>
    <col min="6391" max="6400" width="12.140625" style="1" customWidth="1"/>
    <col min="6401" max="6410" width="0" style="1" hidden="1" customWidth="1"/>
    <col min="6411" max="6411" width="14.140625" style="1" customWidth="1"/>
    <col min="6412" max="6640" width="9.140625" style="1"/>
    <col min="6641" max="6641" width="1" style="1" customWidth="1"/>
    <col min="6642" max="6642" width="39.140625" style="1" customWidth="1"/>
    <col min="6643" max="6643" width="21.42578125" style="1" customWidth="1"/>
    <col min="6644" max="6644" width="11.28515625" style="1" customWidth="1"/>
    <col min="6645" max="6645" width="9.5703125" style="1" customWidth="1"/>
    <col min="6646" max="6646" width="13.5703125" style="1" customWidth="1"/>
    <col min="6647" max="6656" width="12.140625" style="1" customWidth="1"/>
    <col min="6657" max="6666" width="0" style="1" hidden="1" customWidth="1"/>
    <col min="6667" max="6667" width="14.140625" style="1" customWidth="1"/>
    <col min="6668" max="6896" width="9.140625" style="1"/>
    <col min="6897" max="6897" width="1" style="1" customWidth="1"/>
    <col min="6898" max="6898" width="39.140625" style="1" customWidth="1"/>
    <col min="6899" max="6899" width="21.42578125" style="1" customWidth="1"/>
    <col min="6900" max="6900" width="11.28515625" style="1" customWidth="1"/>
    <col min="6901" max="6901" width="9.5703125" style="1" customWidth="1"/>
    <col min="6902" max="6902" width="13.5703125" style="1" customWidth="1"/>
    <col min="6903" max="6912" width="12.140625" style="1" customWidth="1"/>
    <col min="6913" max="6922" width="0" style="1" hidden="1" customWidth="1"/>
    <col min="6923" max="6923" width="14.140625" style="1" customWidth="1"/>
    <col min="6924" max="7152" width="9.140625" style="1"/>
    <col min="7153" max="7153" width="1" style="1" customWidth="1"/>
    <col min="7154" max="7154" width="39.140625" style="1" customWidth="1"/>
    <col min="7155" max="7155" width="21.42578125" style="1" customWidth="1"/>
    <col min="7156" max="7156" width="11.28515625" style="1" customWidth="1"/>
    <col min="7157" max="7157" width="9.5703125" style="1" customWidth="1"/>
    <col min="7158" max="7158" width="13.5703125" style="1" customWidth="1"/>
    <col min="7159" max="7168" width="12.140625" style="1" customWidth="1"/>
    <col min="7169" max="7178" width="0" style="1" hidden="1" customWidth="1"/>
    <col min="7179" max="7179" width="14.140625" style="1" customWidth="1"/>
    <col min="7180" max="7408" width="9.140625" style="1"/>
    <col min="7409" max="7409" width="1" style="1" customWidth="1"/>
    <col min="7410" max="7410" width="39.140625" style="1" customWidth="1"/>
    <col min="7411" max="7411" width="21.42578125" style="1" customWidth="1"/>
    <col min="7412" max="7412" width="11.28515625" style="1" customWidth="1"/>
    <col min="7413" max="7413" width="9.5703125" style="1" customWidth="1"/>
    <col min="7414" max="7414" width="13.5703125" style="1" customWidth="1"/>
    <col min="7415" max="7424" width="12.140625" style="1" customWidth="1"/>
    <col min="7425" max="7434" width="0" style="1" hidden="1" customWidth="1"/>
    <col min="7435" max="7435" width="14.140625" style="1" customWidth="1"/>
    <col min="7436" max="7664" width="9.140625" style="1"/>
    <col min="7665" max="7665" width="1" style="1" customWidth="1"/>
    <col min="7666" max="7666" width="39.140625" style="1" customWidth="1"/>
    <col min="7667" max="7667" width="21.42578125" style="1" customWidth="1"/>
    <col min="7668" max="7668" width="11.28515625" style="1" customWidth="1"/>
    <col min="7669" max="7669" width="9.5703125" style="1" customWidth="1"/>
    <col min="7670" max="7670" width="13.5703125" style="1" customWidth="1"/>
    <col min="7671" max="7680" width="12.140625" style="1" customWidth="1"/>
    <col min="7681" max="7690" width="0" style="1" hidden="1" customWidth="1"/>
    <col min="7691" max="7691" width="14.140625" style="1" customWidth="1"/>
    <col min="7692" max="7920" width="9.140625" style="1"/>
    <col min="7921" max="7921" width="1" style="1" customWidth="1"/>
    <col min="7922" max="7922" width="39.140625" style="1" customWidth="1"/>
    <col min="7923" max="7923" width="21.42578125" style="1" customWidth="1"/>
    <col min="7924" max="7924" width="11.28515625" style="1" customWidth="1"/>
    <col min="7925" max="7925" width="9.5703125" style="1" customWidth="1"/>
    <col min="7926" max="7926" width="13.5703125" style="1" customWidth="1"/>
    <col min="7927" max="7936" width="12.140625" style="1" customWidth="1"/>
    <col min="7937" max="7946" width="0" style="1" hidden="1" customWidth="1"/>
    <col min="7947" max="7947" width="14.140625" style="1" customWidth="1"/>
    <col min="7948" max="8176" width="9.140625" style="1"/>
    <col min="8177" max="8177" width="1" style="1" customWidth="1"/>
    <col min="8178" max="8178" width="39.140625" style="1" customWidth="1"/>
    <col min="8179" max="8179" width="21.42578125" style="1" customWidth="1"/>
    <col min="8180" max="8180" width="11.28515625" style="1" customWidth="1"/>
    <col min="8181" max="8181" width="9.5703125" style="1" customWidth="1"/>
    <col min="8182" max="8182" width="13.5703125" style="1" customWidth="1"/>
    <col min="8183" max="8192" width="12.140625" style="1" customWidth="1"/>
    <col min="8193" max="8202" width="0" style="1" hidden="1" customWidth="1"/>
    <col min="8203" max="8203" width="14.140625" style="1" customWidth="1"/>
    <col min="8204" max="8432" width="9.140625" style="1"/>
    <col min="8433" max="8433" width="1" style="1" customWidth="1"/>
    <col min="8434" max="8434" width="39.140625" style="1" customWidth="1"/>
    <col min="8435" max="8435" width="21.42578125" style="1" customWidth="1"/>
    <col min="8436" max="8436" width="11.28515625" style="1" customWidth="1"/>
    <col min="8437" max="8437" width="9.5703125" style="1" customWidth="1"/>
    <col min="8438" max="8438" width="13.5703125" style="1" customWidth="1"/>
    <col min="8439" max="8448" width="12.140625" style="1" customWidth="1"/>
    <col min="8449" max="8458" width="0" style="1" hidden="1" customWidth="1"/>
    <col min="8459" max="8459" width="14.140625" style="1" customWidth="1"/>
    <col min="8460" max="8688" width="9.140625" style="1"/>
    <col min="8689" max="8689" width="1" style="1" customWidth="1"/>
    <col min="8690" max="8690" width="39.140625" style="1" customWidth="1"/>
    <col min="8691" max="8691" width="21.42578125" style="1" customWidth="1"/>
    <col min="8692" max="8692" width="11.28515625" style="1" customWidth="1"/>
    <col min="8693" max="8693" width="9.5703125" style="1" customWidth="1"/>
    <col min="8694" max="8694" width="13.5703125" style="1" customWidth="1"/>
    <col min="8695" max="8704" width="12.140625" style="1" customWidth="1"/>
    <col min="8705" max="8714" width="0" style="1" hidden="1" customWidth="1"/>
    <col min="8715" max="8715" width="14.140625" style="1" customWidth="1"/>
    <col min="8716" max="8944" width="9.140625" style="1"/>
    <col min="8945" max="8945" width="1" style="1" customWidth="1"/>
    <col min="8946" max="8946" width="39.140625" style="1" customWidth="1"/>
    <col min="8947" max="8947" width="21.42578125" style="1" customWidth="1"/>
    <col min="8948" max="8948" width="11.28515625" style="1" customWidth="1"/>
    <col min="8949" max="8949" width="9.5703125" style="1" customWidth="1"/>
    <col min="8950" max="8950" width="13.5703125" style="1" customWidth="1"/>
    <col min="8951" max="8960" width="12.140625" style="1" customWidth="1"/>
    <col min="8961" max="8970" width="0" style="1" hidden="1" customWidth="1"/>
    <col min="8971" max="8971" width="14.140625" style="1" customWidth="1"/>
    <col min="8972" max="9200" width="9.140625" style="1"/>
    <col min="9201" max="9201" width="1" style="1" customWidth="1"/>
    <col min="9202" max="9202" width="39.140625" style="1" customWidth="1"/>
    <col min="9203" max="9203" width="21.42578125" style="1" customWidth="1"/>
    <col min="9204" max="9204" width="11.28515625" style="1" customWidth="1"/>
    <col min="9205" max="9205" width="9.5703125" style="1" customWidth="1"/>
    <col min="9206" max="9206" width="13.5703125" style="1" customWidth="1"/>
    <col min="9207" max="9216" width="12.140625" style="1" customWidth="1"/>
    <col min="9217" max="9226" width="0" style="1" hidden="1" customWidth="1"/>
    <col min="9227" max="9227" width="14.140625" style="1" customWidth="1"/>
    <col min="9228" max="9456" width="9.140625" style="1"/>
    <col min="9457" max="9457" width="1" style="1" customWidth="1"/>
    <col min="9458" max="9458" width="39.140625" style="1" customWidth="1"/>
    <col min="9459" max="9459" width="21.42578125" style="1" customWidth="1"/>
    <col min="9460" max="9460" width="11.28515625" style="1" customWidth="1"/>
    <col min="9461" max="9461" width="9.5703125" style="1" customWidth="1"/>
    <col min="9462" max="9462" width="13.5703125" style="1" customWidth="1"/>
    <col min="9463" max="9472" width="12.140625" style="1" customWidth="1"/>
    <col min="9473" max="9482" width="0" style="1" hidden="1" customWidth="1"/>
    <col min="9483" max="9483" width="14.140625" style="1" customWidth="1"/>
    <col min="9484" max="9712" width="9.140625" style="1"/>
    <col min="9713" max="9713" width="1" style="1" customWidth="1"/>
    <col min="9714" max="9714" width="39.140625" style="1" customWidth="1"/>
    <col min="9715" max="9715" width="21.42578125" style="1" customWidth="1"/>
    <col min="9716" max="9716" width="11.28515625" style="1" customWidth="1"/>
    <col min="9717" max="9717" width="9.5703125" style="1" customWidth="1"/>
    <col min="9718" max="9718" width="13.5703125" style="1" customWidth="1"/>
    <col min="9719" max="9728" width="12.140625" style="1" customWidth="1"/>
    <col min="9729" max="9738" width="0" style="1" hidden="1" customWidth="1"/>
    <col min="9739" max="9739" width="14.140625" style="1" customWidth="1"/>
    <col min="9740" max="9968" width="9.140625" style="1"/>
    <col min="9969" max="9969" width="1" style="1" customWidth="1"/>
    <col min="9970" max="9970" width="39.140625" style="1" customWidth="1"/>
    <col min="9971" max="9971" width="21.42578125" style="1" customWidth="1"/>
    <col min="9972" max="9972" width="11.28515625" style="1" customWidth="1"/>
    <col min="9973" max="9973" width="9.5703125" style="1" customWidth="1"/>
    <col min="9974" max="9974" width="13.5703125" style="1" customWidth="1"/>
    <col min="9975" max="9984" width="12.140625" style="1" customWidth="1"/>
    <col min="9985" max="9994" width="0" style="1" hidden="1" customWidth="1"/>
    <col min="9995" max="9995" width="14.140625" style="1" customWidth="1"/>
    <col min="9996" max="10224" width="9.140625" style="1"/>
    <col min="10225" max="10225" width="1" style="1" customWidth="1"/>
    <col min="10226" max="10226" width="39.140625" style="1" customWidth="1"/>
    <col min="10227" max="10227" width="21.42578125" style="1" customWidth="1"/>
    <col min="10228" max="10228" width="11.28515625" style="1" customWidth="1"/>
    <col min="10229" max="10229" width="9.5703125" style="1" customWidth="1"/>
    <col min="10230" max="10230" width="13.5703125" style="1" customWidth="1"/>
    <col min="10231" max="10240" width="12.140625" style="1" customWidth="1"/>
    <col min="10241" max="10250" width="0" style="1" hidden="1" customWidth="1"/>
    <col min="10251" max="10251" width="14.140625" style="1" customWidth="1"/>
    <col min="10252" max="10480" width="9.140625" style="1"/>
    <col min="10481" max="10481" width="1" style="1" customWidth="1"/>
    <col min="10482" max="10482" width="39.140625" style="1" customWidth="1"/>
    <col min="10483" max="10483" width="21.42578125" style="1" customWidth="1"/>
    <col min="10484" max="10484" width="11.28515625" style="1" customWidth="1"/>
    <col min="10485" max="10485" width="9.5703125" style="1" customWidth="1"/>
    <col min="10486" max="10486" width="13.5703125" style="1" customWidth="1"/>
    <col min="10487" max="10496" width="12.140625" style="1" customWidth="1"/>
    <col min="10497" max="10506" width="0" style="1" hidden="1" customWidth="1"/>
    <col min="10507" max="10507" width="14.140625" style="1" customWidth="1"/>
    <col min="10508" max="10736" width="9.140625" style="1"/>
    <col min="10737" max="10737" width="1" style="1" customWidth="1"/>
    <col min="10738" max="10738" width="39.140625" style="1" customWidth="1"/>
    <col min="10739" max="10739" width="21.42578125" style="1" customWidth="1"/>
    <col min="10740" max="10740" width="11.28515625" style="1" customWidth="1"/>
    <col min="10741" max="10741" width="9.5703125" style="1" customWidth="1"/>
    <col min="10742" max="10742" width="13.5703125" style="1" customWidth="1"/>
    <col min="10743" max="10752" width="12.140625" style="1" customWidth="1"/>
    <col min="10753" max="10762" width="0" style="1" hidden="1" customWidth="1"/>
    <col min="10763" max="10763" width="14.140625" style="1" customWidth="1"/>
    <col min="10764" max="10992" width="9.140625" style="1"/>
    <col min="10993" max="10993" width="1" style="1" customWidth="1"/>
    <col min="10994" max="10994" width="39.140625" style="1" customWidth="1"/>
    <col min="10995" max="10995" width="21.42578125" style="1" customWidth="1"/>
    <col min="10996" max="10996" width="11.28515625" style="1" customWidth="1"/>
    <col min="10997" max="10997" width="9.5703125" style="1" customWidth="1"/>
    <col min="10998" max="10998" width="13.5703125" style="1" customWidth="1"/>
    <col min="10999" max="11008" width="12.140625" style="1" customWidth="1"/>
    <col min="11009" max="11018" width="0" style="1" hidden="1" customWidth="1"/>
    <col min="11019" max="11019" width="14.140625" style="1" customWidth="1"/>
    <col min="11020" max="11248" width="9.140625" style="1"/>
    <col min="11249" max="11249" width="1" style="1" customWidth="1"/>
    <col min="11250" max="11250" width="39.140625" style="1" customWidth="1"/>
    <col min="11251" max="11251" width="21.42578125" style="1" customWidth="1"/>
    <col min="11252" max="11252" width="11.28515625" style="1" customWidth="1"/>
    <col min="11253" max="11253" width="9.5703125" style="1" customWidth="1"/>
    <col min="11254" max="11254" width="13.5703125" style="1" customWidth="1"/>
    <col min="11255" max="11264" width="12.140625" style="1" customWidth="1"/>
    <col min="11265" max="11274" width="0" style="1" hidden="1" customWidth="1"/>
    <col min="11275" max="11275" width="14.140625" style="1" customWidth="1"/>
    <col min="11276" max="11504" width="9.140625" style="1"/>
    <col min="11505" max="11505" width="1" style="1" customWidth="1"/>
    <col min="11506" max="11506" width="39.140625" style="1" customWidth="1"/>
    <col min="11507" max="11507" width="21.42578125" style="1" customWidth="1"/>
    <col min="11508" max="11508" width="11.28515625" style="1" customWidth="1"/>
    <col min="11509" max="11509" width="9.5703125" style="1" customWidth="1"/>
    <col min="11510" max="11510" width="13.5703125" style="1" customWidth="1"/>
    <col min="11511" max="11520" width="12.140625" style="1" customWidth="1"/>
    <col min="11521" max="11530" width="0" style="1" hidden="1" customWidth="1"/>
    <col min="11531" max="11531" width="14.140625" style="1" customWidth="1"/>
    <col min="11532" max="11760" width="9.140625" style="1"/>
    <col min="11761" max="11761" width="1" style="1" customWidth="1"/>
    <col min="11762" max="11762" width="39.140625" style="1" customWidth="1"/>
    <col min="11763" max="11763" width="21.42578125" style="1" customWidth="1"/>
    <col min="11764" max="11764" width="11.28515625" style="1" customWidth="1"/>
    <col min="11765" max="11765" width="9.5703125" style="1" customWidth="1"/>
    <col min="11766" max="11766" width="13.5703125" style="1" customWidth="1"/>
    <col min="11767" max="11776" width="12.140625" style="1" customWidth="1"/>
    <col min="11777" max="11786" width="0" style="1" hidden="1" customWidth="1"/>
    <col min="11787" max="11787" width="14.140625" style="1" customWidth="1"/>
    <col min="11788" max="12016" width="9.140625" style="1"/>
    <col min="12017" max="12017" width="1" style="1" customWidth="1"/>
    <col min="12018" max="12018" width="39.140625" style="1" customWidth="1"/>
    <col min="12019" max="12019" width="21.42578125" style="1" customWidth="1"/>
    <col min="12020" max="12020" width="11.28515625" style="1" customWidth="1"/>
    <col min="12021" max="12021" width="9.5703125" style="1" customWidth="1"/>
    <col min="12022" max="12022" width="13.5703125" style="1" customWidth="1"/>
    <col min="12023" max="12032" width="12.140625" style="1" customWidth="1"/>
    <col min="12033" max="12042" width="0" style="1" hidden="1" customWidth="1"/>
    <col min="12043" max="12043" width="14.140625" style="1" customWidth="1"/>
    <col min="12044" max="12272" width="9.140625" style="1"/>
    <col min="12273" max="12273" width="1" style="1" customWidth="1"/>
    <col min="12274" max="12274" width="39.140625" style="1" customWidth="1"/>
    <col min="12275" max="12275" width="21.42578125" style="1" customWidth="1"/>
    <col min="12276" max="12276" width="11.28515625" style="1" customWidth="1"/>
    <col min="12277" max="12277" width="9.5703125" style="1" customWidth="1"/>
    <col min="12278" max="12278" width="13.5703125" style="1" customWidth="1"/>
    <col min="12279" max="12288" width="12.140625" style="1" customWidth="1"/>
    <col min="12289" max="12298" width="0" style="1" hidden="1" customWidth="1"/>
    <col min="12299" max="12299" width="14.140625" style="1" customWidth="1"/>
    <col min="12300" max="12528" width="9.140625" style="1"/>
    <col min="12529" max="12529" width="1" style="1" customWidth="1"/>
    <col min="12530" max="12530" width="39.140625" style="1" customWidth="1"/>
    <col min="12531" max="12531" width="21.42578125" style="1" customWidth="1"/>
    <col min="12532" max="12532" width="11.28515625" style="1" customWidth="1"/>
    <col min="12533" max="12533" width="9.5703125" style="1" customWidth="1"/>
    <col min="12534" max="12534" width="13.5703125" style="1" customWidth="1"/>
    <col min="12535" max="12544" width="12.140625" style="1" customWidth="1"/>
    <col min="12545" max="12554" width="0" style="1" hidden="1" customWidth="1"/>
    <col min="12555" max="12555" width="14.140625" style="1" customWidth="1"/>
    <col min="12556" max="12784" width="9.140625" style="1"/>
    <col min="12785" max="12785" width="1" style="1" customWidth="1"/>
    <col min="12786" max="12786" width="39.140625" style="1" customWidth="1"/>
    <col min="12787" max="12787" width="21.42578125" style="1" customWidth="1"/>
    <col min="12788" max="12788" width="11.28515625" style="1" customWidth="1"/>
    <col min="12789" max="12789" width="9.5703125" style="1" customWidth="1"/>
    <col min="12790" max="12790" width="13.5703125" style="1" customWidth="1"/>
    <col min="12791" max="12800" width="12.140625" style="1" customWidth="1"/>
    <col min="12801" max="12810" width="0" style="1" hidden="1" customWidth="1"/>
    <col min="12811" max="12811" width="14.140625" style="1" customWidth="1"/>
    <col min="12812" max="13040" width="9.140625" style="1"/>
    <col min="13041" max="13041" width="1" style="1" customWidth="1"/>
    <col min="13042" max="13042" width="39.140625" style="1" customWidth="1"/>
    <col min="13043" max="13043" width="21.42578125" style="1" customWidth="1"/>
    <col min="13044" max="13044" width="11.28515625" style="1" customWidth="1"/>
    <col min="13045" max="13045" width="9.5703125" style="1" customWidth="1"/>
    <col min="13046" max="13046" width="13.5703125" style="1" customWidth="1"/>
    <col min="13047" max="13056" width="12.140625" style="1" customWidth="1"/>
    <col min="13057" max="13066" width="0" style="1" hidden="1" customWidth="1"/>
    <col min="13067" max="13067" width="14.140625" style="1" customWidth="1"/>
    <col min="13068" max="13296" width="9.140625" style="1"/>
    <col min="13297" max="13297" width="1" style="1" customWidth="1"/>
    <col min="13298" max="13298" width="39.140625" style="1" customWidth="1"/>
    <col min="13299" max="13299" width="21.42578125" style="1" customWidth="1"/>
    <col min="13300" max="13300" width="11.28515625" style="1" customWidth="1"/>
    <col min="13301" max="13301" width="9.5703125" style="1" customWidth="1"/>
    <col min="13302" max="13302" width="13.5703125" style="1" customWidth="1"/>
    <col min="13303" max="13312" width="12.140625" style="1" customWidth="1"/>
    <col min="13313" max="13322" width="0" style="1" hidden="1" customWidth="1"/>
    <col min="13323" max="13323" width="14.140625" style="1" customWidth="1"/>
    <col min="13324" max="13552" width="9.140625" style="1"/>
    <col min="13553" max="13553" width="1" style="1" customWidth="1"/>
    <col min="13554" max="13554" width="39.140625" style="1" customWidth="1"/>
    <col min="13555" max="13555" width="21.42578125" style="1" customWidth="1"/>
    <col min="13556" max="13556" width="11.28515625" style="1" customWidth="1"/>
    <col min="13557" max="13557" width="9.5703125" style="1" customWidth="1"/>
    <col min="13558" max="13558" width="13.5703125" style="1" customWidth="1"/>
    <col min="13559" max="13568" width="12.140625" style="1" customWidth="1"/>
    <col min="13569" max="13578" width="0" style="1" hidden="1" customWidth="1"/>
    <col min="13579" max="13579" width="14.140625" style="1" customWidth="1"/>
    <col min="13580" max="13808" width="9.140625" style="1"/>
    <col min="13809" max="13809" width="1" style="1" customWidth="1"/>
    <col min="13810" max="13810" width="39.140625" style="1" customWidth="1"/>
    <col min="13811" max="13811" width="21.42578125" style="1" customWidth="1"/>
    <col min="13812" max="13812" width="11.28515625" style="1" customWidth="1"/>
    <col min="13813" max="13813" width="9.5703125" style="1" customWidth="1"/>
    <col min="13814" max="13814" width="13.5703125" style="1" customWidth="1"/>
    <col min="13815" max="13824" width="12.140625" style="1" customWidth="1"/>
    <col min="13825" max="13834" width="0" style="1" hidden="1" customWidth="1"/>
    <col min="13835" max="13835" width="14.140625" style="1" customWidth="1"/>
    <col min="13836" max="14064" width="9.140625" style="1"/>
    <col min="14065" max="14065" width="1" style="1" customWidth="1"/>
    <col min="14066" max="14066" width="39.140625" style="1" customWidth="1"/>
    <col min="14067" max="14067" width="21.42578125" style="1" customWidth="1"/>
    <col min="14068" max="14068" width="11.28515625" style="1" customWidth="1"/>
    <col min="14069" max="14069" width="9.5703125" style="1" customWidth="1"/>
    <col min="14070" max="14070" width="13.5703125" style="1" customWidth="1"/>
    <col min="14071" max="14080" width="12.140625" style="1" customWidth="1"/>
    <col min="14081" max="14090" width="0" style="1" hidden="1" customWidth="1"/>
    <col min="14091" max="14091" width="14.140625" style="1" customWidth="1"/>
    <col min="14092" max="14320" width="9.140625" style="1"/>
    <col min="14321" max="14321" width="1" style="1" customWidth="1"/>
    <col min="14322" max="14322" width="39.140625" style="1" customWidth="1"/>
    <col min="14323" max="14323" width="21.42578125" style="1" customWidth="1"/>
    <col min="14324" max="14324" width="11.28515625" style="1" customWidth="1"/>
    <col min="14325" max="14325" width="9.5703125" style="1" customWidth="1"/>
    <col min="14326" max="14326" width="13.5703125" style="1" customWidth="1"/>
    <col min="14327" max="14336" width="12.140625" style="1" customWidth="1"/>
    <col min="14337" max="14346" width="0" style="1" hidden="1" customWidth="1"/>
    <col min="14347" max="14347" width="14.140625" style="1" customWidth="1"/>
    <col min="14348" max="14576" width="9.140625" style="1"/>
    <col min="14577" max="14577" width="1" style="1" customWidth="1"/>
    <col min="14578" max="14578" width="39.140625" style="1" customWidth="1"/>
    <col min="14579" max="14579" width="21.42578125" style="1" customWidth="1"/>
    <col min="14580" max="14580" width="11.28515625" style="1" customWidth="1"/>
    <col min="14581" max="14581" width="9.5703125" style="1" customWidth="1"/>
    <col min="14582" max="14582" width="13.5703125" style="1" customWidth="1"/>
    <col min="14583" max="14592" width="12.140625" style="1" customWidth="1"/>
    <col min="14593" max="14602" width="0" style="1" hidden="1" customWidth="1"/>
    <col min="14603" max="14603" width="14.140625" style="1" customWidth="1"/>
    <col min="14604" max="14832" width="9.140625" style="1"/>
    <col min="14833" max="14833" width="1" style="1" customWidth="1"/>
    <col min="14834" max="14834" width="39.140625" style="1" customWidth="1"/>
    <col min="14835" max="14835" width="21.42578125" style="1" customWidth="1"/>
    <col min="14836" max="14836" width="11.28515625" style="1" customWidth="1"/>
    <col min="14837" max="14837" width="9.5703125" style="1" customWidth="1"/>
    <col min="14838" max="14838" width="13.5703125" style="1" customWidth="1"/>
    <col min="14839" max="14848" width="12.140625" style="1" customWidth="1"/>
    <col min="14849" max="14858" width="0" style="1" hidden="1" customWidth="1"/>
    <col min="14859" max="14859" width="14.140625" style="1" customWidth="1"/>
    <col min="14860" max="15088" width="9.140625" style="1"/>
    <col min="15089" max="15089" width="1" style="1" customWidth="1"/>
    <col min="15090" max="15090" width="39.140625" style="1" customWidth="1"/>
    <col min="15091" max="15091" width="21.42578125" style="1" customWidth="1"/>
    <col min="15092" max="15092" width="11.28515625" style="1" customWidth="1"/>
    <col min="15093" max="15093" width="9.5703125" style="1" customWidth="1"/>
    <col min="15094" max="15094" width="13.5703125" style="1" customWidth="1"/>
    <col min="15095" max="15104" width="12.140625" style="1" customWidth="1"/>
    <col min="15105" max="15114" width="0" style="1" hidden="1" customWidth="1"/>
    <col min="15115" max="15115" width="14.140625" style="1" customWidth="1"/>
    <col min="15116" max="15344" width="9.140625" style="1"/>
    <col min="15345" max="15345" width="1" style="1" customWidth="1"/>
    <col min="15346" max="15346" width="39.140625" style="1" customWidth="1"/>
    <col min="15347" max="15347" width="21.42578125" style="1" customWidth="1"/>
    <col min="15348" max="15348" width="11.28515625" style="1" customWidth="1"/>
    <col min="15349" max="15349" width="9.5703125" style="1" customWidth="1"/>
    <col min="15350" max="15350" width="13.5703125" style="1" customWidth="1"/>
    <col min="15351" max="15360" width="12.140625" style="1" customWidth="1"/>
    <col min="15361" max="15370" width="0" style="1" hidden="1" customWidth="1"/>
    <col min="15371" max="15371" width="14.140625" style="1" customWidth="1"/>
    <col min="15372" max="15600" width="9.140625" style="1"/>
    <col min="15601" max="15601" width="1" style="1" customWidth="1"/>
    <col min="15602" max="15602" width="39.140625" style="1" customWidth="1"/>
    <col min="15603" max="15603" width="21.42578125" style="1" customWidth="1"/>
    <col min="15604" max="15604" width="11.28515625" style="1" customWidth="1"/>
    <col min="15605" max="15605" width="9.5703125" style="1" customWidth="1"/>
    <col min="15606" max="15606" width="13.5703125" style="1" customWidth="1"/>
    <col min="15607" max="15616" width="12.140625" style="1" customWidth="1"/>
    <col min="15617" max="15626" width="0" style="1" hidden="1" customWidth="1"/>
    <col min="15627" max="15627" width="14.140625" style="1" customWidth="1"/>
    <col min="15628" max="15856" width="9.140625" style="1"/>
    <col min="15857" max="15857" width="1" style="1" customWidth="1"/>
    <col min="15858" max="15858" width="39.140625" style="1" customWidth="1"/>
    <col min="15859" max="15859" width="21.42578125" style="1" customWidth="1"/>
    <col min="15860" max="15860" width="11.28515625" style="1" customWidth="1"/>
    <col min="15861" max="15861" width="9.5703125" style="1" customWidth="1"/>
    <col min="15862" max="15862" width="13.5703125" style="1" customWidth="1"/>
    <col min="15863" max="15872" width="12.140625" style="1" customWidth="1"/>
    <col min="15873" max="15882" width="0" style="1" hidden="1" customWidth="1"/>
    <col min="15883" max="15883" width="14.140625" style="1" customWidth="1"/>
    <col min="15884" max="16112" width="9.140625" style="1"/>
    <col min="16113" max="16113" width="1" style="1" customWidth="1"/>
    <col min="16114" max="16114" width="39.140625" style="1" customWidth="1"/>
    <col min="16115" max="16115" width="21.42578125" style="1" customWidth="1"/>
    <col min="16116" max="16116" width="11.28515625" style="1" customWidth="1"/>
    <col min="16117" max="16117" width="9.5703125" style="1" customWidth="1"/>
    <col min="16118" max="16118" width="13.5703125" style="1" customWidth="1"/>
    <col min="16119" max="16128" width="12.140625" style="1" customWidth="1"/>
    <col min="16129" max="16138" width="0" style="1" hidden="1" customWidth="1"/>
    <col min="16139" max="16139" width="14.140625" style="1" customWidth="1"/>
    <col min="16140" max="16384" width="9.140625" style="1"/>
  </cols>
  <sheetData>
    <row r="1" spans="1:11" s="17" customFormat="1" ht="22.5" customHeight="1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11" ht="12.75" customHeight="1"/>
    <row r="3" spans="1:11" ht="31.5" customHeight="1">
      <c r="A3" s="105" t="s">
        <v>1</v>
      </c>
      <c r="B3" s="105" t="s">
        <v>2</v>
      </c>
      <c r="C3" s="105" t="s">
        <v>3</v>
      </c>
      <c r="D3" s="105" t="s">
        <v>4</v>
      </c>
      <c r="E3" s="105"/>
      <c r="F3" s="105" t="s">
        <v>5</v>
      </c>
      <c r="G3" s="106"/>
      <c r="H3" s="106"/>
      <c r="I3" s="106"/>
      <c r="J3" s="20"/>
      <c r="K3" s="105" t="s">
        <v>6</v>
      </c>
    </row>
    <row r="4" spans="1:11" s="2" customFormat="1" ht="23.25" customHeight="1">
      <c r="A4" s="105"/>
      <c r="B4" s="105"/>
      <c r="C4" s="105"/>
      <c r="D4" s="3" t="s">
        <v>7</v>
      </c>
      <c r="E4" s="3" t="s">
        <v>8</v>
      </c>
      <c r="F4" s="105"/>
      <c r="G4" s="4">
        <v>2018</v>
      </c>
      <c r="H4" s="4">
        <v>2019</v>
      </c>
      <c r="I4" s="4">
        <v>2020</v>
      </c>
      <c r="J4" s="4">
        <v>2021</v>
      </c>
      <c r="K4" s="105"/>
    </row>
    <row r="5" spans="1:11" s="19" customFormat="1" ht="15" customHeight="1">
      <c r="A5" s="18">
        <v>1</v>
      </c>
      <c r="B5" s="18">
        <v>2</v>
      </c>
      <c r="C5" s="18">
        <v>3</v>
      </c>
      <c r="D5" s="18">
        <v>4</v>
      </c>
      <c r="E5" s="18">
        <v>5</v>
      </c>
      <c r="F5" s="18">
        <v>6</v>
      </c>
      <c r="G5" s="18">
        <v>7</v>
      </c>
      <c r="H5" s="18">
        <v>8</v>
      </c>
      <c r="I5" s="18">
        <v>9</v>
      </c>
      <c r="J5" s="18">
        <v>10</v>
      </c>
      <c r="K5" s="18">
        <v>11</v>
      </c>
    </row>
    <row r="6" spans="1:11" s="7" customFormat="1" ht="18.75" customHeight="1">
      <c r="A6" s="5" t="s">
        <v>9</v>
      </c>
      <c r="B6" s="103" t="s">
        <v>10</v>
      </c>
      <c r="C6" s="103"/>
      <c r="D6" s="103"/>
      <c r="E6" s="103"/>
      <c r="F6" s="6">
        <f t="shared" ref="F6:K7" si="0">SUM(F9,F21,F24)</f>
        <v>59852068</v>
      </c>
      <c r="G6" s="6">
        <f t="shared" si="0"/>
        <v>28365570</v>
      </c>
      <c r="H6" s="6">
        <f t="shared" si="0"/>
        <v>5663521</v>
      </c>
      <c r="I6" s="6">
        <f t="shared" si="0"/>
        <v>2925957</v>
      </c>
      <c r="J6" s="6">
        <f t="shared" si="0"/>
        <v>374400</v>
      </c>
      <c r="K6" s="6">
        <f t="shared" si="0"/>
        <v>37329448</v>
      </c>
    </row>
    <row r="7" spans="1:11" s="7" customFormat="1" ht="18.75" customHeight="1">
      <c r="A7" s="5" t="s">
        <v>11</v>
      </c>
      <c r="B7" s="103" t="s">
        <v>12</v>
      </c>
      <c r="C7" s="103"/>
      <c r="D7" s="103"/>
      <c r="E7" s="103"/>
      <c r="F7" s="6">
        <f t="shared" si="0"/>
        <v>7735625</v>
      </c>
      <c r="G7" s="6">
        <f>SUM(G10,G22,G25)</f>
        <v>1934023</v>
      </c>
      <c r="H7" s="6">
        <f t="shared" si="0"/>
        <v>2513856</v>
      </c>
      <c r="I7" s="6">
        <f t="shared" si="0"/>
        <v>1725957</v>
      </c>
      <c r="J7" s="6">
        <f t="shared" si="0"/>
        <v>374400</v>
      </c>
      <c r="K7" s="6">
        <f t="shared" si="0"/>
        <v>6548236</v>
      </c>
    </row>
    <row r="8" spans="1:11" s="7" customFormat="1" ht="18.75" customHeight="1">
      <c r="A8" s="5" t="s">
        <v>13</v>
      </c>
      <c r="B8" s="103" t="s">
        <v>14</v>
      </c>
      <c r="C8" s="103"/>
      <c r="D8" s="103"/>
      <c r="E8" s="103"/>
      <c r="F8" s="6">
        <f t="shared" ref="F8:K8" si="1">SUM(F19,F23,F28)</f>
        <v>52116443</v>
      </c>
      <c r="G8" s="6">
        <f t="shared" si="1"/>
        <v>26431547</v>
      </c>
      <c r="H8" s="6">
        <f t="shared" si="1"/>
        <v>3149665</v>
      </c>
      <c r="I8" s="6">
        <f t="shared" si="1"/>
        <v>1200000</v>
      </c>
      <c r="J8" s="6">
        <f t="shared" si="1"/>
        <v>0</v>
      </c>
      <c r="K8" s="6">
        <f t="shared" si="1"/>
        <v>30781212</v>
      </c>
    </row>
    <row r="9" spans="1:11" s="9" customFormat="1" ht="48.75" customHeight="1">
      <c r="A9" s="5" t="s">
        <v>15</v>
      </c>
      <c r="B9" s="103" t="s">
        <v>291</v>
      </c>
      <c r="C9" s="103"/>
      <c r="D9" s="103"/>
      <c r="E9" s="103"/>
      <c r="F9" s="8">
        <f t="shared" ref="F9:K9" si="2">SUM(F10,F19)</f>
        <v>6452782</v>
      </c>
      <c r="G9" s="8">
        <f t="shared" si="2"/>
        <v>1798900</v>
      </c>
      <c r="H9" s="8">
        <f>SUM(H10,H19)</f>
        <v>2197121</v>
      </c>
      <c r="I9" s="8">
        <f t="shared" si="2"/>
        <v>1351557</v>
      </c>
      <c r="J9" s="8">
        <f t="shared" si="2"/>
        <v>0</v>
      </c>
      <c r="K9" s="8">
        <f t="shared" si="2"/>
        <v>5347578</v>
      </c>
    </row>
    <row r="10" spans="1:11" s="7" customFormat="1" ht="18.75" customHeight="1">
      <c r="A10" s="5" t="s">
        <v>16</v>
      </c>
      <c r="B10" s="103" t="s">
        <v>12</v>
      </c>
      <c r="C10" s="103"/>
      <c r="D10" s="103"/>
      <c r="E10" s="103"/>
      <c r="F10" s="6">
        <f>SUM(F11:F18)</f>
        <v>6130665</v>
      </c>
      <c r="G10" s="6">
        <f>SUM(G11:G18)</f>
        <v>1583823</v>
      </c>
      <c r="H10" s="6">
        <f t="shared" ref="H10:K10" si="3">SUM(H11:H18)</f>
        <v>2137456</v>
      </c>
      <c r="I10" s="6">
        <f t="shared" si="3"/>
        <v>1351557</v>
      </c>
      <c r="J10" s="6">
        <f t="shared" si="3"/>
        <v>0</v>
      </c>
      <c r="K10" s="6">
        <f t="shared" si="3"/>
        <v>5072836</v>
      </c>
    </row>
    <row r="11" spans="1:11" s="15" customFormat="1" ht="43.5" customHeight="1">
      <c r="A11" s="10" t="s">
        <v>36</v>
      </c>
      <c r="B11" s="11" t="s">
        <v>239</v>
      </c>
      <c r="C11" s="12" t="s">
        <v>240</v>
      </c>
      <c r="D11" s="13">
        <v>2017</v>
      </c>
      <c r="E11" s="13">
        <v>2018</v>
      </c>
      <c r="F11" s="14">
        <v>571446</v>
      </c>
      <c r="G11" s="14">
        <v>220615</v>
      </c>
      <c r="H11" s="14"/>
      <c r="I11" s="14"/>
      <c r="J11" s="14"/>
      <c r="K11" s="14">
        <f t="shared" ref="K11:K18" si="4">SUM(G11:I11)</f>
        <v>220615</v>
      </c>
    </row>
    <row r="12" spans="1:11" s="15" customFormat="1" ht="43.5" customHeight="1">
      <c r="A12" s="10" t="s">
        <v>238</v>
      </c>
      <c r="B12" s="11" t="s">
        <v>247</v>
      </c>
      <c r="C12" s="12" t="s">
        <v>18</v>
      </c>
      <c r="D12" s="13">
        <v>2017</v>
      </c>
      <c r="E12" s="13">
        <v>2018</v>
      </c>
      <c r="F12" s="14">
        <v>830763</v>
      </c>
      <c r="G12" s="14">
        <v>165712</v>
      </c>
      <c r="H12" s="14"/>
      <c r="I12" s="14"/>
      <c r="J12" s="14"/>
      <c r="K12" s="14">
        <f t="shared" si="4"/>
        <v>165712</v>
      </c>
    </row>
    <row r="13" spans="1:11" s="15" customFormat="1" ht="18.75" customHeight="1">
      <c r="A13" s="10" t="s">
        <v>246</v>
      </c>
      <c r="B13" s="11" t="s">
        <v>251</v>
      </c>
      <c r="C13" s="12" t="s">
        <v>252</v>
      </c>
      <c r="D13" s="13">
        <v>2017</v>
      </c>
      <c r="E13" s="13">
        <v>2018</v>
      </c>
      <c r="F13" s="14">
        <v>33102</v>
      </c>
      <c r="G13" s="14">
        <v>6621</v>
      </c>
      <c r="H13" s="14"/>
      <c r="I13" s="14"/>
      <c r="J13" s="14"/>
      <c r="K13" s="14">
        <f t="shared" si="4"/>
        <v>6621</v>
      </c>
    </row>
    <row r="14" spans="1:11" s="15" customFormat="1" ht="42" customHeight="1">
      <c r="A14" s="10" t="s">
        <v>250</v>
      </c>
      <c r="B14" s="11" t="s">
        <v>255</v>
      </c>
      <c r="C14" s="12" t="s">
        <v>240</v>
      </c>
      <c r="D14" s="13">
        <v>2017</v>
      </c>
      <c r="E14" s="13">
        <v>2019</v>
      </c>
      <c r="F14" s="14">
        <v>514780</v>
      </c>
      <c r="G14" s="14">
        <v>259588</v>
      </c>
      <c r="H14" s="14">
        <v>239726</v>
      </c>
      <c r="I14" s="14"/>
      <c r="J14" s="14"/>
      <c r="K14" s="14">
        <f t="shared" si="4"/>
        <v>499314</v>
      </c>
    </row>
    <row r="15" spans="1:11" s="15" customFormat="1" ht="42" customHeight="1">
      <c r="A15" s="10" t="s">
        <v>254</v>
      </c>
      <c r="B15" s="11" t="s">
        <v>256</v>
      </c>
      <c r="C15" s="12" t="s">
        <v>18</v>
      </c>
      <c r="D15" s="13">
        <v>2018</v>
      </c>
      <c r="E15" s="13">
        <v>2019</v>
      </c>
      <c r="F15" s="14">
        <v>645924</v>
      </c>
      <c r="G15" s="14">
        <v>516739</v>
      </c>
      <c r="H15" s="14">
        <v>129185</v>
      </c>
      <c r="I15" s="14"/>
      <c r="J15" s="14"/>
      <c r="K15" s="14">
        <f t="shared" si="4"/>
        <v>645924</v>
      </c>
    </row>
    <row r="16" spans="1:11" s="90" customFormat="1" ht="48" customHeight="1">
      <c r="A16" s="91" t="s">
        <v>295</v>
      </c>
      <c r="B16" s="87" t="s">
        <v>296</v>
      </c>
      <c r="C16" s="88" t="s">
        <v>240</v>
      </c>
      <c r="D16" s="86">
        <v>2018</v>
      </c>
      <c r="E16" s="86">
        <v>2020</v>
      </c>
      <c r="F16" s="92">
        <v>2794923</v>
      </c>
      <c r="G16" s="92">
        <f>1025374-610826</f>
        <v>414548</v>
      </c>
      <c r="H16" s="92">
        <v>1182832</v>
      </c>
      <c r="I16" s="92">
        <v>1197543</v>
      </c>
      <c r="J16" s="92"/>
      <c r="K16" s="92">
        <f t="shared" si="4"/>
        <v>2794923</v>
      </c>
    </row>
    <row r="17" spans="1:13" s="84" customFormat="1" ht="40.5" customHeight="1">
      <c r="A17" s="13" t="s">
        <v>303</v>
      </c>
      <c r="B17" s="11" t="s">
        <v>304</v>
      </c>
      <c r="C17" s="12" t="s">
        <v>18</v>
      </c>
      <c r="D17" s="13">
        <v>2018</v>
      </c>
      <c r="E17" s="13">
        <v>2020</v>
      </c>
      <c r="F17" s="83">
        <v>643517</v>
      </c>
      <c r="G17" s="83">
        <v>0</v>
      </c>
      <c r="H17" s="83">
        <v>508745</v>
      </c>
      <c r="I17" s="83">
        <v>134772</v>
      </c>
      <c r="J17" s="83"/>
      <c r="K17" s="83">
        <f t="shared" si="4"/>
        <v>643517</v>
      </c>
    </row>
    <row r="18" spans="1:13" s="93" customFormat="1" ht="40.5" customHeight="1">
      <c r="A18" s="86" t="s">
        <v>306</v>
      </c>
      <c r="B18" s="87" t="s">
        <v>307</v>
      </c>
      <c r="C18" s="88" t="s">
        <v>292</v>
      </c>
      <c r="D18" s="86">
        <v>2018</v>
      </c>
      <c r="E18" s="86">
        <v>2020</v>
      </c>
      <c r="F18" s="89">
        <v>96210</v>
      </c>
      <c r="G18" s="89">
        <v>0</v>
      </c>
      <c r="H18" s="89">
        <v>76968</v>
      </c>
      <c r="I18" s="89">
        <v>19242</v>
      </c>
      <c r="J18" s="89"/>
      <c r="K18" s="89">
        <f t="shared" si="4"/>
        <v>96210</v>
      </c>
    </row>
    <row r="19" spans="1:13" s="7" customFormat="1" ht="18.75" customHeight="1">
      <c r="A19" s="5" t="s">
        <v>19</v>
      </c>
      <c r="B19" s="103" t="s">
        <v>14</v>
      </c>
      <c r="C19" s="103"/>
      <c r="D19" s="103"/>
      <c r="E19" s="103"/>
      <c r="F19" s="6">
        <f>SUM(F20:F20)</f>
        <v>322117</v>
      </c>
      <c r="G19" s="6">
        <f t="shared" ref="G19:K19" si="5">SUM(G20:G20)</f>
        <v>215077</v>
      </c>
      <c r="H19" s="6">
        <f t="shared" si="5"/>
        <v>59665</v>
      </c>
      <c r="I19" s="6">
        <f t="shared" si="5"/>
        <v>0</v>
      </c>
      <c r="J19" s="6">
        <f t="shared" si="5"/>
        <v>0</v>
      </c>
      <c r="K19" s="6">
        <f t="shared" si="5"/>
        <v>274742</v>
      </c>
      <c r="L19" s="16"/>
      <c r="M19" s="16"/>
    </row>
    <row r="20" spans="1:13" s="90" customFormat="1" ht="44.25" customHeight="1">
      <c r="A20" s="91" t="s">
        <v>37</v>
      </c>
      <c r="B20" s="87" t="s">
        <v>20</v>
      </c>
      <c r="C20" s="88" t="s">
        <v>17</v>
      </c>
      <c r="D20" s="86">
        <v>2016</v>
      </c>
      <c r="E20" s="86">
        <v>2019</v>
      </c>
      <c r="F20" s="92">
        <v>322117</v>
      </c>
      <c r="G20" s="92">
        <f>259819+13861-58603</f>
        <v>215077</v>
      </c>
      <c r="H20" s="92">
        <f>1062+58603</f>
        <v>59665</v>
      </c>
      <c r="I20" s="92"/>
      <c r="J20" s="92"/>
      <c r="K20" s="92">
        <f>SUM(G20:I20)</f>
        <v>274742</v>
      </c>
    </row>
    <row r="21" spans="1:13" s="9" customFormat="1" ht="18.75" customHeight="1">
      <c r="A21" s="5" t="s">
        <v>21</v>
      </c>
      <c r="B21" s="103" t="s">
        <v>22</v>
      </c>
      <c r="C21" s="103"/>
      <c r="D21" s="103"/>
      <c r="E21" s="103"/>
      <c r="F21" s="8">
        <f t="shared" ref="F21:J21" si="6">SUM(F22:F23)</f>
        <v>0</v>
      </c>
      <c r="G21" s="8">
        <f t="shared" si="6"/>
        <v>0</v>
      </c>
      <c r="H21" s="8">
        <f t="shared" si="6"/>
        <v>0</v>
      </c>
      <c r="I21" s="8">
        <f t="shared" si="6"/>
        <v>0</v>
      </c>
      <c r="J21" s="8">
        <f t="shared" si="6"/>
        <v>0</v>
      </c>
      <c r="K21" s="8">
        <f>SUM(G21:I21)</f>
        <v>0</v>
      </c>
    </row>
    <row r="22" spans="1:13" s="9" customFormat="1" ht="18.75" customHeight="1">
      <c r="A22" s="5" t="s">
        <v>241</v>
      </c>
      <c r="B22" s="103" t="s">
        <v>12</v>
      </c>
      <c r="C22" s="103"/>
      <c r="D22" s="103"/>
      <c r="E22" s="103"/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f>SUM(G22:I22)</f>
        <v>0</v>
      </c>
    </row>
    <row r="23" spans="1:13" s="9" customFormat="1" ht="18.75" customHeight="1">
      <c r="A23" s="5" t="s">
        <v>242</v>
      </c>
      <c r="B23" s="103" t="s">
        <v>14</v>
      </c>
      <c r="C23" s="103"/>
      <c r="D23" s="103"/>
      <c r="E23" s="103"/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f>SUM(G23:I23)</f>
        <v>0</v>
      </c>
    </row>
    <row r="24" spans="1:13" s="9" customFormat="1" ht="18.75" customHeight="1">
      <c r="A24" s="5" t="s">
        <v>25</v>
      </c>
      <c r="B24" s="103" t="s">
        <v>26</v>
      </c>
      <c r="C24" s="103"/>
      <c r="D24" s="103"/>
      <c r="E24" s="103"/>
      <c r="F24" s="8">
        <f>SUM(F25,F28)</f>
        <v>53399286</v>
      </c>
      <c r="G24" s="8">
        <f>SUM(G25,G28)</f>
        <v>26566670</v>
      </c>
      <c r="H24" s="8">
        <f t="shared" ref="H24:K24" si="7">SUM(H25,H28)</f>
        <v>3466400</v>
      </c>
      <c r="I24" s="8">
        <f t="shared" si="7"/>
        <v>1574400</v>
      </c>
      <c r="J24" s="8">
        <f t="shared" si="7"/>
        <v>374400</v>
      </c>
      <c r="K24" s="8">
        <f t="shared" si="7"/>
        <v>31981870</v>
      </c>
    </row>
    <row r="25" spans="1:13" s="9" customFormat="1" ht="18.75" customHeight="1">
      <c r="A25" s="5" t="s">
        <v>27</v>
      </c>
      <c r="B25" s="103" t="s">
        <v>12</v>
      </c>
      <c r="C25" s="103"/>
      <c r="D25" s="103"/>
      <c r="E25" s="103"/>
      <c r="F25" s="8">
        <f>SUM(F26:F27)</f>
        <v>1604960</v>
      </c>
      <c r="G25" s="8">
        <f t="shared" ref="G25:K25" si="8">SUM(G26:G27)</f>
        <v>350200</v>
      </c>
      <c r="H25" s="8">
        <f t="shared" si="8"/>
        <v>376400</v>
      </c>
      <c r="I25" s="8">
        <f t="shared" si="8"/>
        <v>374400</v>
      </c>
      <c r="J25" s="8">
        <f t="shared" si="8"/>
        <v>374400</v>
      </c>
      <c r="K25" s="8">
        <f t="shared" si="8"/>
        <v>1475400</v>
      </c>
    </row>
    <row r="26" spans="1:13" s="84" customFormat="1" ht="36" customHeight="1">
      <c r="A26" s="13" t="s">
        <v>249</v>
      </c>
      <c r="B26" s="11" t="s">
        <v>248</v>
      </c>
      <c r="C26" s="12" t="s">
        <v>17</v>
      </c>
      <c r="D26" s="13">
        <v>2017</v>
      </c>
      <c r="E26" s="13">
        <v>2019</v>
      </c>
      <c r="F26" s="83">
        <f>240000+5000</f>
        <v>245000</v>
      </c>
      <c r="G26" s="83">
        <f>80000+5000</f>
        <v>85000</v>
      </c>
      <c r="H26" s="83">
        <v>80000</v>
      </c>
      <c r="I26" s="83"/>
      <c r="J26" s="83"/>
      <c r="K26" s="83">
        <f>SUM(G26:I26)</f>
        <v>165000</v>
      </c>
    </row>
    <row r="27" spans="1:13" s="15" customFormat="1" ht="52.5" customHeight="1">
      <c r="A27" s="10" t="s">
        <v>288</v>
      </c>
      <c r="B27" s="11" t="s">
        <v>289</v>
      </c>
      <c r="C27" s="12" t="s">
        <v>290</v>
      </c>
      <c r="D27" s="13">
        <v>2017</v>
      </c>
      <c r="E27" s="13">
        <v>2021</v>
      </c>
      <c r="F27" s="14">
        <v>1359960</v>
      </c>
      <c r="G27" s="14">
        <v>265200</v>
      </c>
      <c r="H27" s="14">
        <v>296400</v>
      </c>
      <c r="I27" s="14">
        <v>374400</v>
      </c>
      <c r="J27" s="14">
        <v>374400</v>
      </c>
      <c r="K27" s="14">
        <f>SUM(G27:J27)</f>
        <v>1310400</v>
      </c>
    </row>
    <row r="28" spans="1:13" s="9" customFormat="1" ht="18.75" customHeight="1">
      <c r="A28" s="5" t="s">
        <v>28</v>
      </c>
      <c r="B28" s="103" t="s">
        <v>14</v>
      </c>
      <c r="C28" s="103"/>
      <c r="D28" s="103"/>
      <c r="E28" s="103"/>
      <c r="F28" s="8">
        <f>SUM(F29:F60)</f>
        <v>51794326</v>
      </c>
      <c r="G28" s="8">
        <f>SUM(G29:G60)</f>
        <v>26216470</v>
      </c>
      <c r="H28" s="8">
        <f>SUM(H29:H60)</f>
        <v>3090000</v>
      </c>
      <c r="I28" s="8">
        <f>SUM(I29:I60)</f>
        <v>1200000</v>
      </c>
      <c r="J28" s="8">
        <f t="shared" ref="J28" si="9">SUM(J29:J60)</f>
        <v>0</v>
      </c>
      <c r="K28" s="8">
        <f>SUM(K29:K60)</f>
        <v>30506470</v>
      </c>
    </row>
    <row r="29" spans="1:13" s="15" customFormat="1" ht="35.25" customHeight="1">
      <c r="A29" s="10" t="s">
        <v>29</v>
      </c>
      <c r="B29" s="11" t="s">
        <v>30</v>
      </c>
      <c r="C29" s="12" t="s">
        <v>31</v>
      </c>
      <c r="D29" s="13">
        <v>2014</v>
      </c>
      <c r="E29" s="13">
        <v>2019</v>
      </c>
      <c r="F29" s="14">
        <v>744637</v>
      </c>
      <c r="G29" s="14">
        <v>0</v>
      </c>
      <c r="H29" s="14">
        <v>150000</v>
      </c>
      <c r="I29" s="14"/>
      <c r="J29" s="14"/>
      <c r="K29" s="14">
        <f t="shared" ref="K29:K55" si="10">SUM(G29:I29)</f>
        <v>150000</v>
      </c>
    </row>
    <row r="30" spans="1:13" s="84" customFormat="1" ht="36.75" customHeight="1">
      <c r="A30" s="13" t="s">
        <v>38</v>
      </c>
      <c r="B30" s="11" t="s">
        <v>34</v>
      </c>
      <c r="C30" s="12" t="s">
        <v>31</v>
      </c>
      <c r="D30" s="13">
        <v>2016</v>
      </c>
      <c r="E30" s="13">
        <v>2019</v>
      </c>
      <c r="F30" s="83">
        <f>6140333+800000-3028816+271183</f>
        <v>4182700</v>
      </c>
      <c r="G30" s="83">
        <f>6057633+800000-3028816+271183</f>
        <v>4100000</v>
      </c>
      <c r="H30" s="83"/>
      <c r="I30" s="83"/>
      <c r="J30" s="83"/>
      <c r="K30" s="83">
        <f>SUM(G30:I30)</f>
        <v>4100000</v>
      </c>
    </row>
    <row r="31" spans="1:13" s="15" customFormat="1" ht="35.25" customHeight="1">
      <c r="A31" s="10" t="s">
        <v>39</v>
      </c>
      <c r="B31" s="11" t="s">
        <v>35</v>
      </c>
      <c r="C31" s="12" t="s">
        <v>31</v>
      </c>
      <c r="D31" s="13">
        <v>2015</v>
      </c>
      <c r="E31" s="13">
        <v>2018</v>
      </c>
      <c r="F31" s="14">
        <v>750000</v>
      </c>
      <c r="G31" s="14">
        <v>150000</v>
      </c>
      <c r="H31" s="14"/>
      <c r="I31" s="14"/>
      <c r="J31" s="14"/>
      <c r="K31" s="14">
        <f t="shared" si="10"/>
        <v>150000</v>
      </c>
    </row>
    <row r="32" spans="1:13" s="15" customFormat="1" ht="51" customHeight="1">
      <c r="A32" s="10" t="s">
        <v>40</v>
      </c>
      <c r="B32" s="11" t="s">
        <v>32</v>
      </c>
      <c r="C32" s="12" t="s">
        <v>17</v>
      </c>
      <c r="D32" s="13">
        <v>2011</v>
      </c>
      <c r="E32" s="13">
        <v>2019</v>
      </c>
      <c r="F32" s="14">
        <f>1342416-61350</f>
        <v>1281066</v>
      </c>
      <c r="G32" s="14">
        <f>61350-61350</f>
        <v>0</v>
      </c>
      <c r="H32" s="14">
        <v>1000000</v>
      </c>
      <c r="I32" s="14"/>
      <c r="J32" s="14"/>
      <c r="K32" s="14">
        <f t="shared" si="10"/>
        <v>1000000</v>
      </c>
    </row>
    <row r="33" spans="1:11" s="15" customFormat="1" ht="34.5" customHeight="1">
      <c r="A33" s="13" t="s">
        <v>41</v>
      </c>
      <c r="B33" s="11" t="s">
        <v>243</v>
      </c>
      <c r="C33" s="12" t="s">
        <v>31</v>
      </c>
      <c r="D33" s="13">
        <v>2016</v>
      </c>
      <c r="E33" s="13">
        <v>2018</v>
      </c>
      <c r="F33" s="83">
        <f>549815-310000-190000</f>
        <v>49815</v>
      </c>
      <c r="G33" s="83">
        <f>500000-310000-190000</f>
        <v>0</v>
      </c>
      <c r="H33" s="83"/>
      <c r="I33" s="83"/>
      <c r="J33" s="83"/>
      <c r="K33" s="83">
        <f t="shared" si="10"/>
        <v>0</v>
      </c>
    </row>
    <row r="34" spans="1:11" s="15" customFormat="1" ht="68.25" customHeight="1">
      <c r="A34" s="10" t="s">
        <v>42</v>
      </c>
      <c r="B34" s="11" t="s">
        <v>33</v>
      </c>
      <c r="C34" s="12" t="s">
        <v>31</v>
      </c>
      <c r="D34" s="13">
        <v>2011</v>
      </c>
      <c r="E34" s="13">
        <v>2018</v>
      </c>
      <c r="F34" s="14">
        <f>31123790-997091</f>
        <v>30126699</v>
      </c>
      <c r="G34" s="14">
        <f>16000000-997091</f>
        <v>15002909</v>
      </c>
      <c r="H34" s="14"/>
      <c r="I34" s="14"/>
      <c r="J34" s="14"/>
      <c r="K34" s="14">
        <f t="shared" si="10"/>
        <v>15002909</v>
      </c>
    </row>
    <row r="35" spans="1:11" ht="36" customHeight="1">
      <c r="A35" s="10" t="s">
        <v>43</v>
      </c>
      <c r="B35" s="11" t="s">
        <v>233</v>
      </c>
      <c r="C35" s="12" t="s">
        <v>31</v>
      </c>
      <c r="D35" s="13">
        <v>2016</v>
      </c>
      <c r="E35" s="13">
        <v>2019</v>
      </c>
      <c r="F35" s="14">
        <f>395000+80000+84102</f>
        <v>559102</v>
      </c>
      <c r="G35" s="14">
        <f>75000+80000+84102</f>
        <v>239102</v>
      </c>
      <c r="H35" s="14">
        <v>80000</v>
      </c>
      <c r="I35" s="14"/>
      <c r="J35" s="14"/>
      <c r="K35" s="14">
        <f t="shared" si="10"/>
        <v>319102</v>
      </c>
    </row>
    <row r="36" spans="1:11" ht="46.5" customHeight="1">
      <c r="A36" s="10" t="s">
        <v>44</v>
      </c>
      <c r="B36" s="11" t="s">
        <v>234</v>
      </c>
      <c r="C36" s="12" t="s">
        <v>31</v>
      </c>
      <c r="D36" s="13">
        <v>2017</v>
      </c>
      <c r="E36" s="13">
        <v>2019</v>
      </c>
      <c r="F36" s="14">
        <v>200000</v>
      </c>
      <c r="G36" s="14">
        <v>0</v>
      </c>
      <c r="H36" s="14">
        <v>160000</v>
      </c>
      <c r="I36" s="14"/>
      <c r="J36" s="14"/>
      <c r="K36" s="14">
        <f t="shared" si="10"/>
        <v>160000</v>
      </c>
    </row>
    <row r="37" spans="1:11" ht="48.75" customHeight="1">
      <c r="A37" s="13" t="s">
        <v>45</v>
      </c>
      <c r="B37" s="11" t="s">
        <v>235</v>
      </c>
      <c r="C37" s="12" t="s">
        <v>31</v>
      </c>
      <c r="D37" s="13">
        <v>2017</v>
      </c>
      <c r="E37" s="13">
        <v>2018</v>
      </c>
      <c r="F37" s="83">
        <f>600000+8000-538000</f>
        <v>70000</v>
      </c>
      <c r="G37" s="83">
        <f>530000+8000-538000</f>
        <v>0</v>
      </c>
      <c r="H37" s="83"/>
      <c r="I37" s="83"/>
      <c r="J37" s="83"/>
      <c r="K37" s="83">
        <f t="shared" si="10"/>
        <v>0</v>
      </c>
    </row>
    <row r="38" spans="1:11" ht="33.75" customHeight="1">
      <c r="A38" s="10" t="s">
        <v>46</v>
      </c>
      <c r="B38" s="11" t="s">
        <v>236</v>
      </c>
      <c r="C38" s="12" t="s">
        <v>31</v>
      </c>
      <c r="D38" s="13">
        <v>2017</v>
      </c>
      <c r="E38" s="13">
        <v>2020</v>
      </c>
      <c r="F38" s="14">
        <v>300000</v>
      </c>
      <c r="G38" s="14">
        <v>0</v>
      </c>
      <c r="H38" s="14">
        <v>100000</v>
      </c>
      <c r="I38" s="14">
        <v>100000</v>
      </c>
      <c r="J38" s="14"/>
      <c r="K38" s="14">
        <f t="shared" si="10"/>
        <v>200000</v>
      </c>
    </row>
    <row r="39" spans="1:11" ht="34.5" customHeight="1">
      <c r="A39" s="10" t="s">
        <v>47</v>
      </c>
      <c r="B39" s="11" t="s">
        <v>237</v>
      </c>
      <c r="C39" s="12" t="s">
        <v>31</v>
      </c>
      <c r="D39" s="13">
        <v>2017</v>
      </c>
      <c r="E39" s="13">
        <v>2019</v>
      </c>
      <c r="F39" s="14">
        <f>2540670+257375-588045</f>
        <v>2210000</v>
      </c>
      <c r="G39" s="14">
        <f>857375+257375</f>
        <v>1114750</v>
      </c>
      <c r="H39" s="14">
        <f>588045-588045</f>
        <v>0</v>
      </c>
      <c r="I39" s="14"/>
      <c r="J39" s="14"/>
      <c r="K39" s="14">
        <f t="shared" si="10"/>
        <v>1114750</v>
      </c>
    </row>
    <row r="40" spans="1:11" ht="36.75" customHeight="1">
      <c r="A40" s="10" t="s">
        <v>48</v>
      </c>
      <c r="B40" s="11" t="s">
        <v>245</v>
      </c>
      <c r="C40" s="12" t="s">
        <v>31</v>
      </c>
      <c r="D40" s="13">
        <v>2017</v>
      </c>
      <c r="E40" s="13">
        <v>2020</v>
      </c>
      <c r="F40" s="14">
        <f>500000+50000</f>
        <v>550000</v>
      </c>
      <c r="G40" s="14">
        <f>200000+50000</f>
        <v>250000</v>
      </c>
      <c r="H40" s="14">
        <v>100000</v>
      </c>
      <c r="I40" s="14">
        <v>100000</v>
      </c>
      <c r="J40" s="14"/>
      <c r="K40" s="14">
        <f t="shared" si="10"/>
        <v>450000</v>
      </c>
    </row>
    <row r="41" spans="1:11" s="82" customFormat="1" ht="35.25" customHeight="1">
      <c r="A41" s="91" t="s">
        <v>232</v>
      </c>
      <c r="B41" s="87" t="s">
        <v>253</v>
      </c>
      <c r="C41" s="88" t="s">
        <v>17</v>
      </c>
      <c r="D41" s="86">
        <v>2017</v>
      </c>
      <c r="E41" s="86">
        <v>2018</v>
      </c>
      <c r="F41" s="92">
        <f>3109500+75000-17697</f>
        <v>3166803</v>
      </c>
      <c r="G41" s="92">
        <f>2565402+75000-17697</f>
        <v>2622705</v>
      </c>
      <c r="H41" s="92"/>
      <c r="I41" s="92"/>
      <c r="J41" s="92"/>
      <c r="K41" s="92">
        <f t="shared" si="10"/>
        <v>2622705</v>
      </c>
    </row>
    <row r="42" spans="1:11" ht="43.5" customHeight="1">
      <c r="A42" s="10" t="s">
        <v>244</v>
      </c>
      <c r="B42" s="11" t="s">
        <v>286</v>
      </c>
      <c r="C42" s="12" t="s">
        <v>257</v>
      </c>
      <c r="D42" s="13">
        <v>2017</v>
      </c>
      <c r="E42" s="13">
        <v>2018</v>
      </c>
      <c r="F42" s="14">
        <v>136500</v>
      </c>
      <c r="G42" s="14">
        <v>68000</v>
      </c>
      <c r="H42" s="14"/>
      <c r="I42" s="14"/>
      <c r="J42" s="14"/>
      <c r="K42" s="14">
        <f t="shared" si="10"/>
        <v>68000</v>
      </c>
    </row>
    <row r="43" spans="1:11" ht="39.75" customHeight="1">
      <c r="A43" s="10" t="s">
        <v>258</v>
      </c>
      <c r="B43" s="11" t="s">
        <v>259</v>
      </c>
      <c r="C43" s="12" t="s">
        <v>31</v>
      </c>
      <c r="D43" s="13">
        <v>2017</v>
      </c>
      <c r="E43" s="13">
        <v>2018</v>
      </c>
      <c r="F43" s="14">
        <v>250000</v>
      </c>
      <c r="G43" s="14">
        <v>100000</v>
      </c>
      <c r="H43" s="14"/>
      <c r="I43" s="14"/>
      <c r="J43" s="14"/>
      <c r="K43" s="14">
        <f t="shared" si="10"/>
        <v>100000</v>
      </c>
    </row>
    <row r="44" spans="1:11" ht="48" customHeight="1">
      <c r="A44" s="10" t="s">
        <v>260</v>
      </c>
      <c r="B44" s="11" t="s">
        <v>261</v>
      </c>
      <c r="C44" s="12" t="s">
        <v>31</v>
      </c>
      <c r="D44" s="13">
        <v>2017</v>
      </c>
      <c r="E44" s="13">
        <v>2018</v>
      </c>
      <c r="F44" s="14">
        <v>250000</v>
      </c>
      <c r="G44" s="14">
        <v>100000</v>
      </c>
      <c r="H44" s="14"/>
      <c r="I44" s="14"/>
      <c r="J44" s="14"/>
      <c r="K44" s="14">
        <f t="shared" si="10"/>
        <v>100000</v>
      </c>
    </row>
    <row r="45" spans="1:11" ht="33.75" customHeight="1">
      <c r="A45" s="10" t="s">
        <v>262</v>
      </c>
      <c r="B45" s="11" t="s">
        <v>263</v>
      </c>
      <c r="C45" s="12" t="s">
        <v>31</v>
      </c>
      <c r="D45" s="13">
        <v>2017</v>
      </c>
      <c r="E45" s="13">
        <v>2018</v>
      </c>
      <c r="F45" s="14">
        <v>250000</v>
      </c>
      <c r="G45" s="14">
        <v>100000</v>
      </c>
      <c r="H45" s="14"/>
      <c r="I45" s="14"/>
      <c r="J45" s="14"/>
      <c r="K45" s="14">
        <f t="shared" si="10"/>
        <v>100000</v>
      </c>
    </row>
    <row r="46" spans="1:11" ht="37.5" customHeight="1">
      <c r="A46" s="10" t="s">
        <v>264</v>
      </c>
      <c r="B46" s="11" t="s">
        <v>265</v>
      </c>
      <c r="C46" s="12" t="s">
        <v>31</v>
      </c>
      <c r="D46" s="13">
        <v>2017</v>
      </c>
      <c r="E46" s="13">
        <v>2018</v>
      </c>
      <c r="F46" s="14">
        <v>200000</v>
      </c>
      <c r="G46" s="14">
        <v>100000</v>
      </c>
      <c r="H46" s="14"/>
      <c r="I46" s="14"/>
      <c r="J46" s="14"/>
      <c r="K46" s="14">
        <f t="shared" si="10"/>
        <v>100000</v>
      </c>
    </row>
    <row r="47" spans="1:11" ht="36" customHeight="1">
      <c r="A47" s="10" t="s">
        <v>266</v>
      </c>
      <c r="B47" s="11" t="s">
        <v>267</v>
      </c>
      <c r="C47" s="12" t="s">
        <v>31</v>
      </c>
      <c r="D47" s="13">
        <v>2017</v>
      </c>
      <c r="E47" s="13">
        <v>2018</v>
      </c>
      <c r="F47" s="14">
        <v>200000</v>
      </c>
      <c r="G47" s="14">
        <v>100000</v>
      </c>
      <c r="H47" s="14"/>
      <c r="I47" s="14"/>
      <c r="J47" s="14"/>
      <c r="K47" s="14">
        <f t="shared" si="10"/>
        <v>100000</v>
      </c>
    </row>
    <row r="48" spans="1:11" ht="32.25" customHeight="1">
      <c r="A48" s="10" t="s">
        <v>268</v>
      </c>
      <c r="B48" s="11" t="s">
        <v>269</v>
      </c>
      <c r="C48" s="12" t="s">
        <v>31</v>
      </c>
      <c r="D48" s="13">
        <v>2017</v>
      </c>
      <c r="E48" s="13">
        <v>2018</v>
      </c>
      <c r="F48" s="14">
        <v>600000</v>
      </c>
      <c r="G48" s="14">
        <v>300000</v>
      </c>
      <c r="H48" s="14"/>
      <c r="I48" s="14"/>
      <c r="J48" s="14"/>
      <c r="K48" s="14">
        <f t="shared" si="10"/>
        <v>300000</v>
      </c>
    </row>
    <row r="49" spans="1:11" ht="33" customHeight="1">
      <c r="A49" s="10" t="s">
        <v>270</v>
      </c>
      <c r="B49" s="11" t="s">
        <v>271</v>
      </c>
      <c r="C49" s="12" t="s">
        <v>31</v>
      </c>
      <c r="D49" s="13">
        <v>2017</v>
      </c>
      <c r="E49" s="13">
        <v>2018</v>
      </c>
      <c r="F49" s="14">
        <v>675000</v>
      </c>
      <c r="G49" s="14">
        <v>275000</v>
      </c>
      <c r="H49" s="14"/>
      <c r="I49" s="14"/>
      <c r="J49" s="14"/>
      <c r="K49" s="14">
        <f t="shared" si="10"/>
        <v>275000</v>
      </c>
    </row>
    <row r="50" spans="1:11" ht="36" customHeight="1">
      <c r="A50" s="10" t="s">
        <v>272</v>
      </c>
      <c r="B50" s="11" t="s">
        <v>273</v>
      </c>
      <c r="C50" s="12" t="s">
        <v>31</v>
      </c>
      <c r="D50" s="13">
        <v>2017</v>
      </c>
      <c r="E50" s="13">
        <v>2018</v>
      </c>
      <c r="F50" s="14">
        <f>246000-50000</f>
        <v>196000</v>
      </c>
      <c r="G50" s="14">
        <f>131000-50000</f>
        <v>81000</v>
      </c>
      <c r="H50" s="14"/>
      <c r="I50" s="14"/>
      <c r="J50" s="14"/>
      <c r="K50" s="14">
        <f t="shared" si="10"/>
        <v>81000</v>
      </c>
    </row>
    <row r="51" spans="1:11" ht="35.25" customHeight="1">
      <c r="A51" s="10" t="s">
        <v>274</v>
      </c>
      <c r="B51" s="11" t="s">
        <v>275</v>
      </c>
      <c r="C51" s="12" t="s">
        <v>31</v>
      </c>
      <c r="D51" s="13">
        <v>2017</v>
      </c>
      <c r="E51" s="13">
        <v>2018</v>
      </c>
      <c r="F51" s="14">
        <v>195000</v>
      </c>
      <c r="G51" s="14">
        <v>150000</v>
      </c>
      <c r="H51" s="14"/>
      <c r="I51" s="14"/>
      <c r="J51" s="14"/>
      <c r="K51" s="14">
        <f t="shared" si="10"/>
        <v>150000</v>
      </c>
    </row>
    <row r="52" spans="1:11" ht="38.25" customHeight="1">
      <c r="A52" s="10" t="s">
        <v>276</v>
      </c>
      <c r="B52" s="11" t="s">
        <v>277</v>
      </c>
      <c r="C52" s="12" t="s">
        <v>31</v>
      </c>
      <c r="D52" s="13">
        <v>2017</v>
      </c>
      <c r="E52" s="13">
        <v>2018</v>
      </c>
      <c r="F52" s="14">
        <f>2385050-2310050-75000</f>
        <v>0</v>
      </c>
      <c r="G52" s="14">
        <f>2310050-2310050</f>
        <v>0</v>
      </c>
      <c r="H52" s="14"/>
      <c r="I52" s="14"/>
      <c r="J52" s="14"/>
      <c r="K52" s="14">
        <f t="shared" si="10"/>
        <v>0</v>
      </c>
    </row>
    <row r="53" spans="1:11" ht="32.25" customHeight="1">
      <c r="A53" s="10" t="s">
        <v>278</v>
      </c>
      <c r="B53" s="11" t="s">
        <v>279</v>
      </c>
      <c r="C53" s="12" t="s">
        <v>31</v>
      </c>
      <c r="D53" s="13">
        <v>2017</v>
      </c>
      <c r="E53" s="13">
        <v>2018</v>
      </c>
      <c r="F53" s="14">
        <v>295000</v>
      </c>
      <c r="G53" s="14">
        <v>250000</v>
      </c>
      <c r="H53" s="14"/>
      <c r="I53" s="14"/>
      <c r="J53" s="14"/>
      <c r="K53" s="14">
        <f t="shared" si="10"/>
        <v>250000</v>
      </c>
    </row>
    <row r="54" spans="1:11" s="85" customFormat="1" ht="33" customHeight="1">
      <c r="A54" s="13" t="s">
        <v>280</v>
      </c>
      <c r="B54" s="11" t="s">
        <v>281</v>
      </c>
      <c r="C54" s="12" t="s">
        <v>284</v>
      </c>
      <c r="D54" s="13">
        <v>2018</v>
      </c>
      <c r="E54" s="13">
        <v>2019</v>
      </c>
      <c r="F54" s="83">
        <f>570000+18450</f>
        <v>588450</v>
      </c>
      <c r="G54" s="83">
        <f>70000+18450</f>
        <v>88450</v>
      </c>
      <c r="H54" s="83">
        <v>500000</v>
      </c>
      <c r="I54" s="83"/>
      <c r="J54" s="83"/>
      <c r="K54" s="83">
        <f>SUM(G54:I54)</f>
        <v>588450</v>
      </c>
    </row>
    <row r="55" spans="1:11" s="82" customFormat="1" ht="43.5" customHeight="1">
      <c r="A55" s="91" t="s">
        <v>282</v>
      </c>
      <c r="B55" s="87" t="s">
        <v>283</v>
      </c>
      <c r="C55" s="88" t="s">
        <v>285</v>
      </c>
      <c r="D55" s="86">
        <v>2018</v>
      </c>
      <c r="E55" s="86">
        <v>2020</v>
      </c>
      <c r="F55" s="92">
        <f>2030000-5400</f>
        <v>2024600</v>
      </c>
      <c r="G55" s="92">
        <f>30000-5400</f>
        <v>24600</v>
      </c>
      <c r="H55" s="92">
        <v>1000000</v>
      </c>
      <c r="I55" s="92">
        <v>1000000</v>
      </c>
      <c r="J55" s="92"/>
      <c r="K55" s="92">
        <f t="shared" si="10"/>
        <v>2024600</v>
      </c>
    </row>
    <row r="56" spans="1:11" s="94" customFormat="1" ht="36.75" customHeight="1">
      <c r="A56" s="86" t="s">
        <v>287</v>
      </c>
      <c r="B56" s="87" t="s">
        <v>308</v>
      </c>
      <c r="C56" s="88" t="s">
        <v>292</v>
      </c>
      <c r="D56" s="86">
        <v>2017</v>
      </c>
      <c r="E56" s="86">
        <v>2019</v>
      </c>
      <c r="F56" s="89">
        <f>1012000-23546-400000-1500</f>
        <v>586954</v>
      </c>
      <c r="G56" s="89">
        <f>600000-23546-1500</f>
        <v>574954</v>
      </c>
      <c r="H56" s="89">
        <f>400000-400000</f>
        <v>0</v>
      </c>
      <c r="I56" s="89"/>
      <c r="J56" s="89"/>
      <c r="K56" s="89">
        <f>SUM(G56:I56)</f>
        <v>574954</v>
      </c>
    </row>
    <row r="57" spans="1:11" ht="36.75" customHeight="1">
      <c r="A57" s="10" t="s">
        <v>293</v>
      </c>
      <c r="B57" s="11" t="s">
        <v>294</v>
      </c>
      <c r="C57" s="12" t="s">
        <v>31</v>
      </c>
      <c r="D57" s="13">
        <v>2017</v>
      </c>
      <c r="E57" s="13">
        <v>2018</v>
      </c>
      <c r="F57" s="14">
        <v>450000</v>
      </c>
      <c r="G57" s="14">
        <v>100000</v>
      </c>
      <c r="H57" s="14"/>
      <c r="I57" s="14"/>
      <c r="J57" s="14"/>
      <c r="K57" s="14">
        <f t="shared" ref="K57:K58" si="11">SUM(G57:I57)</f>
        <v>100000</v>
      </c>
    </row>
    <row r="58" spans="1:11" ht="36" customHeight="1">
      <c r="A58" s="56" t="s">
        <v>297</v>
      </c>
      <c r="B58" s="57" t="s">
        <v>298</v>
      </c>
      <c r="C58" s="12" t="s">
        <v>31</v>
      </c>
      <c r="D58" s="10">
        <v>2017</v>
      </c>
      <c r="E58" s="10">
        <v>2018</v>
      </c>
      <c r="F58" s="14">
        <v>285000</v>
      </c>
      <c r="G58" s="14">
        <v>65000</v>
      </c>
      <c r="H58" s="55"/>
      <c r="I58" s="55"/>
      <c r="J58" s="55"/>
      <c r="K58" s="14">
        <f t="shared" si="11"/>
        <v>65000</v>
      </c>
    </row>
    <row r="59" spans="1:11" ht="29.25" customHeight="1">
      <c r="A59" s="13" t="s">
        <v>299</v>
      </c>
      <c r="B59" s="58" t="s">
        <v>301</v>
      </c>
      <c r="C59" s="59" t="s">
        <v>31</v>
      </c>
      <c r="D59" s="13">
        <v>2017</v>
      </c>
      <c r="E59" s="13">
        <v>2018</v>
      </c>
      <c r="F59" s="60">
        <v>241000</v>
      </c>
      <c r="G59" s="61">
        <v>120000</v>
      </c>
      <c r="H59" s="61"/>
      <c r="I59" s="61"/>
      <c r="J59" s="61"/>
      <c r="K59" s="61">
        <f>SUM(G59:J59)</f>
        <v>120000</v>
      </c>
    </row>
    <row r="60" spans="1:11" ht="31.5" customHeight="1">
      <c r="A60" s="13" t="s">
        <v>300</v>
      </c>
      <c r="B60" s="58" t="s">
        <v>302</v>
      </c>
      <c r="C60" s="59" t="s">
        <v>31</v>
      </c>
      <c r="D60" s="10">
        <v>2017</v>
      </c>
      <c r="E60" s="10">
        <v>2018</v>
      </c>
      <c r="F60" s="61">
        <v>180000</v>
      </c>
      <c r="G60" s="61">
        <v>140000</v>
      </c>
      <c r="H60" s="61"/>
      <c r="I60" s="61"/>
      <c r="J60" s="61"/>
      <c r="K60" s="61">
        <f>SUM(G60:J60)</f>
        <v>140000</v>
      </c>
    </row>
    <row r="61" spans="1:11" ht="22.5" customHeight="1"/>
    <row r="62" spans="1:11" ht="22.5" customHeight="1"/>
    <row r="63" spans="1:11" ht="22.5" customHeight="1"/>
    <row r="64" spans="1:11" ht="22.5" customHeight="1"/>
  </sheetData>
  <sheetProtection algorithmName="SHA-512" hashValue="xOMMSIrj6RicCnM2jGw1QWkpOGbRN+iTlGU8GFyhe8rb8gYCHXzMUfgqZDcCTS6nq5+/bFmEXVmvwNLudceo2A==" saltValue="fBX+YEcYr3lzH9Asu0JpNQ==" spinCount="100000" sheet="1" objects="1" scenarios="1" formatColumns="0" formatRows="0"/>
  <mergeCells count="20">
    <mergeCell ref="B28:E28"/>
    <mergeCell ref="B19:E19"/>
    <mergeCell ref="B21:E21"/>
    <mergeCell ref="B22:E22"/>
    <mergeCell ref="B23:E23"/>
    <mergeCell ref="B24:E24"/>
    <mergeCell ref="B25:E25"/>
    <mergeCell ref="B10:E10"/>
    <mergeCell ref="A1:K1"/>
    <mergeCell ref="A3:A4"/>
    <mergeCell ref="B3:B4"/>
    <mergeCell ref="C3:C4"/>
    <mergeCell ref="D3:E3"/>
    <mergeCell ref="F3:F4"/>
    <mergeCell ref="K3:K4"/>
    <mergeCell ref="B6:E6"/>
    <mergeCell ref="B7:E7"/>
    <mergeCell ref="B8:E8"/>
    <mergeCell ref="B9:E9"/>
    <mergeCell ref="G3:I3"/>
  </mergeCells>
  <pageMargins left="0.43307086614173229" right="0.15748031496062992" top="1.4566929133858268" bottom="1.0629921259842521" header="0.78740157480314965" footer="0.39370078740157483"/>
  <pageSetup paperSize="9" scale="80" fitToWidth="0" fitToHeight="0" orientation="landscape" horizontalDpi="4294967294" r:id="rId1"/>
  <headerFooter differentOddEven="1" differentFirst="1" alignWithMargins="0">
    <oddFooter>&amp;C&amp;"Times New Roman,Normalny"&amp;P</oddFooter>
    <evenHeader>&amp;C&amp;"Times New Roman,Normalny"&amp;P</evenHeader>
    <firstHeader>&amp;RZałącznik Nr 2
do uchwały Nr ................
Rady Powiatu w Otwocku
z dnia .............................</firstHeader>
    <firstFooter>&amp;C&amp;"Times New Roman,Normalny"&amp;P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4</vt:i4>
      </vt:variant>
    </vt:vector>
  </HeadingPairs>
  <TitlesOfParts>
    <vt:vector size="6" baseType="lpstr">
      <vt:lpstr>Zał.1</vt:lpstr>
      <vt:lpstr>Zał.2 </vt:lpstr>
      <vt:lpstr>Zał.1!Obszar_wydruku</vt:lpstr>
      <vt:lpstr>'Zał.2 '!Obszar_wydruku</vt:lpstr>
      <vt:lpstr>Zał.1!Tytuły_wydruku</vt:lpstr>
      <vt:lpstr>'Zał.2 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Renis Iwona</dc:creator>
  <cp:lastModifiedBy>Aneta Mroczkowska</cp:lastModifiedBy>
  <cp:lastPrinted>2018-12-13T14:09:47Z</cp:lastPrinted>
  <dcterms:created xsi:type="dcterms:W3CDTF">2015-10-13T07:48:25Z</dcterms:created>
  <dcterms:modified xsi:type="dcterms:W3CDTF">2018-12-13T14:11:10Z</dcterms:modified>
</cp:coreProperties>
</file>