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.SRV-GORNA\Desktop\grudzień_budżet_2018\"/>
    </mc:Choice>
  </mc:AlternateContent>
  <bookViews>
    <workbookView xWindow="0" yWindow="0" windowWidth="28800" windowHeight="12435" tabRatio="821" activeTab="2"/>
  </bookViews>
  <sheets>
    <sheet name="Tab.2a" sheetId="41" r:id="rId1"/>
    <sheet name="Tab.6" sheetId="36" state="hidden" r:id="rId2"/>
    <sheet name="Tab.3" sheetId="37" r:id="rId3"/>
    <sheet name="Tab.4 " sheetId="44" r:id="rId4"/>
    <sheet name="Tab.5" sheetId="38" r:id="rId5"/>
    <sheet name="Tab.6 " sheetId="42" r:id="rId6"/>
    <sheet name="Tab.7" sheetId="39" r:id="rId7"/>
    <sheet name="Zał.1" sheetId="27" r:id="rId8"/>
    <sheet name="Zał.2" sheetId="43" r:id="rId9"/>
  </sheets>
  <definedNames>
    <definedName name="__xlnm.Print_Area_1" localSheetId="0">Tab.2a!$A$2:$L$129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1">#REF!</definedName>
    <definedName name="__xlnm.Print_Area_1" localSheetId="5">#REF!</definedName>
    <definedName name="__xlnm.Print_Area_1" localSheetId="6">#REF!</definedName>
    <definedName name="__xlnm.Print_Area_1" localSheetId="7">#REF!</definedName>
    <definedName name="__xlnm.Print_Area_1" localSheetId="8">#REF!</definedName>
    <definedName name="__xlnm.Print_Area_1">#REF!</definedName>
    <definedName name="_xlnm._FilterDatabase" localSheetId="6" hidden="1">Tab.7!$D$2:$D$45</definedName>
    <definedName name="_xlnm.Print_Area" localSheetId="0">Tab.2a!$A$1:$K$125</definedName>
    <definedName name="_xlnm.Print_Area" localSheetId="2">Tab.3!$A$1:$D$22</definedName>
    <definedName name="_xlnm.Print_Area" localSheetId="7">Zał.1!$A$1:$G$43</definedName>
    <definedName name="_xlnm.Print_Area" localSheetId="8">Zał.2!$A$1:$H$14</definedName>
    <definedName name="t" localSheetId="0">#REF!</definedName>
    <definedName name="t" localSheetId="2">#REF!</definedName>
    <definedName name="t" localSheetId="3">#REF!</definedName>
    <definedName name="t" localSheetId="4">#REF!</definedName>
    <definedName name="t" localSheetId="1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4" l="1"/>
  <c r="I38" i="44" l="1"/>
  <c r="F73" i="41"/>
  <c r="H73" i="41"/>
  <c r="G73" i="41"/>
  <c r="H21" i="41"/>
  <c r="G10" i="27" l="1"/>
  <c r="G14" i="39"/>
  <c r="G80" i="41"/>
  <c r="G9" i="27" l="1"/>
  <c r="I39" i="44"/>
  <c r="H39" i="44"/>
  <c r="G39" i="44"/>
  <c r="F39" i="44"/>
  <c r="E39" i="44"/>
  <c r="H38" i="44"/>
  <c r="D38" i="44"/>
  <c r="D34" i="44"/>
  <c r="D30" i="44"/>
  <c r="D29" i="44"/>
  <c r="D25" i="44"/>
  <c r="D24" i="44"/>
  <c r="D20" i="44"/>
  <c r="D19" i="44"/>
  <c r="D15" i="44"/>
  <c r="D14" i="44"/>
  <c r="E10" i="44"/>
  <c r="D10" i="44"/>
  <c r="D9" i="44"/>
  <c r="H14" i="43"/>
  <c r="G13" i="43"/>
  <c r="F13" i="43"/>
  <c r="E13" i="43"/>
  <c r="F12" i="43"/>
  <c r="F11" i="43"/>
  <c r="F10" i="43"/>
  <c r="F9" i="43"/>
  <c r="G8" i="43"/>
  <c r="F8" i="43" s="1"/>
  <c r="E8" i="43"/>
  <c r="E14" i="43" s="1"/>
  <c r="F7" i="43"/>
  <c r="F6" i="43"/>
  <c r="F14" i="43" s="1"/>
  <c r="G14" i="43" l="1"/>
  <c r="F168" i="38"/>
  <c r="E193" i="38"/>
  <c r="E167" i="38"/>
  <c r="E143" i="38"/>
  <c r="G117" i="41" l="1"/>
  <c r="G115" i="41"/>
  <c r="G111" i="41"/>
  <c r="H101" i="41"/>
  <c r="H100" i="41"/>
  <c r="G102" i="41"/>
  <c r="G95" i="41"/>
  <c r="G87" i="41"/>
  <c r="G84" i="41"/>
  <c r="G70" i="41"/>
  <c r="G71" i="41"/>
  <c r="G69" i="41"/>
  <c r="E171" i="38" l="1"/>
  <c r="F140" i="38"/>
  <c r="E139" i="38"/>
  <c r="F70" i="38" l="1"/>
  <c r="E85" i="38"/>
  <c r="E198" i="38"/>
  <c r="E197" i="38"/>
  <c r="E187" i="38"/>
  <c r="E134" i="38"/>
  <c r="F119" i="38"/>
  <c r="E119" i="38"/>
  <c r="E35" i="38" l="1"/>
  <c r="F9" i="39" l="1"/>
  <c r="F8" i="42"/>
  <c r="F7" i="42" s="1"/>
  <c r="F6" i="42" s="1"/>
  <c r="F19" i="42" s="1"/>
  <c r="G9" i="42"/>
  <c r="G7" i="42" s="1"/>
  <c r="G6" i="42" s="1"/>
  <c r="G19" i="42" s="1"/>
  <c r="G10" i="42"/>
  <c r="G11" i="42"/>
  <c r="F12" i="42"/>
  <c r="G12" i="42"/>
  <c r="F13" i="42"/>
  <c r="G13" i="42"/>
  <c r="I121" i="41" l="1"/>
  <c r="G120" i="41"/>
  <c r="F120" i="41"/>
  <c r="F119" i="41"/>
  <c r="G118" i="41"/>
  <c r="F118" i="41"/>
  <c r="F117" i="41"/>
  <c r="F115" i="41"/>
  <c r="F116" i="41" s="1"/>
  <c r="G114" i="41"/>
  <c r="F114" i="41"/>
  <c r="F113" i="41"/>
  <c r="G112" i="41"/>
  <c r="F111" i="41"/>
  <c r="F110" i="41"/>
  <c r="F109" i="41"/>
  <c r="G108" i="41"/>
  <c r="F108" i="41"/>
  <c r="F107" i="41"/>
  <c r="F112" i="41" s="1"/>
  <c r="H106" i="41"/>
  <c r="F105" i="41"/>
  <c r="G104" i="41"/>
  <c r="G106" i="41" s="1"/>
  <c r="H103" i="41"/>
  <c r="G103" i="41"/>
  <c r="F102" i="41"/>
  <c r="F101" i="41"/>
  <c r="F100" i="41"/>
  <c r="F103" i="41" s="1"/>
  <c r="I99" i="41"/>
  <c r="H99" i="41"/>
  <c r="F98" i="41"/>
  <c r="G99" i="41"/>
  <c r="G94" i="41"/>
  <c r="F93" i="41"/>
  <c r="F94" i="41" s="1"/>
  <c r="G92" i="41"/>
  <c r="G91" i="41"/>
  <c r="F91" i="41"/>
  <c r="F92" i="41" s="1"/>
  <c r="I90" i="41"/>
  <c r="H90" i="41"/>
  <c r="G90" i="41"/>
  <c r="F90" i="41"/>
  <c r="G88" i="41"/>
  <c r="F87" i="41"/>
  <c r="F86" i="41"/>
  <c r="F88" i="41" s="1"/>
  <c r="G85" i="41"/>
  <c r="F84" i="41"/>
  <c r="F85" i="41" s="1"/>
  <c r="G83" i="41"/>
  <c r="F83" i="41"/>
  <c r="F82" i="41"/>
  <c r="G81" i="41"/>
  <c r="F80" i="41"/>
  <c r="F81" i="41" s="1"/>
  <c r="G79" i="41"/>
  <c r="F79" i="41"/>
  <c r="F78" i="41"/>
  <c r="F76" i="41"/>
  <c r="F75" i="41"/>
  <c r="G74" i="41"/>
  <c r="F74" i="41"/>
  <c r="H77" i="41"/>
  <c r="G77" i="41"/>
  <c r="J72" i="41"/>
  <c r="J121" i="41" s="1"/>
  <c r="F71" i="41"/>
  <c r="F70" i="41"/>
  <c r="F69" i="41"/>
  <c r="F67" i="41"/>
  <c r="F66" i="41"/>
  <c r="F65" i="41"/>
  <c r="G64" i="41"/>
  <c r="F62" i="41"/>
  <c r="F61" i="41"/>
  <c r="F60" i="41"/>
  <c r="F53" i="41"/>
  <c r="F52" i="41"/>
  <c r="G51" i="41"/>
  <c r="F51" i="41" s="1"/>
  <c r="F50" i="41"/>
  <c r="F45" i="41"/>
  <c r="G44" i="41"/>
  <c r="H43" i="41"/>
  <c r="F43" i="41" s="1"/>
  <c r="G42" i="41"/>
  <c r="G41" i="41"/>
  <c r="F40" i="41"/>
  <c r="F39" i="41"/>
  <c r="G38" i="41"/>
  <c r="F38" i="41"/>
  <c r="F37" i="41"/>
  <c r="F35" i="41"/>
  <c r="F34" i="41"/>
  <c r="F33" i="41"/>
  <c r="F31" i="41"/>
  <c r="F30" i="41"/>
  <c r="F29" i="41"/>
  <c r="F27" i="41"/>
  <c r="F25" i="41"/>
  <c r="F24" i="41"/>
  <c r="F23" i="41"/>
  <c r="F22" i="41"/>
  <c r="F21" i="41"/>
  <c r="F20" i="41"/>
  <c r="H17" i="41"/>
  <c r="F17" i="41"/>
  <c r="G16" i="41"/>
  <c r="F16" i="41" s="1"/>
  <c r="G15" i="41"/>
  <c r="F15" i="41" s="1"/>
  <c r="H14" i="41"/>
  <c r="H72" i="41" s="1"/>
  <c r="H121" i="41" s="1"/>
  <c r="G14" i="41"/>
  <c r="F14" i="41"/>
  <c r="G13" i="41"/>
  <c r="F13" i="41" s="1"/>
  <c r="G12" i="41"/>
  <c r="G72" i="41" s="1"/>
  <c r="F12" i="41"/>
  <c r="F10" i="41"/>
  <c r="F9" i="41"/>
  <c r="F8" i="41"/>
  <c r="F7" i="41"/>
  <c r="F72" i="41" l="1"/>
  <c r="G121" i="41"/>
  <c r="F77" i="41"/>
  <c r="F104" i="41"/>
  <c r="F106" i="41" s="1"/>
  <c r="G116" i="41"/>
  <c r="F95" i="41"/>
  <c r="F99" i="41" s="1"/>
  <c r="F121" i="41" l="1"/>
  <c r="F130" i="38" l="1"/>
  <c r="F105" i="38"/>
  <c r="E87" i="38"/>
  <c r="F55" i="38" l="1"/>
  <c r="F44" i="38"/>
  <c r="E71" i="38"/>
  <c r="F8" i="38" l="1"/>
  <c r="E7" i="38"/>
  <c r="F184" i="38" l="1"/>
  <c r="F170" i="38"/>
  <c r="E170" i="38"/>
  <c r="F86" i="38"/>
  <c r="F85" i="38" s="1"/>
  <c r="F136" i="38"/>
  <c r="F83" i="38" l="1"/>
  <c r="F23" i="38"/>
  <c r="F21" i="38"/>
  <c r="F18" i="38"/>
  <c r="F16" i="38"/>
  <c r="E183" i="38"/>
  <c r="E81" i="38"/>
  <c r="G11" i="27" l="1"/>
  <c r="G42" i="27" l="1"/>
  <c r="E21" i="27" l="1"/>
  <c r="G21" i="27"/>
  <c r="E42" i="27"/>
  <c r="D15" i="37" l="1"/>
  <c r="G36" i="27" l="1"/>
  <c r="G25" i="27" l="1"/>
  <c r="F133" i="38"/>
  <c r="F132" i="38" s="1"/>
  <c r="F39" i="38"/>
  <c r="E133" i="38"/>
  <c r="E132" i="38" s="1"/>
  <c r="F69" i="38"/>
  <c r="E70" i="38"/>
  <c r="E69" i="38" s="1"/>
  <c r="F186" i="38" l="1"/>
  <c r="E186" i="38" l="1"/>
  <c r="E192" i="38"/>
  <c r="F48" i="38" l="1"/>
  <c r="F26" i="38" l="1"/>
  <c r="F17" i="38"/>
  <c r="F165" i="38" l="1"/>
  <c r="E164" i="38"/>
  <c r="F52" i="38" l="1"/>
  <c r="F116" i="38" l="1"/>
  <c r="F68" i="38" l="1"/>
  <c r="F67" i="38"/>
  <c r="F66" i="38"/>
  <c r="E63" i="38"/>
  <c r="E116" i="38"/>
  <c r="E123" i="38"/>
  <c r="E19" i="27"/>
  <c r="D21" i="37" l="1"/>
  <c r="F174" i="38" l="1"/>
  <c r="G5" i="39" l="1"/>
  <c r="G6" i="39"/>
  <c r="F8" i="39"/>
  <c r="F5" i="39" s="1"/>
  <c r="G8" i="39"/>
  <c r="G12" i="39"/>
  <c r="G13" i="39"/>
  <c r="F17" i="39"/>
  <c r="F16" i="39" s="1"/>
  <c r="F15" i="39" s="1"/>
  <c r="F19" i="39"/>
  <c r="F18" i="39" s="1"/>
  <c r="G19" i="39"/>
  <c r="G18" i="39" s="1"/>
  <c r="F22" i="39"/>
  <c r="F21" i="39" s="1"/>
  <c r="G22" i="39"/>
  <c r="G21" i="39" s="1"/>
  <c r="F26" i="39"/>
  <c r="G26" i="39"/>
  <c r="G29" i="39"/>
  <c r="F31" i="39"/>
  <c r="G31" i="39"/>
  <c r="G34" i="39"/>
  <c r="G35" i="39"/>
  <c r="F37" i="39"/>
  <c r="G38" i="39"/>
  <c r="G37" i="39" s="1"/>
  <c r="F40" i="39"/>
  <c r="G43" i="39"/>
  <c r="G42" i="39" s="1"/>
  <c r="E6" i="38"/>
  <c r="E5" i="38" s="1"/>
  <c r="F6" i="38"/>
  <c r="F5" i="38" s="1"/>
  <c r="F10" i="38"/>
  <c r="F9" i="38" s="1"/>
  <c r="E11" i="38"/>
  <c r="E10" i="38" s="1"/>
  <c r="E9" i="38" s="1"/>
  <c r="E28" i="38"/>
  <c r="F28" i="38"/>
  <c r="E34" i="38"/>
  <c r="F34" i="38"/>
  <c r="E57" i="38"/>
  <c r="F57" i="38"/>
  <c r="E62" i="38"/>
  <c r="E56" i="38" s="1"/>
  <c r="F62" i="38"/>
  <c r="E80" i="38"/>
  <c r="E79" i="38" s="1"/>
  <c r="F80" i="38"/>
  <c r="F79" i="38" s="1"/>
  <c r="E86" i="38"/>
  <c r="E122" i="38"/>
  <c r="F123" i="38"/>
  <c r="F122" i="38" s="1"/>
  <c r="E138" i="38"/>
  <c r="E137" i="38" s="1"/>
  <c r="F138" i="38"/>
  <c r="F137" i="38" s="1"/>
  <c r="E142" i="38"/>
  <c r="F142" i="38"/>
  <c r="E163" i="38"/>
  <c r="F163" i="38"/>
  <c r="E166" i="38"/>
  <c r="F166" i="38"/>
  <c r="E182" i="38"/>
  <c r="F182" i="38"/>
  <c r="F169" i="38" s="1"/>
  <c r="F192" i="38"/>
  <c r="E196" i="38"/>
  <c r="E185" i="38" s="1"/>
  <c r="F196" i="38"/>
  <c r="D7" i="37"/>
  <c r="D10" i="37"/>
  <c r="D14" i="37"/>
  <c r="D19" i="37"/>
  <c r="G25" i="39" l="1"/>
  <c r="F27" i="38"/>
  <c r="F185" i="38"/>
  <c r="F25" i="39"/>
  <c r="F45" i="39" s="1"/>
  <c r="D13" i="37"/>
  <c r="E27" i="38"/>
  <c r="E169" i="38"/>
  <c r="E141" i="38"/>
  <c r="F56" i="38"/>
  <c r="G45" i="39"/>
  <c r="F141" i="38"/>
  <c r="F203" i="38" l="1"/>
  <c r="E203" i="38"/>
  <c r="G19" i="36"/>
  <c r="F19" i="36"/>
  <c r="G13" i="36"/>
  <c r="F13" i="36"/>
  <c r="G12" i="36"/>
  <c r="F12" i="36"/>
  <c r="G7" i="36"/>
  <c r="F7" i="36"/>
  <c r="G6" i="36"/>
  <c r="F6" i="36"/>
  <c r="G43" i="27" l="1"/>
  <c r="F42" i="27"/>
  <c r="F21" i="27"/>
</calcChain>
</file>

<file path=xl/sharedStrings.xml><?xml version="1.0" encoding="utf-8"?>
<sst xmlns="http://schemas.openxmlformats.org/spreadsheetml/2006/main" count="790" uniqueCount="473">
  <si>
    <t>Dział</t>
  </si>
  <si>
    <t>Rozdział</t>
  </si>
  <si>
    <t>010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</si>
  <si>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</si>
  <si>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</si>
  <si>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</si>
  <si>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Pozostała działalność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</si>
  <si>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</si>
  <si>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</si>
  <si>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Dotacja celowa otrzymana z tytułu pomocy finansowej udzielanej między jednostkami samorządu terytorialnego na dofinansowanie własnych zadań bieżących</t>
  </si>
  <si>
    <t>Kwalifikacja wojskowa</t>
  </si>
  <si>
    <t>Bezpieczeństwo publiczne i ochrona przeciwpożarowa</t>
  </si>
  <si>
    <t>Komendy powiatowe Państwowej Straży Pożarnej</t>
  </si>
  <si>
    <t>Ochrona zdrowia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</si>
  <si>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</si>
  <si>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</si>
  <si>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Ośrodki wsparcia</t>
  </si>
  <si>
    <t>Rodziny zastępcze</t>
  </si>
  <si>
    <t>Pozostałe zadania w zakresie polityki społecznej</t>
  </si>
  <si>
    <t>Rehabilitacja zawodowa i społeczna osób niepełnosprawnych</t>
  </si>
  <si>
    <t>Zespoły do spraw orzekania o niepełnosprawności</t>
  </si>
  <si>
    <t>Gospodarka komunalna i ochrona środowiska</t>
  </si>
  <si>
    <t>Kultura i ochrona dziedzictwa narodowego</t>
  </si>
  <si>
    <t>Biblioteki</t>
  </si>
  <si>
    <t>Rolnictwo i łowiectwo</t>
  </si>
  <si>
    <t>Zakup usług pozostałych</t>
  </si>
  <si>
    <t>Zakup materiałów i wyposażenia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</si>
  <si>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</si>
  <si>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</si>
  <si>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</si>
  <si>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</si>
  <si>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</si>
  <si>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</si>
  <si>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</si>
  <si>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</si>
  <si>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</si>
  <si>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</si>
  <si>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</si>
  <si>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</si>
  <si>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</si>
  <si>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</si>
  <si>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</si>
  <si>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</si>
  <si>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</si>
  <si>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</si>
  <si>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</si>
  <si>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Zakup usług obejmujących wykonanie ekspertyz, analiz i opinii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</si>
  <si>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</si>
  <si>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</si>
  <si>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</si>
  <si>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</si>
  <si>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Zakup usług zdrowotnych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</si>
  <si>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</si>
  <si>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</si>
  <si>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</si>
  <si>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</si>
  <si>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</si>
  <si>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Wydatki osobowe niezaliczone do uposażeń wypłacane żołnierzom i funkcjonariuszom</t>
  </si>
  <si>
    <t>Uposażenia żołnierzy zawodowych oraz funkcjonariuszy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</si>
  <si>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</si>
  <si>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</si>
  <si>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</si>
  <si>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</si>
  <si>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Składki na ubezpieczenie zdrowotne</t>
  </si>
  <si>
    <t>Pomoc społeczna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</si>
  <si>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</si>
  <si>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</si>
  <si>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Świadczenia społeczne</t>
  </si>
  <si>
    <t>Dotacja celowa na pomoc finansową udzielaną między jednostkami samorządu terytorialnego na dofinansowanie własnych zadań bieżących</t>
  </si>
  <si>
    <t>Pozostałe zadania w zakresie kultury</t>
  </si>
  <si>
    <t>Lp.</t>
  </si>
  <si>
    <t>1.</t>
  </si>
  <si>
    <t>2.</t>
  </si>
  <si>
    <t>3.</t>
  </si>
  <si>
    <t>4.</t>
  </si>
  <si>
    <t>5.</t>
  </si>
  <si>
    <t>6.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</si>
  <si>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</si>
  <si>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</si>
  <si>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</si>
  <si>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</si>
  <si>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</si>
  <si>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</si>
  <si>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</si>
  <si>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</si>
  <si>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</si>
  <si>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</si>
  <si>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</si>
  <si>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</si>
  <si>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</si>
  <si>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</si>
  <si>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</si>
  <si>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</si>
  <si>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</si>
  <si>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</si>
  <si>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 xml:space="preserve">Opłaty z tytułu zakupu usług telekomunikacyjnych </t>
  </si>
  <si>
    <t>Szkolenia pracowników niebędących członkami korpusu służby cywilnej</t>
  </si>
  <si>
    <t>Razem</t>
  </si>
  <si>
    <t>Dotacje celowe otrzymane z samorządu województwa na inwestycje i zakupy inwestycyjne realizowane na podstawie porozumień (umów) między jednostkami samorządu terytorialnego</t>
  </si>
  <si>
    <t>852</t>
  </si>
  <si>
    <t>Zadania z zakresu geodezji i kartografii</t>
  </si>
  <si>
    <t>Regionalne partnerstwo samorządów Mazowsza dla aktywizacji społeczeństwa informacyjnego w zakresie e-administracji i geoinformacji</t>
  </si>
  <si>
    <t>71012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</si>
  <si>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</si>
  <si>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</si>
  <si>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</si>
  <si>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</si>
  <si>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</si>
  <si>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</si>
  <si>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Inne należności żołnierzy zawodowych oraz funkcjonariuszy zaliczane do wynagrodzeń</t>
  </si>
  <si>
    <t>Równoważniki pieniężne i ekwiwalenty dla żołnierzy i funkcjonariuszy oraz pozostałe należności</t>
  </si>
  <si>
    <t>Wymiar sprawiedliwości</t>
  </si>
  <si>
    <t>Nieodpłatna pomoc prawna</t>
  </si>
  <si>
    <t>75515</t>
  </si>
  <si>
    <t>755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</si>
  <si>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</si>
  <si>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Rodzina</t>
  </si>
  <si>
    <t>Działalność placówek opiekuńczo-wychowawczych</t>
  </si>
  <si>
    <t>855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</si>
  <si>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</si>
  <si>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</si>
  <si>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85510</t>
  </si>
  <si>
    <t>Przychody ze spłat pożyczek i kredytów udzielonych ze środków publicznych</t>
  </si>
  <si>
    <t>§ 951</t>
  </si>
  <si>
    <t>§ 991</t>
  </si>
  <si>
    <t>Udzielone pożyczki i kredyty</t>
  </si>
  <si>
    <t>7.</t>
  </si>
  <si>
    <t>85231</t>
  </si>
  <si>
    <t>Pomoc dla cudzoziemców</t>
  </si>
  <si>
    <t>Uposażenia i świadczenia pieniężne wypłacane przez okres roku żołnierzom i funkcjonariuszom zwolnionym ze służby</t>
  </si>
  <si>
    <t>Rozdz.</t>
  </si>
  <si>
    <t>§</t>
  </si>
  <si>
    <t>Nazwa zadania</t>
  </si>
  <si>
    <t>Plan</t>
  </si>
  <si>
    <t>z tego:</t>
  </si>
  <si>
    <t>Uwagi</t>
  </si>
  <si>
    <t>środki własne</t>
  </si>
  <si>
    <t xml:space="preserve">kredyty, pożyczki, </t>
  </si>
  <si>
    <t>środki o których mowa w art. 5 ust. 1 pkt 2 i 3 uofp</t>
  </si>
  <si>
    <t>środki pochodzące                  z innych źródeł                     (w tym dotacje)</t>
  </si>
  <si>
    <t>8.</t>
  </si>
  <si>
    <t>9.</t>
  </si>
  <si>
    <t>10.</t>
  </si>
  <si>
    <t>11.</t>
  </si>
  <si>
    <t>Przebudowa na rondo skrzyżowania dróg powiatowych Nr 2765W - ul. Karczewskiej z drogą powiatową Nr 2760W - ul. Batorego i Matejki w Otwocku</t>
  </si>
  <si>
    <t>12.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</si>
  <si>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</si>
  <si>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13.</t>
  </si>
  <si>
    <t>Wykonanie nakładki asfaltobetonowej na drodze powiatowej Nr 2764W - ul. Żeromskiego w Otwocku</t>
  </si>
  <si>
    <t>14.</t>
  </si>
  <si>
    <t>15.</t>
  </si>
  <si>
    <t>16.</t>
  </si>
  <si>
    <t>17.</t>
  </si>
  <si>
    <t>Wykonanie nakładki asfaltobetonowej na drodze powiatowej Nr 2728W w Ostrówcu</t>
  </si>
  <si>
    <t>18.</t>
  </si>
  <si>
    <t>19.</t>
  </si>
  <si>
    <t>20.</t>
  </si>
  <si>
    <t>21.</t>
  </si>
  <si>
    <t>Rozbudowa na rondo skrzyżowania dróg powiatowych Nr 2775W - ul. Stare Miasto i Nr 2724W - ul. Żaboklickiego z drogą gminną ul. Bielińskiego w Karczewie</t>
  </si>
  <si>
    <t>Wykonanie nakładki asfaltobetonowej na drodze powiatowej Nr 2739W w Gadce</t>
  </si>
  <si>
    <t>23.</t>
  </si>
  <si>
    <t>24.</t>
  </si>
  <si>
    <t>Modernizacja drogi powiatowej Nr 2739W w Radachówce</t>
  </si>
  <si>
    <t>25.</t>
  </si>
  <si>
    <t>Przebudowa drogi powiatowej Nr 2245W w m. Dobrzyniec, gmina Kołbiel</t>
  </si>
  <si>
    <t>B. 50 000</t>
  </si>
  <si>
    <t>26.</t>
  </si>
  <si>
    <t>Wykonanie nakładki asfaltobetonowej na drodze powiatowej Nr 2745W w Kątach</t>
  </si>
  <si>
    <t>27.</t>
  </si>
  <si>
    <t>28.</t>
  </si>
  <si>
    <t>Modernizacja drogi powiatowej Nr 2747W w Kościeliskach</t>
  </si>
  <si>
    <t>29.</t>
  </si>
  <si>
    <t>30.</t>
  </si>
  <si>
    <t>31.</t>
  </si>
  <si>
    <t>32.</t>
  </si>
  <si>
    <t>Przebudowa drogi powiatowej Nr 2705W - ul. Kąckiej w Wiązownie</t>
  </si>
  <si>
    <t>Modernizacja drogi powiatowej Nr 2701W Majdan, Izabela, Michałówek, Duchnów</t>
  </si>
  <si>
    <t>Przebudowa ciągu drogi powiatowej Nr 2758W - ul. Samorządowej i Czaplickiego w Otwocku</t>
  </si>
  <si>
    <t>Zakupy inwestycyjne w Zarządzie Dróg Powiatowych</t>
  </si>
  <si>
    <t>Razem Rozdział 60014</t>
  </si>
  <si>
    <t>Modernizacja Oddziału Wewnętrznego w Powiatowym Centrum Zdrowia Sp. z o.o.</t>
  </si>
  <si>
    <t>Zakupy inwestycyjne - zadania z zakresu gospodarki nieruchomościami</t>
  </si>
  <si>
    <t xml:space="preserve">Zakupy inwestycyjne - zadania z zakresu geodezji i kartografii                                                                                                                                           </t>
  </si>
  <si>
    <t>Razem Rozdział 71012</t>
  </si>
  <si>
    <t>Razem Rozdział 71095</t>
  </si>
  <si>
    <t xml:space="preserve">Zakupy inwestycyjne - zadania zlecone                                                                                      </t>
  </si>
  <si>
    <t>Razem Rozdział 75011</t>
  </si>
  <si>
    <t xml:space="preserve">Zakupy inwestycyjne - zadania własne powiatu                                                          </t>
  </si>
  <si>
    <t xml:space="preserve">  Razem Rozdział 75020</t>
  </si>
  <si>
    <t>Razem Rozdział 75404</t>
  </si>
  <si>
    <t>Razem Rozdział 80120</t>
  </si>
  <si>
    <t>Wniesienie wkładu pieniężnego - zwiększenie udziału w Powiatowym Centrum Zdrowia Sp. z o.o.</t>
  </si>
  <si>
    <t>Razem Rozdział 85111</t>
  </si>
  <si>
    <t>Modernizacja instalacji elektrycznej i rozdzielni w budynku Domu Pomocy Społecznej w Otwocku</t>
  </si>
  <si>
    <t>Razem Rozdział 85202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</si>
  <si>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</si>
  <si>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</si>
  <si>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</si>
  <si>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</si>
  <si>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</si>
  <si>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</si>
  <si>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</si>
  <si>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</si>
  <si>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</si>
  <si>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</si>
  <si>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</si>
  <si>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</si>
  <si>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</si>
  <si>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</si>
  <si>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</si>
  <si>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</si>
  <si>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</si>
  <si>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</si>
  <si>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</si>
  <si>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</si>
  <si>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</si>
  <si>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</si>
  <si>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Modernizacja drogi powiatowej Nr 2729W Kępa Gliniecka - Otwock Wielki - Otwock Mały - Karczew od drogi krajowej Nr 50 w kierunku wsi Glinki</t>
  </si>
  <si>
    <t>Modernizacja drogi powiatowej Nr 1303W we wsi Śniadków Dolny</t>
  </si>
  <si>
    <t>Modernizacja drogi powiatowej Nr 2714W - ul. Prostej w Celestynowie</t>
  </si>
  <si>
    <t>Ogółem plan dotacji na 2018 rok</t>
  </si>
  <si>
    <t>Modernizacja drogi powiatowej Nr 2713W - ul. Św. Kazimierza i Otwockiej w Celestynowie</t>
  </si>
  <si>
    <t>Wykonanie nakładki asfaltobetonowej na drodze powiatowej Nr 2769W - ul. Sikorskiego w Józefowie</t>
  </si>
  <si>
    <t>Wykonanie nakładki asfaltobetonowej na drodze powiatowej Nr 2726W przez Sobiekursk</t>
  </si>
  <si>
    <t>Modernizacja drogi powiatowej Nr 2724W w Całowaniu</t>
  </si>
  <si>
    <t>Modernizacja drogi powiatowej Nr 2739W w Sufczynie</t>
  </si>
  <si>
    <t>Wykonanie nakładki asfaltobetonowej na drodze powiatowej Nr 2741W w Kołbieli</t>
  </si>
  <si>
    <t>Modernizacja drogi powiatowej Nr 2745W w Antoninku</t>
  </si>
  <si>
    <t>Modernizacja drogi powiatowej Nr 2746W Grabianka-Górki-Osieck</t>
  </si>
  <si>
    <t>Modernizacja drogi powiatowej Nr 1302W Piwonin-Wysoczyn-Szymanowice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</si>
  <si>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</si>
  <si>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</si>
  <si>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2708W Dziechciniec-Pęclin-Kąck</t>
  </si>
  <si>
    <t>B. 150 000</t>
  </si>
  <si>
    <t>Modernizacja drogi powiatowej Nr 2707W Duchnów-Kąck-Wielgolas Duchnowski</t>
  </si>
  <si>
    <t>Modernizacja drogi powiatowej Nr 2712W w miejsc. Kruszówiec</t>
  </si>
  <si>
    <t>WPF</t>
  </si>
  <si>
    <t>85213</t>
  </si>
  <si>
    <t>Modernizacja Domu Pomocy Społecznej "Wrzos"</t>
  </si>
  <si>
    <t>Termomodernizacja budynku Domu Pomocy Społecznej w Karczewie</t>
  </si>
  <si>
    <t>gabinet rehabilitacji, pracownia terapii zajęciowej, biuro</t>
  </si>
  <si>
    <t xml:space="preserve">Modernizacja pomieszczeń rehabilitacji, terapii, biura w Domu Pomocy Społecznej w Karczewie </t>
  </si>
  <si>
    <t>Zakup szafy chłodniczej dla Domu Pomocy Społecznej w Karczewie</t>
  </si>
  <si>
    <t>Działalność ośrodków adopcyjnych</t>
  </si>
  <si>
    <t>Razem Rozdział 80115</t>
  </si>
  <si>
    <t>Razem Rozdział 85504</t>
  </si>
  <si>
    <t>Razem Rozdział 75019</t>
  </si>
  <si>
    <t>Zakup serwera wraz z UPS dla PCPR</t>
  </si>
  <si>
    <t>Dotacja dla Komendy Powiatowej Policji w Otwocku na dofinansowanie zakupu samochodów służbowych w wersji nieoznakowanej</t>
  </si>
  <si>
    <t>Składki na ubezpieczenie zdrowotne opłacane za osoby pobierające niektóre świadczenia z pomocy społecznej, niektóre świadczenia rodzinne oraz za osoby uczestniczące w zajęciach w centrum integracji społecznej</t>
  </si>
  <si>
    <t>Budowa Ogniska Wychowawczego "Świder" w Otwocku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</si>
  <si>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</si>
  <si>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</si>
  <si>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</si>
  <si>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</si>
  <si>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</si>
  <si>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</si>
  <si>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</si>
  <si>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</si>
  <si>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</si>
  <si>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</si>
  <si>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opracowanie dokumentacji projektowo-kosztorysowej</t>
  </si>
  <si>
    <t>Budowa ciągu pieszo-rowerowego pomiędzy miejscowością Dąbrówka i Stara Wieś w gminie Celestynów</t>
  </si>
  <si>
    <t>Długość ok. 800 mb</t>
  </si>
  <si>
    <t>Modernizacja drogi powiatowej Nr 2719W Celestynów-Tabor-ul. Laskowskiej w Celestynowie wraz z budową chodnika</t>
  </si>
  <si>
    <t>W 2018 roku wykonanie projektu budowy chodnika przy ul. Laskowskiej</t>
  </si>
  <si>
    <t>Modernizacja chodnika przy ulicy Obrońców Pokoju w Celestynowie od ul. Mokrej do ul. Kościuszki wraz z wjazdami</t>
  </si>
  <si>
    <t>Wykonanie dokumentacji technicznej ścieżki rowerowej przy drodze powiatowej Nr 2724W Karczew-Janów</t>
  </si>
  <si>
    <t>Wykonanie projektu technicznego ronda w Gliniance na skrzyżowaniu dróg powiatowych Nr 2709W i 2710W</t>
  </si>
  <si>
    <t>53.</t>
  </si>
  <si>
    <t>54.</t>
  </si>
  <si>
    <t>55.</t>
  </si>
  <si>
    <t>56.</t>
  </si>
  <si>
    <t>57.</t>
  </si>
  <si>
    <t>58.</t>
  </si>
  <si>
    <t>Wykonanie nakładki asfaltobetonowej na drodze powiatowej Nr 2717W ul. Wojska Polskiego w Celestynowie w kierunku jednostki wojskowej</t>
  </si>
  <si>
    <t>Modernizacja chodników przy drodze powiatowej Nr 2766W - ul. 3 Maja w Józefowie</t>
  </si>
  <si>
    <t>Przebudowa mostu na przepust w ciągu drogi powiatowej Nr 2735W Warszówka-Warszawice w Warszawicach</t>
  </si>
  <si>
    <t>Wykonanie chodnika przy drodze powiatowej Nr 2706W - ul. Wawrzyniecka w Gliniance (przy Kościele)</t>
  </si>
  <si>
    <t>Modernizacja drogi powiatowej Nr 2737W Anielinek-Sępochów-Rudno</t>
  </si>
  <si>
    <t>Modernizacja drogi powiatowej Nr 2706W Glinianka - Poręby</t>
  </si>
  <si>
    <t>Modernizacja drogi powiatowej Nr 2763W - ul. Majowej w Otwocku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</si>
  <si>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</si>
  <si>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</si>
  <si>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</si>
  <si>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</si>
  <si>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</si>
  <si>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</si>
  <si>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</si>
  <si>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</si>
  <si>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</si>
  <si>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</si>
  <si>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59.</t>
  </si>
  <si>
    <t>60.</t>
  </si>
  <si>
    <t>61.</t>
  </si>
  <si>
    <t>62.</t>
  </si>
  <si>
    <t>63.</t>
  </si>
  <si>
    <t>65.</t>
  </si>
  <si>
    <t>66.</t>
  </si>
  <si>
    <t>Dotacje udzielone w 2018 roku z budżetu podmiotom należącym                                                                                               i nienależącym do sektora finansów publicznych - po zmianach</t>
  </si>
  <si>
    <t>Dochody i wydatki związane z realizacją zadań realizowanych w drodze umów lub porozumień między                                              jednostkami samorządu terytorialnego na 2018 rok - po zmianach</t>
  </si>
  <si>
    <t>Kultura fizyczna</t>
  </si>
  <si>
    <t>Zadania w zakresie kultury fizycznej</t>
  </si>
  <si>
    <t>Przebudowa i rozbudowa budynku w Otwocku przy ul. Komunardów wraz z towarzyszącą infrastrukturą na potrzeby siedziby Starostwa i jednostek organizacyjnych powiatu</t>
  </si>
  <si>
    <t>67.</t>
  </si>
  <si>
    <t>64.</t>
  </si>
  <si>
    <t>68.</t>
  </si>
  <si>
    <t>Adminstracja publiczna</t>
  </si>
  <si>
    <t>Starostwa powiatowe</t>
  </si>
  <si>
    <t>B. 557 375</t>
  </si>
  <si>
    <t>Doświetlenie przejść dla pieszych w drogach powiatowych:                                                                                                                           - w ul. Filipowicza przy Liceum Ogólnokształcącym Nr I                                                                                                                             - w ul. Żeromskiego przy Zespole Szkół Ekonomiczno-Gastronomicznych                                                                                               - w ul. Pułaskiego przy Zespole Szkół Nr 1                                                                                                                       - w ul. Samorządowej przy Zespole Szkół Nr 1                                                                                      - w ul. Majowej przy Specjalnym Ośrodku Szkolno-Wychowawczym Nr 1                                                                                                            - w ul. Żaboklickiego w Karczewie - przy Kościele                                                                                                             - w ul. Mickiewicza - skrzyżowanie z ul. Krakowską w Karczewie                                                                                                          - w ul. Kardynała Wyszyńskiego - skrzyżowanie z ul. Westerplatte i Świderską w Karczewie</t>
  </si>
  <si>
    <t>Wykonanie nakładki asfaltobetonowej na drodze powiatowej Nr 2768W -  ul. Granicznej w Józefowie od ronda Wawerska, Graniczna do ronda Piłsudskiego, Graniczna</t>
  </si>
  <si>
    <t>Plan wydatków majątkowych na 2018 rok - po zmianach</t>
  </si>
  <si>
    <t>Przychody i rozchody budżetu w 2018 roku - po zmianach</t>
  </si>
  <si>
    <t>Dochody i wydatki związane z realizacją zadań wykonywanych na mocy porozumień                                   z organami administracji rządowej na 2018 rok</t>
  </si>
  <si>
    <t>Dotacje celowe otrzymane z budżetu państwa na zadania bieżące realizowane przez powiat na podstawie porozumień z organami administracji rządowej</t>
  </si>
  <si>
    <t>Oświata i wychowanie</t>
  </si>
  <si>
    <t>Składki na Fundusz Emerytur Pomostowych</t>
  </si>
  <si>
    <t>B. 56 000</t>
  </si>
  <si>
    <t>85395</t>
  </si>
  <si>
    <t>B.15 000</t>
  </si>
  <si>
    <t>Razem Rozdział 85295</t>
  </si>
  <si>
    <t>69.</t>
  </si>
  <si>
    <t>70.</t>
  </si>
  <si>
    <t>Razem rozdział 70005</t>
  </si>
  <si>
    <t xml:space="preserve"> Sygnalizaja ostrzegawcza na ul. Św. Kazimierza w Celestynowie</t>
  </si>
  <si>
    <t>B. 80 000</t>
  </si>
  <si>
    <t>Modernizacja drogi powiatowej Nr 2715W - ul. Otwocka w Glinie i Pogorzeli</t>
  </si>
  <si>
    <t>B. 40 000</t>
  </si>
  <si>
    <t>Modernizacja drogi powiatowej Nr 2733W - Kąty - Zabieżki w Zabieżkach</t>
  </si>
  <si>
    <t xml:space="preserve">B. 65 000 </t>
  </si>
  <si>
    <t>71.</t>
  </si>
  <si>
    <t>72.</t>
  </si>
  <si>
    <t>73.</t>
  </si>
  <si>
    <t>Modernizacja drogi powiatowej Nr 2702W Izabela-Nowy Konik w miejscowości Zakręt   ul.Szkolna</t>
  </si>
  <si>
    <t>74.</t>
  </si>
  <si>
    <t>Składki na ubezpieczenie społeczne</t>
  </si>
  <si>
    <t xml:space="preserve">Dotacje celowe przekazane gminie na inwestycje i zakupy inwestycyjne realizowane na podstawie porozumień (umów) między jednostkami samorządu terytorialnego </t>
  </si>
  <si>
    <t xml:space="preserve"> Budowa chodników przy drogach powiatowych Nr 2724W, 2730W, 2728W, 2729W w granicach administracyjnych sołectw w wioskach: Janów, Łukówiec, Kępa Nadbrzeska, Ostrówiec i Glinki</t>
  </si>
  <si>
    <t>75.</t>
  </si>
  <si>
    <t>76.</t>
  </si>
  <si>
    <t xml:space="preserve">Rozbudowa szatni w Zespole Szkół Nr 2 im. Marii Skłodowskiej-Curie w Otwocku wraz z przebudową części istniejącej </t>
  </si>
  <si>
    <t xml:space="preserve">Rozbudowa szatni w Zespole Szkół Nr 1 w Otwocku wraz z przebudową części istniejącej </t>
  </si>
  <si>
    <t>Budowa zatoki autobusowej, azylu dla pieszych i sygnalizacji ostrzegawczej na                        ul. Fabrycznej w Starej Wsi</t>
  </si>
  <si>
    <t>752</t>
  </si>
  <si>
    <t>75295</t>
  </si>
  <si>
    <t>Dotacje celowe otrzymane z budżetu państwa na inwestycje i zakupy inwestycyjne z zakresu administracji rządowej oraz inne zadania zlecone ustawami realizowane przez powiat</t>
  </si>
  <si>
    <t>Obrona narodowa</t>
  </si>
  <si>
    <t>22.</t>
  </si>
  <si>
    <t>Budowa chodników na terenach wiejskich w gminie Karczew - Janów, Ostrówiec, Kępa Nadbrzeska, Glinki i Łukówiec</t>
  </si>
  <si>
    <t>A. 147 750</t>
  </si>
  <si>
    <t>Zakupy inwestycyjne sprzętu informatyki i łaczności w Komendzie Powiatowej Państwowej Straży Pożarnej</t>
  </si>
  <si>
    <t>A. 15 473</t>
  </si>
  <si>
    <t xml:space="preserve">  Razem Rozdział 75295</t>
  </si>
  <si>
    <t xml:space="preserve">Wymiana nawierzchni boiska sportowego </t>
  </si>
  <si>
    <t>Wydatki na zakupy inwestycyjne jednostek budżetowych</t>
  </si>
  <si>
    <t>Dochody i wydatki związane z realizacją zadań z zakresu administracji rządowej i innych zadań zleconych   jednostce samorządu terytorialnego odrębnymi ustawami na 2018 rok - po zmianch</t>
  </si>
  <si>
    <t>Technika</t>
  </si>
  <si>
    <t>Modernizacja nawierzchni w drodze powiatowej Nr 2761W - ul. Przewoskiej w Otwocku</t>
  </si>
  <si>
    <t>B. 198 000</t>
  </si>
  <si>
    <t>Budowa chodnika w drodze powiatowej Nr 2729W - ul. Częstochowskiej w Karczewie</t>
  </si>
  <si>
    <t>Budowa chodnika w drodze powiatowej Nr 2745W w miejscowości Kąty</t>
  </si>
  <si>
    <t>Budowa ciagu pieszo-rowerowego przy drodze powiatowej Nr 2702W w miejscowości Zakręt</t>
  </si>
  <si>
    <t>Budowa chodnika przy drodze powiatowej Nr 2750W w miejscowości  Warszawice</t>
  </si>
  <si>
    <t>Modernizacja drogi powiatowej Nr 1315W Jaźwiny - Augustówka</t>
  </si>
  <si>
    <t>A. 9 318 700                    B. 4 000 000</t>
  </si>
  <si>
    <t>Budowa chodnika przy drodze powiatowej Nr 2713W w miejscowości Celestynów -           ul. Otwocka</t>
  </si>
  <si>
    <t>B. 200 000</t>
  </si>
  <si>
    <t>Wykonanie chodnika przy drodze powiatowej Nr 2739W Stara Wieś - Gadka - Majdan - Wólka Dłużewska w Sufczynie - dotacja dla gminy  Kołbiel</t>
  </si>
  <si>
    <t>Wykonanie chodnika przy drodze powiatowej Nr 2736W Oleksin - Grzebowilk w Teresinie - dotacja dla gminy Kołbiel</t>
  </si>
  <si>
    <t>Wykonanie chodnika przy drodze powiatowej Nr 2739W Stara Wieś - Gadka - Majdan - Wólka Dłużewska w Gadce - dotacja dla gminy  Kołbiel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</si>
  <si>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</si>
  <si>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</si>
  <si>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</si>
  <si>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</si>
  <si>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</si>
  <si>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</si>
  <si>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</si>
  <si>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</si>
  <si>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</si>
  <si>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</si>
  <si>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</si>
  <si>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</si>
  <si>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B. 0    </t>
  </si>
  <si>
    <t>Budowa kotłowni w Zespole Szkół Nr 2 im. Marii Skłodowskiej-Curie w Otwocku</t>
  </si>
  <si>
    <t>Modernizacja schodów wejścia głównego do PCZ Sp. z o.o.</t>
  </si>
  <si>
    <t xml:space="preserve">A. 0                                 B. 1 500 000                 </t>
  </si>
  <si>
    <t>89.</t>
  </si>
  <si>
    <t>Zakup dziewięcioosobowego samochodu dla Rodzinnego Domu Dziecka w Podbieli</t>
  </si>
  <si>
    <t>Razem Rozdział 85510</t>
  </si>
  <si>
    <t>754</t>
  </si>
  <si>
    <t>Obrona cywilna</t>
  </si>
  <si>
    <t>Zakup sprzętu  do obsługi sesji rady</t>
  </si>
  <si>
    <t>85504</t>
  </si>
  <si>
    <t>Wspieranie rodziny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</si>
  <si>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</si>
  <si>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</si>
  <si>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</si>
  <si>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</si>
  <si>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801</t>
  </si>
  <si>
    <t>80153</t>
  </si>
  <si>
    <t>Zapewnienie uczniom prawa do bezpłatnego dostępu do podręczników, materiałów edukacyjnych lub materiałów ćwiczeniowych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</si>
  <si>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</si>
  <si>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</si>
  <si>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90.</t>
  </si>
  <si>
    <t xml:space="preserve">Wykonanie projektu przyłącza wodno-kanalizacyjnego do budynku PCZ Sp. z o.o. </t>
  </si>
  <si>
    <t>Wymiana parkietu w budynku Liceum Ogólnokształcącego Nr I im. K.I. Gałczyńskiego w Otwocku</t>
  </si>
  <si>
    <t>Modernizacja drogi powiatowej nr 2729W Kępa Gliniecka - Otwock Wielki - Otwock Mały - Karczew w miejscowości Otwock Wielki</t>
  </si>
  <si>
    <t>91.</t>
  </si>
  <si>
    <t>92.</t>
  </si>
  <si>
    <t>Dotacje celowe z budżetu na finansowanie lub dofinansowanie kosztów realizacji inwestycji i zakupów inwestycyjnych jednostek niezaliczanych do sektora finansów publicznych</t>
  </si>
  <si>
    <t>Opracowanie projektu zagospodarowania terenu przed budynkiem Liceum Ogólnokształcącego w Otwocku</t>
  </si>
  <si>
    <t>93.</t>
  </si>
  <si>
    <t>Dotacja dla Powiatowego Centrum Zdrowia  Sp. z o.o. na zakupy inwestycyjne,  w tym  łóżek wraz z osprzętem oraz kardiomonitorów</t>
  </si>
  <si>
    <t>Razem Rozdział 85218</t>
  </si>
  <si>
    <t>B. 0</t>
  </si>
  <si>
    <t>Razem Rozdział 75410</t>
  </si>
  <si>
    <t>Podróże służbowe zagraniczne</t>
  </si>
  <si>
    <t>Dotacja na zakup dwóch radioprzemienników na potrzeby systemu łączności dla Komendy Powiatowej Państwowej Straży Pożarnej</t>
  </si>
  <si>
    <t>niezbędny do opracowania dokumentacji projektowo-kosztorysowej budowy hali</t>
  </si>
  <si>
    <t>Modernizacja drogi powiatowej Nr 2744W w Ponurzycy</t>
  </si>
  <si>
    <t>94.</t>
  </si>
  <si>
    <t>95.</t>
  </si>
  <si>
    <t>96.</t>
  </si>
  <si>
    <t>Program funkcjonalno-użytkowy hali sportowej w Zespole Szkół Nr 2 im. Marii Skłodowskiej-Curie w Otwocku</t>
  </si>
  <si>
    <t>B. 100 000</t>
  </si>
  <si>
    <t xml:space="preserve">A. 0                 B. 0     </t>
  </si>
  <si>
    <t>Usuwanie skutków klęsk żywiołowych</t>
  </si>
  <si>
    <t>Różne wydatki na rzecz osób fizycznych</t>
  </si>
  <si>
    <t>Plan dochodów rachunku dochodów jednostek oświatowych                                                                        oraz wydatków nimi finansowanych w 2018 roku po zmianach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</si>
  <si>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</si>
  <si>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</si>
  <si>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</si>
  <si>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</si>
  <si>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</si>
  <si>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Liceum Ogólnokształcące Nr I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</si>
  <si>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</si>
  <si>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</si>
  <si>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</si>
  <si>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</si>
  <si>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</si>
  <si>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Socjoterapii "Jędruś"                         ul. Główna 10, 05-410 Józefów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</si>
  <si>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2018 rok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</si>
  <si>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</si>
  <si>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</si>
  <si>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</si>
  <si>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</si>
  <si>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</si>
  <si>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</si>
  <si>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</si>
  <si>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</si>
  <si>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Program: Regionalny Program Operacyjny Województwa Mazowieckiego</t>
  </si>
  <si>
    <t>Jednostka realizująca - Starostwo Powiatowe</t>
  </si>
  <si>
    <t>wykonanie 2017</t>
  </si>
  <si>
    <t>plan 2018</t>
  </si>
  <si>
    <t>Europejski Fundusz Społeczny</t>
  </si>
  <si>
    <t>Jednostka realizująca - Powiatowe Centrum Pomocy Rodzinie</t>
  </si>
  <si>
    <t>Regionalny Program Operacyjny Województwa Mazowieckiego na lata 2014-2020</t>
  </si>
  <si>
    <t>Nazwa: Aktywni w życiu i w pracy</t>
  </si>
  <si>
    <t>wykonanie  2017</t>
  </si>
  <si>
    <t>85295, 85508</t>
  </si>
  <si>
    <t>Jednostka realizująca - Zespół Szkół Ekonomiczno-Gastronomicznych</t>
  </si>
  <si>
    <t>Program Operacyjny Wiedza Edukacja Rozwój</t>
  </si>
  <si>
    <t>Nazwa: Nowe doświadczenia zawodowe</t>
  </si>
  <si>
    <t>Jednostka realizująca - Zespół Szkół Nr 2</t>
  </si>
  <si>
    <t>Nazwa: Kwalifikacje po angielsku - mobilna kadra edukacyjna</t>
  </si>
  <si>
    <t>Nazwa: Akademia Rodzin w Powiecie Otwockim</t>
  </si>
  <si>
    <t>Nazwa: Doświadczenie zawodowe kluczem do sukcesu</t>
  </si>
  <si>
    <t>Nazwa: Poprawa funkcjonowania osób niesamodzielnych z terenu powiatu otwockiego poprzez uruchomienie usług socjalnych świadczonych w formie wsparcia dziennego</t>
  </si>
  <si>
    <t>Ogółem plan 2018</t>
  </si>
  <si>
    <t>Dochody i wydatki związane z realizacją zadań wykonywanych na mocy porozumień                                   z organami administracji rządowej na 2018 rok - po zmianach</t>
  </si>
  <si>
    <t>Modernizacja budynku Ogniska Wychowawczego "Świder"</t>
  </si>
  <si>
    <t>Opracowanie dokumentacji projektowej i budowa zatoki autobusowej oraz  azylu dla pieszych na drodze powiatowej Nr 2713 W -  ul. Fabrycznej w Starej Wsi - dotacja celowa dla Gminy Celestynów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</si>
</sst>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\ _z_ł"/>
  </numFmts>
  <fonts count="36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Czcionka tekstu podstawowego"/>
      <family val="2"/>
      <charset val="238"/>
    </font>
    <font>
      <sz val="8"/>
      <name val="Arial CE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name val="Czcionka tekstu podstawowego"/>
      <charset val="238"/>
    </font>
    <font>
      <b/>
      <i/>
      <sz val="8"/>
      <name val="Arial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FFFFCC"/>
        <bgColor indexed="26"/>
      </patternFill>
    </fill>
    <fill>
      <patternFill patternType="solid">
        <fgColor rgb="FFFFFFB7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 applyNumberFormat="0" applyFill="0" applyBorder="0" applyAlignment="0" applyProtection="0">
      <alignment vertical="top"/>
    </xf>
    <xf numFmtId="0" fontId="2" fillId="0" borderId="0"/>
    <xf numFmtId="0" fontId="5" fillId="0" borderId="0"/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8" fillId="0" borderId="0"/>
    <xf numFmtId="164" fontId="11" fillId="0" borderId="0"/>
    <xf numFmtId="0" fontId="2" fillId="0" borderId="0"/>
    <xf numFmtId="0" fontId="5" fillId="0" borderId="0"/>
    <xf numFmtId="0" fontId="5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</cellStyleXfs>
  <cellXfs count="462">
    <xf numFmtId="0" fontId="0" fillId="0" borderId="0" xfId="0" applyAlignment="1"/>
    <xf numFmtId="0" fontId="12" fillId="0" borderId="0" xfId="9" applyFont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>
      <alignment horizontal="right" vertical="top"/>
    </xf>
    <xf numFmtId="0" fontId="10" fillId="4" borderId="6" xfId="9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/>
    </xf>
    <xf numFmtId="0" fontId="10" fillId="0" borderId="6" xfId="9" applyFont="1" applyBorder="1" applyAlignment="1">
      <alignment horizontal="left" vertical="center"/>
    </xf>
    <xf numFmtId="3" fontId="10" fillId="0" borderId="6" xfId="9" applyNumberFormat="1" applyFont="1" applyBorder="1" applyAlignment="1">
      <alignment horizontal="right"/>
    </xf>
    <xf numFmtId="0" fontId="10" fillId="0" borderId="0" xfId="9" applyFont="1" applyAlignment="1">
      <alignment vertical="center"/>
    </xf>
    <xf numFmtId="0" fontId="13" fillId="0" borderId="6" xfId="9" applyFont="1" applyBorder="1" applyAlignment="1">
      <alignment horizontal="center" vertical="center"/>
    </xf>
    <xf numFmtId="0" fontId="13" fillId="0" borderId="6" xfId="9" applyFont="1" applyBorder="1" applyAlignment="1">
      <alignment horizontal="left" vertical="center"/>
    </xf>
    <xf numFmtId="3" fontId="13" fillId="0" borderId="6" xfId="9" applyNumberFormat="1" applyFont="1" applyFill="1" applyBorder="1" applyAlignment="1">
      <alignment horizontal="right"/>
    </xf>
    <xf numFmtId="0" fontId="13" fillId="0" borderId="0" xfId="9" applyFont="1" applyAlignment="1">
      <alignment vertical="center"/>
    </xf>
    <xf numFmtId="3" fontId="13" fillId="0" borderId="6" xfId="9" applyNumberFormat="1" applyFont="1" applyBorder="1" applyAlignment="1">
      <alignment horizontal="right"/>
    </xf>
    <xf numFmtId="3" fontId="10" fillId="0" borderId="6" xfId="9" applyNumberFormat="1" applyFont="1" applyBorder="1" applyAlignment="1"/>
    <xf numFmtId="3" fontId="13" fillId="0" borderId="6" xfId="9" applyNumberFormat="1" applyFont="1" applyFill="1" applyBorder="1" applyAlignment="1"/>
    <xf numFmtId="3" fontId="13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0" fontId="8" fillId="4" borderId="6" xfId="9" applyFont="1" applyFill="1" applyBorder="1" applyAlignment="1">
      <alignment vertical="center"/>
    </xf>
    <xf numFmtId="3" fontId="10" fillId="4" borderId="6" xfId="9" applyNumberFormat="1" applyFont="1" applyFill="1" applyBorder="1" applyAlignment="1"/>
    <xf numFmtId="0" fontId="8" fillId="0" borderId="6" xfId="9" applyFont="1" applyBorder="1" applyAlignment="1">
      <alignment horizontal="center" vertical="center"/>
    </xf>
    <xf numFmtId="0" fontId="8" fillId="0" borderId="1" xfId="9" applyFont="1" applyBorder="1" applyAlignment="1">
      <alignment vertical="center"/>
    </xf>
    <xf numFmtId="3" fontId="8" fillId="0" borderId="6" xfId="9" applyNumberFormat="1" applyFont="1" applyBorder="1" applyAlignment="1"/>
    <xf numFmtId="0" fontId="8" fillId="0" borderId="6" xfId="9" applyFont="1" applyBorder="1" applyAlignment="1">
      <alignment vertical="center"/>
    </xf>
    <xf numFmtId="3" fontId="8" fillId="0" borderId="4" xfId="9" applyNumberFormat="1" applyFont="1" applyBorder="1" applyAlignment="1"/>
    <xf numFmtId="0" fontId="8" fillId="0" borderId="5" xfId="9" applyFont="1" applyBorder="1" applyAlignment="1">
      <alignment vertical="center"/>
    </xf>
    <xf numFmtId="0" fontId="8" fillId="4" borderId="6" xfId="9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Border="1" applyAlignment="1"/>
    <xf numFmtId="0" fontId="14" fillId="0" borderId="0" xfId="9" applyFont="1" applyAlignment="1">
      <alignment vertical="center"/>
    </xf>
    <xf numFmtId="49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3" fontId="6" fillId="0" borderId="0" xfId="10" applyNumberFormat="1" applyFont="1" applyAlignment="1">
      <alignment vertical="center"/>
    </xf>
    <xf numFmtId="0" fontId="6" fillId="0" borderId="0" xfId="10" applyFont="1"/>
    <xf numFmtId="0" fontId="6" fillId="0" borderId="0" xfId="10" applyFont="1" applyAlignment="1">
      <alignment vertical="center"/>
    </xf>
    <xf numFmtId="49" fontId="6" fillId="0" borderId="6" xfId="10" applyNumberFormat="1" applyFont="1" applyBorder="1" applyAlignment="1">
      <alignment horizontal="center" vertical="center"/>
    </xf>
    <xf numFmtId="0" fontId="6" fillId="0" borderId="6" xfId="10" applyFont="1" applyBorder="1" applyAlignment="1">
      <alignment horizontal="center" vertical="center"/>
    </xf>
    <xf numFmtId="0" fontId="6" fillId="0" borderId="6" xfId="10" applyFont="1" applyBorder="1" applyAlignment="1">
      <alignment vertical="center" wrapText="1"/>
    </xf>
    <xf numFmtId="3" fontId="6" fillId="0" borderId="6" xfId="10" applyNumberFormat="1" applyFont="1" applyBorder="1" applyAlignment="1">
      <alignment vertical="center"/>
    </xf>
    <xf numFmtId="0" fontId="3" fillId="0" borderId="0" xfId="7" applyFont="1"/>
    <xf numFmtId="0" fontId="6" fillId="0" borderId="0" xfId="11" applyFont="1" applyAlignment="1">
      <alignment horizontal="center" vertical="center"/>
    </xf>
    <xf numFmtId="0" fontId="6" fillId="0" borderId="0" xfId="11" applyFont="1" applyAlignment="1">
      <alignment vertical="center" wrapText="1"/>
    </xf>
    <xf numFmtId="3" fontId="6" fillId="0" borderId="0" xfId="11" applyNumberFormat="1" applyFont="1" applyAlignment="1">
      <alignment vertical="center"/>
    </xf>
    <xf numFmtId="0" fontId="6" fillId="0" borderId="0" xfId="11" applyFont="1"/>
    <xf numFmtId="0" fontId="7" fillId="0" borderId="0" xfId="11" applyFont="1" applyAlignment="1">
      <alignment vertical="center"/>
    </xf>
    <xf numFmtId="0" fontId="6" fillId="0" borderId="0" xfId="11" applyFont="1" applyAlignment="1">
      <alignment vertical="center"/>
    </xf>
    <xf numFmtId="0" fontId="6" fillId="0" borderId="6" xfId="11" applyFont="1" applyBorder="1" applyAlignment="1">
      <alignment horizontal="center" vertical="center"/>
    </xf>
    <xf numFmtId="0" fontId="6" fillId="0" borderId="6" xfId="11" applyFont="1" applyBorder="1" applyAlignment="1">
      <alignment vertical="center" wrapText="1"/>
    </xf>
    <xf numFmtId="3" fontId="6" fillId="0" borderId="6" xfId="11" applyNumberFormat="1" applyFont="1" applyBorder="1" applyAlignment="1">
      <alignment vertical="center"/>
    </xf>
    <xf numFmtId="0" fontId="3" fillId="0" borderId="6" xfId="11" applyFont="1" applyBorder="1" applyAlignment="1">
      <alignment vertical="center" wrapText="1"/>
    </xf>
    <xf numFmtId="49" fontId="6" fillId="3" borderId="6" xfId="10" applyNumberFormat="1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horizontal="center" vertical="center"/>
    </xf>
    <xf numFmtId="0" fontId="6" fillId="3" borderId="6" xfId="10" applyFont="1" applyFill="1" applyBorder="1" applyAlignment="1">
      <alignment vertical="center" wrapText="1"/>
    </xf>
    <xf numFmtId="3" fontId="6" fillId="3" borderId="6" xfId="10" applyNumberFormat="1" applyFont="1" applyFill="1" applyBorder="1" applyAlignment="1">
      <alignment vertical="center"/>
    </xf>
    <xf numFmtId="0" fontId="14" fillId="0" borderId="6" xfId="9" applyFont="1" applyFill="1" applyBorder="1" applyAlignment="1">
      <alignment horizontal="center" vertical="center"/>
    </xf>
    <xf numFmtId="0" fontId="14" fillId="0" borderId="6" xfId="9" applyFont="1" applyFill="1" applyBorder="1" applyAlignment="1">
      <alignment horizontal="center" vertical="center" wrapText="1"/>
    </xf>
    <xf numFmtId="3" fontId="3" fillId="0" borderId="6" xfId="11" applyNumberFormat="1" applyFont="1" applyBorder="1" applyAlignment="1">
      <alignment vertical="center"/>
    </xf>
    <xf numFmtId="0" fontId="6" fillId="0" borderId="1" xfId="10" applyFont="1" applyBorder="1" applyAlignment="1">
      <alignment vertical="center" wrapText="1"/>
    </xf>
    <xf numFmtId="0" fontId="3" fillId="0" borderId="6" xfId="7" applyFont="1" applyBorder="1" applyAlignment="1">
      <alignment vertical="center" wrapText="1"/>
    </xf>
    <xf numFmtId="49" fontId="7" fillId="5" borderId="6" xfId="10" applyNumberFormat="1" applyFont="1" applyFill="1" applyBorder="1" applyAlignment="1">
      <alignment horizontal="center" vertical="center"/>
    </xf>
    <xf numFmtId="0" fontId="7" fillId="5" borderId="6" xfId="10" applyFont="1" applyFill="1" applyBorder="1" applyAlignment="1">
      <alignment horizontal="center" vertical="center" wrapText="1"/>
    </xf>
    <xf numFmtId="3" fontId="7" fillId="5" borderId="6" xfId="10" applyNumberFormat="1" applyFont="1" applyFill="1" applyBorder="1" applyAlignment="1">
      <alignment horizontal="center" vertical="center"/>
    </xf>
    <xf numFmtId="3" fontId="7" fillId="5" borderId="6" xfId="10" applyNumberFormat="1" applyFont="1" applyFill="1" applyBorder="1" applyAlignment="1">
      <alignment vertical="center"/>
    </xf>
    <xf numFmtId="49" fontId="7" fillId="6" borderId="6" xfId="10" applyNumberFormat="1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horizontal="center" vertical="center"/>
    </xf>
    <xf numFmtId="0" fontId="7" fillId="6" borderId="6" xfId="10" applyFont="1" applyFill="1" applyBorder="1" applyAlignment="1">
      <alignment vertical="center" wrapText="1"/>
    </xf>
    <xf numFmtId="3" fontId="7" fillId="6" borderId="6" xfId="10" applyNumberFormat="1" applyFont="1" applyFill="1" applyBorder="1" applyAlignment="1">
      <alignment vertical="center"/>
    </xf>
    <xf numFmtId="0" fontId="7" fillId="7" borderId="6" xfId="11" applyFont="1" applyFill="1" applyBorder="1" applyAlignment="1">
      <alignment horizontal="center" vertical="center"/>
    </xf>
    <xf numFmtId="0" fontId="7" fillId="7" borderId="6" xfId="11" applyFont="1" applyFill="1" applyBorder="1" applyAlignment="1">
      <alignment horizontal="center" vertical="center" wrapText="1"/>
    </xf>
    <xf numFmtId="3" fontId="7" fillId="7" borderId="6" xfId="11" applyNumberFormat="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horizontal="center" vertical="center"/>
    </xf>
    <xf numFmtId="0" fontId="7" fillId="8" borderId="6" xfId="11" applyFont="1" applyFill="1" applyBorder="1" applyAlignment="1">
      <alignment vertical="center" wrapText="1"/>
    </xf>
    <xf numFmtId="3" fontId="7" fillId="8" borderId="6" xfId="11" applyNumberFormat="1" applyFont="1" applyFill="1" applyBorder="1" applyAlignment="1">
      <alignment vertical="center"/>
    </xf>
    <xf numFmtId="0" fontId="6" fillId="6" borderId="6" xfId="11" applyFont="1" applyFill="1" applyBorder="1" applyAlignment="1">
      <alignment horizontal="center" vertical="center"/>
    </xf>
    <xf numFmtId="0" fontId="6" fillId="6" borderId="6" xfId="11" applyFont="1" applyFill="1" applyBorder="1" applyAlignment="1">
      <alignment vertical="center" wrapText="1"/>
    </xf>
    <xf numFmtId="3" fontId="6" fillId="6" borderId="6" xfId="11" applyNumberFormat="1" applyFont="1" applyFill="1" applyBorder="1" applyAlignment="1">
      <alignment vertical="center"/>
    </xf>
    <xf numFmtId="3" fontId="7" fillId="7" borderId="6" xfId="11" applyNumberFormat="1" applyFont="1" applyFill="1" applyBorder="1" applyAlignment="1">
      <alignment vertical="center"/>
    </xf>
    <xf numFmtId="0" fontId="3" fillId="0" borderId="6" xfId="11" applyFont="1" applyBorder="1" applyAlignment="1">
      <alignment horizontal="center" vertical="center"/>
    </xf>
    <xf numFmtId="0" fontId="3" fillId="0" borderId="0" xfId="11" applyFont="1" applyAlignment="1">
      <alignment vertical="center"/>
    </xf>
    <xf numFmtId="49" fontId="3" fillId="0" borderId="6" xfId="1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vertical="center"/>
    </xf>
    <xf numFmtId="0" fontId="3" fillId="0" borderId="0" xfId="10" applyFont="1" applyAlignment="1">
      <alignment vertical="center"/>
    </xf>
    <xf numFmtId="0" fontId="8" fillId="0" borderId="8" xfId="9" applyFont="1" applyBorder="1" applyAlignment="1">
      <alignment vertical="center" wrapText="1"/>
    </xf>
    <xf numFmtId="0" fontId="8" fillId="0" borderId="0" xfId="9" applyFont="1" applyFill="1" applyAlignment="1">
      <alignment vertical="center"/>
    </xf>
    <xf numFmtId="0" fontId="3" fillId="0" borderId="6" xfId="10" applyFont="1" applyBorder="1" applyAlignment="1">
      <alignment vertical="center" wrapText="1"/>
    </xf>
    <xf numFmtId="0" fontId="3" fillId="0" borderId="7" xfId="10" applyFont="1" applyBorder="1" applyAlignment="1">
      <alignment horizontal="center" vertical="center"/>
    </xf>
    <xf numFmtId="3" fontId="3" fillId="0" borderId="3" xfId="10" applyNumberFormat="1" applyFont="1" applyBorder="1" applyAlignment="1">
      <alignment vertical="center"/>
    </xf>
    <xf numFmtId="0" fontId="8" fillId="0" borderId="0" xfId="7" applyFont="1"/>
    <xf numFmtId="0" fontId="19" fillId="0" borderId="13" xfId="7" applyFont="1" applyFill="1" applyBorder="1" applyAlignment="1">
      <alignment horizontal="center" vertical="center"/>
    </xf>
    <xf numFmtId="0" fontId="19" fillId="0" borderId="0" xfId="7" applyFont="1" applyFill="1"/>
    <xf numFmtId="0" fontId="8" fillId="0" borderId="9" xfId="7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 wrapText="1"/>
    </xf>
    <xf numFmtId="3" fontId="8" fillId="0" borderId="9" xfId="7" applyNumberFormat="1" applyFont="1" applyFill="1" applyBorder="1" applyAlignment="1">
      <alignment vertical="center"/>
    </xf>
    <xf numFmtId="0" fontId="8" fillId="0" borderId="9" xfId="7" applyFont="1" applyFill="1" applyBorder="1" applyAlignment="1">
      <alignment horizontal="right" vertical="center" wrapText="1"/>
    </xf>
    <xf numFmtId="0" fontId="19" fillId="0" borderId="9" xfId="7" applyFont="1" applyFill="1" applyBorder="1" applyAlignment="1">
      <alignment vertical="center" wrapText="1"/>
    </xf>
    <xf numFmtId="0" fontId="8" fillId="0" borderId="0" xfId="7" applyFont="1" applyAlignment="1">
      <alignment vertical="center"/>
    </xf>
    <xf numFmtId="3" fontId="8" fillId="0" borderId="9" xfId="7" applyNumberFormat="1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9" xfId="7" applyFont="1" applyBorder="1" applyAlignment="1">
      <alignment vertical="center" wrapText="1"/>
    </xf>
    <xf numFmtId="0" fontId="8" fillId="0" borderId="9" xfId="7" applyFont="1" applyBorder="1" applyAlignment="1">
      <alignment horizontal="center" vertical="center"/>
    </xf>
    <xf numFmtId="3" fontId="10" fillId="2" borderId="9" xfId="7" applyNumberFormat="1" applyFont="1" applyFill="1" applyBorder="1" applyAlignment="1">
      <alignment vertical="center" wrapText="1"/>
    </xf>
    <xf numFmtId="0" fontId="10" fillId="2" borderId="9" xfId="7" applyFont="1" applyFill="1" applyBorder="1" applyAlignment="1">
      <alignment vertical="center" wrapText="1"/>
    </xf>
    <xf numFmtId="0" fontId="10" fillId="0" borderId="0" xfId="7" applyFont="1" applyFill="1" applyAlignment="1">
      <alignment vertical="center"/>
    </xf>
    <xf numFmtId="0" fontId="20" fillId="0" borderId="9" xfId="7" applyFont="1" applyBorder="1" applyAlignment="1">
      <alignment horizontal="center" vertical="center" wrapText="1"/>
    </xf>
    <xf numFmtId="0" fontId="20" fillId="0" borderId="9" xfId="7" applyFont="1" applyBorder="1" applyAlignment="1">
      <alignment vertical="center" wrapText="1"/>
    </xf>
    <xf numFmtId="3" fontId="8" fillId="0" borderId="14" xfId="7" applyNumberFormat="1" applyFont="1" applyBorder="1" applyAlignment="1">
      <alignment vertical="center" wrapText="1"/>
    </xf>
    <xf numFmtId="3" fontId="10" fillId="11" borderId="9" xfId="7" applyNumberFormat="1" applyFont="1" applyFill="1" applyBorder="1" applyAlignment="1">
      <alignment vertical="center" wrapText="1"/>
    </xf>
    <xf numFmtId="3" fontId="8" fillId="0" borderId="0" xfId="7" applyNumberFormat="1" applyFont="1"/>
    <xf numFmtId="0" fontId="21" fillId="0" borderId="0" xfId="9" applyFont="1"/>
    <xf numFmtId="0" fontId="19" fillId="0" borderId="0" xfId="7" applyFont="1"/>
    <xf numFmtId="0" fontId="3" fillId="0" borderId="0" xfId="7" applyFont="1" applyAlignment="1">
      <alignment horizontal="center" vertical="center"/>
    </xf>
    <xf numFmtId="0" fontId="3" fillId="0" borderId="0" xfId="7" applyFont="1" applyAlignment="1"/>
    <xf numFmtId="0" fontId="9" fillId="0" borderId="0" xfId="7" applyFont="1" applyAlignment="1">
      <alignment vertical="center" wrapText="1"/>
    </xf>
    <xf numFmtId="0" fontId="12" fillId="0" borderId="0" xfId="7" applyFont="1"/>
    <xf numFmtId="0" fontId="4" fillId="2" borderId="6" xfId="7" applyFont="1" applyFill="1" applyBorder="1" applyAlignment="1">
      <alignment horizontal="center" vertical="center"/>
    </xf>
    <xf numFmtId="0" fontId="22" fillId="12" borderId="6" xfId="7" applyFont="1" applyFill="1" applyBorder="1" applyAlignment="1">
      <alignment horizontal="center" vertical="center"/>
    </xf>
    <xf numFmtId="0" fontId="22" fillId="0" borderId="0" xfId="7" applyFont="1"/>
    <xf numFmtId="0" fontId="4" fillId="3" borderId="6" xfId="7" applyFont="1" applyFill="1" applyBorder="1" applyAlignment="1">
      <alignment horizontal="center" vertical="center"/>
    </xf>
    <xf numFmtId="0" fontId="3" fillId="3" borderId="6" xfId="7" applyFont="1" applyFill="1" applyBorder="1" applyAlignment="1">
      <alignment horizontal="center" vertical="center"/>
    </xf>
    <xf numFmtId="0" fontId="3" fillId="0" borderId="0" xfId="7" applyFont="1" applyAlignment="1">
      <alignment vertical="center"/>
    </xf>
    <xf numFmtId="3" fontId="4" fillId="2" borderId="6" xfId="7" applyNumberFormat="1" applyFont="1" applyFill="1" applyBorder="1" applyAlignment="1">
      <alignment vertical="center"/>
    </xf>
    <xf numFmtId="0" fontId="4" fillId="0" borderId="0" xfId="7" applyFont="1" applyAlignment="1">
      <alignment vertical="center"/>
    </xf>
    <xf numFmtId="3" fontId="4" fillId="0" borderId="0" xfId="7" applyNumberFormat="1" applyFont="1" applyAlignment="1">
      <alignment vertical="center"/>
    </xf>
    <xf numFmtId="3" fontId="3" fillId="0" borderId="0" xfId="7" applyNumberFormat="1" applyFont="1" applyAlignment="1">
      <alignment vertical="center"/>
    </xf>
    <xf numFmtId="3" fontId="9" fillId="13" borderId="6" xfId="7" applyNumberFormat="1" applyFont="1" applyFill="1" applyBorder="1" applyAlignment="1">
      <alignment horizontal="right"/>
    </xf>
    <xf numFmtId="0" fontId="23" fillId="0" borderId="0" xfId="7" applyFont="1"/>
    <xf numFmtId="0" fontId="6" fillId="0" borderId="6" xfId="11" applyFont="1" applyFill="1" applyBorder="1" applyAlignment="1">
      <alignment vertical="center"/>
    </xf>
    <xf numFmtId="0" fontId="20" fillId="0" borderId="14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left" vertical="center" wrapText="1"/>
    </xf>
    <xf numFmtId="0" fontId="8" fillId="0" borderId="14" xfId="7" applyFont="1" applyFill="1" applyBorder="1" applyAlignment="1">
      <alignment horizontal="left" vertical="center" wrapText="1"/>
    </xf>
    <xf numFmtId="0" fontId="8" fillId="0" borderId="14" xfId="7" applyFont="1" applyBorder="1" applyAlignment="1">
      <alignment horizontal="left" vertical="center" wrapText="1"/>
    </xf>
    <xf numFmtId="0" fontId="8" fillId="0" borderId="0" xfId="7" applyFont="1" applyFill="1"/>
    <xf numFmtId="0" fontId="10" fillId="0" borderId="9" xfId="7" applyFont="1" applyFill="1" applyBorder="1" applyAlignment="1">
      <alignment vertical="center" wrapText="1"/>
    </xf>
    <xf numFmtId="3" fontId="10" fillId="0" borderId="9" xfId="7" applyNumberFormat="1" applyFont="1" applyFill="1" applyBorder="1" applyAlignment="1">
      <alignment vertical="center" wrapText="1"/>
    </xf>
    <xf numFmtId="0" fontId="8" fillId="14" borderId="9" xfId="7" applyFont="1" applyFill="1" applyBorder="1" applyAlignment="1">
      <alignment horizontal="center" vertical="center" wrapText="1"/>
    </xf>
    <xf numFmtId="0" fontId="19" fillId="0" borderId="9" xfId="7" applyFont="1" applyBorder="1" applyAlignment="1">
      <alignment vertical="center" wrapText="1"/>
    </xf>
    <xf numFmtId="0" fontId="8" fillId="0" borderId="14" xfId="7" applyFont="1" applyFill="1" applyBorder="1" applyAlignment="1">
      <alignment horizontal="center" vertical="center" wrapText="1"/>
    </xf>
    <xf numFmtId="3" fontId="10" fillId="2" borderId="10" xfId="7" applyNumberFormat="1" applyFont="1" applyFill="1" applyBorder="1" applyAlignment="1">
      <alignment vertical="center" wrapText="1"/>
    </xf>
    <xf numFmtId="0" fontId="10" fillId="2" borderId="10" xfId="7" applyFont="1" applyFill="1" applyBorder="1" applyAlignment="1">
      <alignment vertical="center" wrapText="1"/>
    </xf>
    <xf numFmtId="0" fontId="10" fillId="0" borderId="10" xfId="7" applyFont="1" applyFill="1" applyBorder="1" applyAlignment="1">
      <alignment vertical="center" wrapText="1"/>
    </xf>
    <xf numFmtId="0" fontId="7" fillId="5" borderId="6" xfId="11" applyFont="1" applyFill="1" applyBorder="1" applyAlignment="1">
      <alignment vertical="center" wrapText="1"/>
    </xf>
    <xf numFmtId="3" fontId="3" fillId="6" borderId="6" xfId="11" applyNumberFormat="1" applyFont="1" applyFill="1" applyBorder="1" applyAlignment="1">
      <alignment vertical="center"/>
    </xf>
    <xf numFmtId="0" fontId="7" fillId="5" borderId="6" xfId="11" applyFont="1" applyFill="1" applyBorder="1" applyAlignment="1">
      <alignment horizontal="center" vertical="center"/>
    </xf>
    <xf numFmtId="3" fontId="4" fillId="5" borderId="6" xfId="11" applyNumberFormat="1" applyFont="1" applyFill="1" applyBorder="1" applyAlignment="1">
      <alignment vertical="center"/>
    </xf>
    <xf numFmtId="0" fontId="8" fillId="0" borderId="0" xfId="7" applyFont="1" applyFill="1" applyAlignment="1">
      <alignment vertical="center"/>
    </xf>
    <xf numFmtId="0" fontId="6" fillId="0" borderId="0" xfId="2" applyFont="1"/>
    <xf numFmtId="0" fontId="7" fillId="5" borderId="6" xfId="2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6" borderId="6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vertical="center" wrapText="1"/>
    </xf>
    <xf numFmtId="3" fontId="7" fillId="6" borderId="6" xfId="2" applyNumberFormat="1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vertical="center" wrapText="1"/>
    </xf>
    <xf numFmtId="3" fontId="6" fillId="3" borderId="6" xfId="2" applyNumberFormat="1" applyFont="1" applyFill="1" applyBorder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vertical="center" wrapText="1"/>
    </xf>
    <xf numFmtId="3" fontId="6" fillId="0" borderId="6" xfId="2" applyNumberFormat="1" applyFont="1" applyBorder="1" applyAlignment="1">
      <alignment vertical="center"/>
    </xf>
    <xf numFmtId="3" fontId="7" fillId="5" borderId="6" xfId="2" applyNumberFormat="1" applyFont="1" applyFill="1" applyBorder="1" applyAlignment="1">
      <alignment vertical="center"/>
    </xf>
    <xf numFmtId="0" fontId="6" fillId="0" borderId="0" xfId="2" applyFont="1" applyAlignment="1">
      <alignment horizontal="center"/>
    </xf>
    <xf numFmtId="49" fontId="3" fillId="3" borderId="6" xfId="10" applyNumberFormat="1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horizontal="center" vertical="center"/>
    </xf>
    <xf numFmtId="0" fontId="3" fillId="3" borderId="6" xfId="10" applyFont="1" applyFill="1" applyBorder="1" applyAlignment="1">
      <alignment vertical="center" wrapText="1"/>
    </xf>
    <xf numFmtId="3" fontId="3" fillId="3" borderId="6" xfId="10" applyNumberFormat="1" applyFont="1" applyFill="1" applyBorder="1" applyAlignment="1">
      <alignment vertical="center"/>
    </xf>
    <xf numFmtId="3" fontId="10" fillId="2" borderId="14" xfId="7" applyNumberFormat="1" applyFont="1" applyFill="1" applyBorder="1" applyAlignment="1">
      <alignment vertical="center" wrapText="1"/>
    </xf>
    <xf numFmtId="41" fontId="10" fillId="2" borderId="9" xfId="7" applyNumberFormat="1" applyFont="1" applyFill="1" applyBorder="1" applyAlignment="1">
      <alignment horizontal="right" vertical="center" wrapText="1"/>
    </xf>
    <xf numFmtId="3" fontId="10" fillId="9" borderId="9" xfId="7" applyNumberFormat="1" applyFont="1" applyFill="1" applyBorder="1" applyAlignment="1">
      <alignment vertical="center" wrapText="1"/>
    </xf>
    <xf numFmtId="49" fontId="6" fillId="0" borderId="6" xfId="10" applyNumberFormat="1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vertical="center" wrapText="1"/>
    </xf>
    <xf numFmtId="3" fontId="6" fillId="0" borderId="6" xfId="10" applyNumberFormat="1" applyFont="1" applyFill="1" applyBorder="1" applyAlignment="1">
      <alignment vertical="center"/>
    </xf>
    <xf numFmtId="0" fontId="6" fillId="0" borderId="0" xfId="10" applyFont="1" applyFill="1" applyAlignment="1">
      <alignment vertical="center"/>
    </xf>
    <xf numFmtId="49" fontId="3" fillId="0" borderId="6" xfId="10" applyNumberFormat="1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vertical="center" wrapText="1"/>
    </xf>
    <xf numFmtId="3" fontId="3" fillId="0" borderId="6" xfId="10" applyNumberFormat="1" applyFont="1" applyFill="1" applyBorder="1" applyAlignment="1">
      <alignment vertical="center"/>
    </xf>
    <xf numFmtId="0" fontId="3" fillId="0" borderId="0" xfId="10" applyFont="1" applyFill="1" applyAlignment="1">
      <alignment vertical="center"/>
    </xf>
    <xf numFmtId="0" fontId="3" fillId="0" borderId="6" xfId="2" applyFont="1" applyBorder="1" applyAlignment="1">
      <alignment vertical="center" wrapText="1"/>
    </xf>
    <xf numFmtId="0" fontId="8" fillId="0" borderId="9" xfId="7" applyFont="1" applyBorder="1" applyAlignment="1">
      <alignment horizontal="right" vertical="center" wrapText="1"/>
    </xf>
    <xf numFmtId="0" fontId="6" fillId="0" borderId="6" xfId="11" applyFont="1" applyFill="1" applyBorder="1" applyAlignment="1">
      <alignment horizontal="center" vertical="center"/>
    </xf>
    <xf numFmtId="0" fontId="3" fillId="0" borderId="6" xfId="11" applyFont="1" applyFill="1" applyBorder="1" applyAlignment="1">
      <alignment vertical="center" wrapText="1"/>
    </xf>
    <xf numFmtId="3" fontId="3" fillId="0" borderId="6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3" fillId="0" borderId="0" xfId="7" applyFont="1" applyFill="1" applyAlignment="1">
      <alignment vertical="center"/>
    </xf>
    <xf numFmtId="0" fontId="27" fillId="0" borderId="0" xfId="10" applyFont="1" applyFill="1" applyAlignment="1">
      <alignment vertical="center"/>
    </xf>
    <xf numFmtId="0" fontId="27" fillId="0" borderId="0" xfId="10" applyFont="1" applyAlignment="1">
      <alignment vertical="center"/>
    </xf>
    <xf numFmtId="0" fontId="18" fillId="0" borderId="0" xfId="10" applyFont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15" fillId="0" borderId="0" xfId="11" applyFont="1" applyAlignment="1">
      <alignment horizontal="center" vertical="center" wrapText="1"/>
    </xf>
    <xf numFmtId="3" fontId="10" fillId="10" borderId="18" xfId="7" applyNumberFormat="1" applyFont="1" applyFill="1" applyBorder="1" applyAlignment="1">
      <alignment vertical="center" wrapText="1"/>
    </xf>
    <xf numFmtId="0" fontId="10" fillId="10" borderId="18" xfId="7" applyFont="1" applyFill="1" applyBorder="1" applyAlignment="1">
      <alignment vertical="center" wrapText="1"/>
    </xf>
    <xf numFmtId="0" fontId="10" fillId="2" borderId="20" xfId="7" applyFont="1" applyFill="1" applyBorder="1" applyAlignment="1">
      <alignment vertical="center" wrapText="1"/>
    </xf>
    <xf numFmtId="0" fontId="7" fillId="0" borderId="0" xfId="10" applyFont="1" applyAlignment="1">
      <alignment vertical="center"/>
    </xf>
    <xf numFmtId="0" fontId="7" fillId="0" borderId="0" xfId="10" applyFont="1" applyFill="1" applyAlignment="1">
      <alignment vertical="center"/>
    </xf>
    <xf numFmtId="0" fontId="29" fillId="0" borderId="0" xfId="0" applyFont="1" applyAlignment="1"/>
    <xf numFmtId="0" fontId="3" fillId="16" borderId="0" xfId="10" applyFont="1" applyFill="1" applyAlignment="1">
      <alignment vertical="center"/>
    </xf>
    <xf numFmtId="0" fontId="4" fillId="0" borderId="0" xfId="10" applyFont="1" applyAlignment="1">
      <alignment vertical="center"/>
    </xf>
    <xf numFmtId="0" fontId="28" fillId="5" borderId="6" xfId="10" applyFont="1" applyFill="1" applyBorder="1" applyAlignment="1">
      <alignment horizontal="center" vertical="center"/>
    </xf>
    <xf numFmtId="0" fontId="8" fillId="0" borderId="9" xfId="7" applyFont="1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center" vertical="center" wrapText="1"/>
    </xf>
    <xf numFmtId="0" fontId="20" fillId="0" borderId="9" xfId="7" applyFont="1" applyFill="1" applyBorder="1" applyAlignment="1">
      <alignment vertical="center" wrapText="1"/>
    </xf>
    <xf numFmtId="3" fontId="8" fillId="0" borderId="14" xfId="7" applyNumberFormat="1" applyFont="1" applyFill="1" applyBorder="1" applyAlignment="1">
      <alignment vertical="center" wrapText="1"/>
    </xf>
    <xf numFmtId="0" fontId="4" fillId="5" borderId="6" xfId="11" applyFont="1" applyFill="1" applyBorder="1" applyAlignment="1">
      <alignment vertical="center" wrapText="1"/>
    </xf>
    <xf numFmtId="0" fontId="7" fillId="0" borderId="0" xfId="11" applyFont="1" applyFill="1" applyAlignment="1">
      <alignment vertical="center"/>
    </xf>
    <xf numFmtId="0" fontId="6" fillId="17" borderId="6" xfId="11" applyFont="1" applyFill="1" applyBorder="1" applyAlignment="1">
      <alignment horizontal="center" vertical="center"/>
    </xf>
    <xf numFmtId="0" fontId="3" fillId="17" borderId="6" xfId="11" applyFont="1" applyFill="1" applyBorder="1" applyAlignment="1">
      <alignment vertical="center" wrapText="1"/>
    </xf>
    <xf numFmtId="3" fontId="3" fillId="17" borderId="6" xfId="11" applyNumberFormat="1" applyFont="1" applyFill="1" applyBorder="1" applyAlignment="1">
      <alignment vertical="center"/>
    </xf>
    <xf numFmtId="0" fontId="8" fillId="0" borderId="13" xfId="7" applyFont="1" applyFill="1" applyBorder="1" applyAlignment="1">
      <alignment horizontal="center" vertical="center"/>
    </xf>
    <xf numFmtId="0" fontId="20" fillId="0" borderId="13" xfId="7" applyFont="1" applyFill="1" applyBorder="1" applyAlignment="1">
      <alignment horizontal="center" vertical="center" wrapText="1"/>
    </xf>
    <xf numFmtId="0" fontId="8" fillId="0" borderId="13" xfId="7" applyFont="1" applyFill="1" applyBorder="1" applyAlignment="1">
      <alignment vertical="center" wrapText="1"/>
    </xf>
    <xf numFmtId="0" fontId="26" fillId="14" borderId="9" xfId="7" applyFont="1" applyFill="1" applyBorder="1" applyAlignment="1">
      <alignment horizontal="center" vertical="center" wrapText="1"/>
    </xf>
    <xf numFmtId="49" fontId="7" fillId="0" borderId="6" xfId="10" applyNumberFormat="1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vertical="center"/>
    </xf>
    <xf numFmtId="0" fontId="8" fillId="0" borderId="10" xfId="7" applyFont="1" applyFill="1" applyBorder="1" applyAlignment="1">
      <alignment vertical="center" wrapText="1"/>
    </xf>
    <xf numFmtId="3" fontId="8" fillId="0" borderId="10" xfId="7" applyNumberFormat="1" applyFont="1" applyFill="1" applyBorder="1" applyAlignment="1">
      <alignment vertical="center" wrapText="1"/>
    </xf>
    <xf numFmtId="0" fontId="4" fillId="0" borderId="0" xfId="10" applyFont="1" applyFill="1" applyAlignment="1">
      <alignment vertical="center"/>
    </xf>
    <xf numFmtId="49" fontId="4" fillId="6" borderId="6" xfId="10" applyNumberFormat="1" applyFont="1" applyFill="1" applyBorder="1" applyAlignment="1">
      <alignment horizontal="center" vertical="center"/>
    </xf>
    <xf numFmtId="0" fontId="4" fillId="6" borderId="6" xfId="10" applyFont="1" applyFill="1" applyBorder="1" applyAlignment="1">
      <alignment horizontal="center" vertical="center"/>
    </xf>
    <xf numFmtId="0" fontId="4" fillId="6" borderId="6" xfId="10" applyFont="1" applyFill="1" applyBorder="1" applyAlignment="1">
      <alignment vertical="center" wrapText="1"/>
    </xf>
    <xf numFmtId="3" fontId="4" fillId="6" borderId="6" xfId="10" applyNumberFormat="1" applyFont="1" applyFill="1" applyBorder="1" applyAlignment="1">
      <alignment vertical="center"/>
    </xf>
    <xf numFmtId="0" fontId="24" fillId="0" borderId="6" xfId="7" applyFont="1" applyFill="1" applyBorder="1" applyAlignment="1">
      <alignment horizontal="center" vertical="center"/>
    </xf>
    <xf numFmtId="0" fontId="24" fillId="0" borderId="6" xfId="7" applyFont="1" applyFill="1" applyBorder="1" applyAlignment="1">
      <alignment vertical="center"/>
    </xf>
    <xf numFmtId="0" fontId="24" fillId="0" borderId="6" xfId="7" applyFont="1" applyFill="1" applyBorder="1" applyAlignment="1">
      <alignment vertical="center" wrapText="1"/>
    </xf>
    <xf numFmtId="3" fontId="3" fillId="0" borderId="6" xfId="7" applyNumberFormat="1" applyFont="1" applyFill="1" applyBorder="1" applyAlignment="1">
      <alignment vertical="center" wrapText="1"/>
    </xf>
    <xf numFmtId="3" fontId="24" fillId="0" borderId="6" xfId="7" applyNumberFormat="1" applyFont="1" applyFill="1" applyBorder="1" applyAlignment="1">
      <alignment horizontal="right" vertical="center" wrapText="1"/>
    </xf>
    <xf numFmtId="0" fontId="30" fillId="0" borderId="6" xfId="7" applyFont="1" applyFill="1" applyBorder="1" applyAlignment="1">
      <alignment vertical="center" wrapText="1"/>
    </xf>
    <xf numFmtId="0" fontId="3" fillId="0" borderId="6" xfId="7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right" vertical="center"/>
    </xf>
    <xf numFmtId="0" fontId="3" fillId="0" borderId="6" xfId="7" applyFont="1" applyFill="1" applyBorder="1" applyAlignment="1">
      <alignment horizontal="center" vertical="center"/>
    </xf>
    <xf numFmtId="3" fontId="3" fillId="0" borderId="6" xfId="7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 wrapText="1"/>
    </xf>
    <xf numFmtId="3" fontId="3" fillId="0" borderId="6" xfId="7" applyNumberFormat="1" applyFont="1" applyFill="1" applyBorder="1" applyAlignment="1">
      <alignment horizontal="right" vertical="center" wrapText="1"/>
    </xf>
    <xf numFmtId="0" fontId="3" fillId="0" borderId="0" xfId="7" applyFont="1" applyFill="1" applyAlignment="1">
      <alignment vertical="center" wrapText="1"/>
    </xf>
    <xf numFmtId="0" fontId="18" fillId="0" borderId="6" xfId="7" applyFont="1" applyFill="1" applyBorder="1" applyAlignment="1">
      <alignment horizontal="center" vertical="center"/>
    </xf>
    <xf numFmtId="0" fontId="18" fillId="0" borderId="6" xfId="7" applyFont="1" applyFill="1" applyBorder="1" applyAlignment="1">
      <alignment vertical="center" wrapText="1"/>
    </xf>
    <xf numFmtId="0" fontId="18" fillId="0" borderId="0" xfId="7" applyFont="1" applyFill="1" applyAlignment="1">
      <alignment vertical="center"/>
    </xf>
    <xf numFmtId="3" fontId="3" fillId="0" borderId="0" xfId="7" applyNumberFormat="1" applyFont="1" applyFill="1" applyAlignment="1">
      <alignment vertical="center"/>
    </xf>
    <xf numFmtId="0" fontId="3" fillId="0" borderId="0" xfId="7" applyFont="1" applyFill="1" applyAlignment="1">
      <alignment horizontal="center" vertical="center"/>
    </xf>
    <xf numFmtId="0" fontId="30" fillId="0" borderId="6" xfId="7" applyFont="1" applyFill="1" applyBorder="1" applyAlignment="1">
      <alignment vertical="center"/>
    </xf>
    <xf numFmtId="3" fontId="18" fillId="0" borderId="6" xfId="7" applyNumberFormat="1" applyFont="1" applyFill="1" applyBorder="1" applyAlignment="1">
      <alignment vertical="center"/>
    </xf>
    <xf numFmtId="0" fontId="31" fillId="0" borderId="0" xfId="10" applyFont="1" applyFill="1" applyAlignment="1">
      <alignment vertical="center"/>
    </xf>
    <xf numFmtId="3" fontId="10" fillId="2" borderId="15" xfId="7" applyNumberFormat="1" applyFont="1" applyFill="1" applyBorder="1" applyAlignment="1">
      <alignment vertical="center" wrapText="1"/>
    </xf>
    <xf numFmtId="166" fontId="10" fillId="2" borderId="21" xfId="7" applyNumberFormat="1" applyFont="1" applyFill="1" applyBorder="1" applyAlignment="1">
      <alignment vertical="center" wrapText="1"/>
    </xf>
    <xf numFmtId="0" fontId="8" fillId="15" borderId="9" xfId="7" applyFont="1" applyFill="1" applyBorder="1" applyAlignment="1">
      <alignment horizontal="center" vertical="center"/>
    </xf>
    <xf numFmtId="0" fontId="8" fillId="15" borderId="9" xfId="7" applyFont="1" applyFill="1" applyBorder="1" applyAlignment="1">
      <alignment horizontal="center" vertical="center" wrapText="1"/>
    </xf>
    <xf numFmtId="0" fontId="20" fillId="15" borderId="14" xfId="7" applyFont="1" applyFill="1" applyBorder="1" applyAlignment="1">
      <alignment horizontal="left" vertical="center" wrapText="1"/>
    </xf>
    <xf numFmtId="3" fontId="8" fillId="15" borderId="9" xfId="7" applyNumberFormat="1" applyFont="1" applyFill="1" applyBorder="1" applyAlignment="1">
      <alignment vertical="center" wrapText="1"/>
    </xf>
    <xf numFmtId="3" fontId="8" fillId="15" borderId="9" xfId="7" applyNumberFormat="1" applyFont="1" applyFill="1" applyBorder="1" applyAlignment="1">
      <alignment vertical="center"/>
    </xf>
    <xf numFmtId="0" fontId="8" fillId="15" borderId="9" xfId="7" applyFont="1" applyFill="1" applyBorder="1" applyAlignment="1">
      <alignment vertical="center" wrapText="1"/>
    </xf>
    <xf numFmtId="0" fontId="8" fillId="15" borderId="9" xfId="7" applyFont="1" applyFill="1" applyBorder="1" applyAlignment="1">
      <alignment horizontal="right" vertical="center" wrapText="1"/>
    </xf>
    <xf numFmtId="0" fontId="19" fillId="15" borderId="9" xfId="7" applyFont="1" applyFill="1" applyBorder="1" applyAlignment="1">
      <alignment vertical="center" wrapText="1"/>
    </xf>
    <xf numFmtId="0" fontId="8" fillId="15" borderId="0" xfId="7" applyFont="1" applyFill="1" applyAlignment="1">
      <alignment vertical="center"/>
    </xf>
    <xf numFmtId="0" fontId="8" fillId="15" borderId="14" xfId="7" applyFont="1" applyFill="1" applyBorder="1" applyAlignment="1">
      <alignment horizontal="center" vertical="center" wrapText="1"/>
    </xf>
    <xf numFmtId="0" fontId="8" fillId="15" borderId="14" xfId="7" applyFont="1" applyFill="1" applyBorder="1" applyAlignment="1">
      <alignment horizontal="left" vertical="center" wrapText="1"/>
    </xf>
    <xf numFmtId="0" fontId="20" fillId="15" borderId="9" xfId="7" applyFont="1" applyFill="1" applyBorder="1" applyAlignment="1">
      <alignment horizontal="center" vertical="center" wrapText="1"/>
    </xf>
    <xf numFmtId="0" fontId="32" fillId="15" borderId="9" xfId="7" applyFont="1" applyFill="1" applyBorder="1" applyAlignment="1">
      <alignment vertical="center" wrapText="1"/>
    </xf>
    <xf numFmtId="3" fontId="8" fillId="15" borderId="14" xfId="7" applyNumberFormat="1" applyFont="1" applyFill="1" applyBorder="1" applyAlignment="1">
      <alignment vertical="center" wrapText="1"/>
    </xf>
    <xf numFmtId="0" fontId="26" fillId="14" borderId="15" xfId="7" applyFont="1" applyFill="1" applyBorder="1" applyAlignment="1">
      <alignment horizontal="center" vertical="center" wrapText="1"/>
    </xf>
    <xf numFmtId="0" fontId="20" fillId="15" borderId="9" xfId="7" applyFont="1" applyFill="1" applyBorder="1" applyAlignment="1">
      <alignment vertical="center" wrapText="1"/>
    </xf>
    <xf numFmtId="3" fontId="19" fillId="0" borderId="0" xfId="7" applyNumberFormat="1" applyFont="1"/>
    <xf numFmtId="3" fontId="18" fillId="0" borderId="6" xfId="7" applyNumberFormat="1" applyFont="1" applyFill="1" applyBorder="1" applyAlignment="1">
      <alignment vertical="center" wrapText="1"/>
    </xf>
    <xf numFmtId="49" fontId="3" fillId="15" borderId="6" xfId="10" applyNumberFormat="1" applyFont="1" applyFill="1" applyBorder="1" applyAlignment="1">
      <alignment horizontal="center" vertical="center"/>
    </xf>
    <xf numFmtId="0" fontId="3" fillId="15" borderId="6" xfId="10" applyFont="1" applyFill="1" applyBorder="1" applyAlignment="1">
      <alignment horizontal="center" vertical="center"/>
    </xf>
    <xf numFmtId="3" fontId="3" fillId="15" borderId="6" xfId="10" applyNumberFormat="1" applyFont="1" applyFill="1" applyBorder="1" applyAlignment="1">
      <alignment vertical="center"/>
    </xf>
    <xf numFmtId="0" fontId="10" fillId="9" borderId="13" xfId="7" applyFont="1" applyFill="1" applyBorder="1" applyAlignment="1">
      <alignment horizontal="center" vertical="center" wrapText="1"/>
    </xf>
    <xf numFmtId="0" fontId="26" fillId="0" borderId="0" xfId="7" applyFont="1" applyFill="1" applyAlignment="1">
      <alignment vertical="center"/>
    </xf>
    <xf numFmtId="0" fontId="8" fillId="0" borderId="15" xfId="7" applyFont="1" applyFill="1" applyBorder="1" applyAlignment="1">
      <alignment horizontal="center" vertical="center" wrapText="1"/>
    </xf>
    <xf numFmtId="0" fontId="8" fillId="0" borderId="15" xfId="7" applyFont="1" applyFill="1" applyBorder="1" applyAlignment="1">
      <alignment horizontal="left" vertical="center" wrapText="1"/>
    </xf>
    <xf numFmtId="3" fontId="8" fillId="0" borderId="15" xfId="7" applyNumberFormat="1" applyFont="1" applyFill="1" applyBorder="1" applyAlignment="1">
      <alignment vertical="center" wrapText="1"/>
    </xf>
    <xf numFmtId="0" fontId="8" fillId="0" borderId="15" xfId="7" applyFont="1" applyFill="1" applyBorder="1" applyAlignment="1">
      <alignment vertical="center" wrapText="1"/>
    </xf>
    <xf numFmtId="0" fontId="20" fillId="0" borderId="13" xfId="7" applyFont="1" applyFill="1" applyBorder="1" applyAlignment="1">
      <alignment vertical="center" wrapText="1"/>
    </xf>
    <xf numFmtId="3" fontId="8" fillId="0" borderId="20" xfId="7" applyNumberFormat="1" applyFont="1" applyFill="1" applyBorder="1" applyAlignment="1">
      <alignment vertical="center" wrapText="1"/>
    </xf>
    <xf numFmtId="3" fontId="8" fillId="0" borderId="13" xfId="7" applyNumberFormat="1" applyFont="1" applyFill="1" applyBorder="1" applyAlignment="1">
      <alignment vertical="center" wrapText="1"/>
    </xf>
    <xf numFmtId="3" fontId="8" fillId="0" borderId="14" xfId="7" applyNumberFormat="1" applyFont="1" applyFill="1" applyBorder="1" applyAlignment="1">
      <alignment horizontal="right" vertical="center" wrapText="1"/>
    </xf>
    <xf numFmtId="3" fontId="8" fillId="0" borderId="9" xfId="7" applyNumberFormat="1" applyFont="1" applyFill="1" applyBorder="1" applyAlignment="1">
      <alignment horizontal="right" vertical="center" wrapText="1"/>
    </xf>
    <xf numFmtId="3" fontId="8" fillId="0" borderId="9" xfId="7" applyNumberFormat="1" applyFont="1" applyFill="1" applyBorder="1" applyAlignment="1">
      <alignment horizontal="left" vertical="center" wrapText="1"/>
    </xf>
    <xf numFmtId="0" fontId="8" fillId="0" borderId="0" xfId="7" applyFont="1" applyFill="1" applyAlignment="1">
      <alignment horizontal="left" vertical="center"/>
    </xf>
    <xf numFmtId="0" fontId="3" fillId="0" borderId="5" xfId="10" applyFont="1" applyBorder="1" applyAlignment="1">
      <alignment vertical="center" wrapText="1"/>
    </xf>
    <xf numFmtId="0" fontId="26" fillId="0" borderId="9" xfId="7" applyFont="1" applyFill="1" applyBorder="1" applyAlignment="1">
      <alignment horizontal="center" vertical="center"/>
    </xf>
    <xf numFmtId="0" fontId="26" fillId="0" borderId="9" xfId="7" applyFont="1" applyFill="1" applyBorder="1" applyAlignment="1">
      <alignment horizontal="center" vertical="center" wrapText="1"/>
    </xf>
    <xf numFmtId="0" fontId="26" fillId="0" borderId="14" xfId="7" applyFont="1" applyFill="1" applyBorder="1" applyAlignment="1">
      <alignment horizontal="left" vertical="center" wrapText="1"/>
    </xf>
    <xf numFmtId="3" fontId="26" fillId="0" borderId="9" xfId="7" applyNumberFormat="1" applyFont="1" applyFill="1" applyBorder="1" applyAlignment="1">
      <alignment vertical="center" wrapText="1"/>
    </xf>
    <xf numFmtId="3" fontId="26" fillId="0" borderId="9" xfId="7" applyNumberFormat="1" applyFont="1" applyFill="1" applyBorder="1" applyAlignment="1">
      <alignment vertical="center"/>
    </xf>
    <xf numFmtId="0" fontId="26" fillId="0" borderId="9" xfId="7" applyFont="1" applyFill="1" applyBorder="1" applyAlignment="1">
      <alignment vertical="center" wrapText="1"/>
    </xf>
    <xf numFmtId="0" fontId="26" fillId="0" borderId="9" xfId="7" applyFont="1" applyFill="1" applyBorder="1" applyAlignment="1">
      <alignment horizontal="right" vertical="center" wrapText="1"/>
    </xf>
    <xf numFmtId="0" fontId="33" fillId="0" borderId="9" xfId="7" applyFont="1" applyFill="1" applyBorder="1" applyAlignment="1">
      <alignment vertical="center" wrapText="1"/>
    </xf>
    <xf numFmtId="0" fontId="26" fillId="15" borderId="9" xfId="7" applyFont="1" applyFill="1" applyBorder="1" applyAlignment="1">
      <alignment horizontal="center" vertical="center"/>
    </xf>
    <xf numFmtId="0" fontId="34" fillId="0" borderId="9" xfId="7" applyFont="1" applyFill="1" applyBorder="1" applyAlignment="1">
      <alignment horizontal="center" vertical="center" wrapText="1"/>
    </xf>
    <xf numFmtId="0" fontId="34" fillId="0" borderId="9" xfId="7" applyFont="1" applyFill="1" applyBorder="1" applyAlignment="1">
      <alignment vertical="center" wrapText="1"/>
    </xf>
    <xf numFmtId="3" fontId="26" fillId="0" borderId="14" xfId="7" applyNumberFormat="1" applyFont="1" applyFill="1" applyBorder="1" applyAlignment="1">
      <alignment vertical="center" wrapText="1"/>
    </xf>
    <xf numFmtId="0" fontId="34" fillId="0" borderId="9" xfId="7" applyFont="1" applyFill="1" applyBorder="1" applyAlignment="1">
      <alignment horizontal="left" vertical="center" wrapText="1"/>
    </xf>
    <xf numFmtId="0" fontId="26" fillId="0" borderId="13" xfId="7" applyFont="1" applyFill="1" applyBorder="1" applyAlignment="1">
      <alignment horizontal="center" vertical="center"/>
    </xf>
    <xf numFmtId="0" fontId="34" fillId="0" borderId="13" xfId="7" applyFont="1" applyFill="1" applyBorder="1" applyAlignment="1">
      <alignment horizontal="center" vertical="center" wrapText="1"/>
    </xf>
    <xf numFmtId="0" fontId="26" fillId="0" borderId="13" xfId="7" applyFont="1" applyFill="1" applyBorder="1" applyAlignment="1">
      <alignment horizontal="center" vertical="center" wrapText="1"/>
    </xf>
    <xf numFmtId="0" fontId="26" fillId="0" borderId="16" xfId="7" applyFont="1" applyFill="1" applyBorder="1" applyAlignment="1">
      <alignment horizontal="center" vertical="center" wrapText="1"/>
    </xf>
    <xf numFmtId="0" fontId="34" fillId="0" borderId="13" xfId="7" applyFont="1" applyFill="1" applyBorder="1" applyAlignment="1">
      <alignment horizontal="left" vertical="center" wrapText="1"/>
    </xf>
    <xf numFmtId="3" fontId="26" fillId="0" borderId="17" xfId="7" applyNumberFormat="1" applyFont="1" applyFill="1" applyBorder="1" applyAlignment="1">
      <alignment vertical="center" wrapText="1"/>
    </xf>
    <xf numFmtId="0" fontId="26" fillId="0" borderId="17" xfId="7" applyFont="1" applyFill="1" applyBorder="1" applyAlignment="1">
      <alignment vertical="center" wrapText="1"/>
    </xf>
    <xf numFmtId="0" fontId="26" fillId="0" borderId="13" xfId="7" applyFont="1" applyFill="1" applyBorder="1" applyAlignment="1">
      <alignment vertical="center" wrapText="1"/>
    </xf>
    <xf numFmtId="0" fontId="34" fillId="15" borderId="9" xfId="7" applyFont="1" applyFill="1" applyBorder="1" applyAlignment="1">
      <alignment horizontal="center" vertical="center" wrapText="1"/>
    </xf>
    <xf numFmtId="0" fontId="34" fillId="15" borderId="9" xfId="7" applyFont="1" applyFill="1" applyBorder="1" applyAlignment="1">
      <alignment vertical="center" wrapText="1"/>
    </xf>
    <xf numFmtId="3" fontId="26" fillId="15" borderId="14" xfId="7" applyNumberFormat="1" applyFont="1" applyFill="1" applyBorder="1" applyAlignment="1">
      <alignment vertical="center" wrapText="1"/>
    </xf>
    <xf numFmtId="3" fontId="26" fillId="15" borderId="9" xfId="7" applyNumberFormat="1" applyFont="1" applyFill="1" applyBorder="1" applyAlignment="1">
      <alignment vertical="center" wrapText="1"/>
    </xf>
    <xf numFmtId="0" fontId="26" fillId="15" borderId="9" xfId="7" applyFont="1" applyFill="1" applyBorder="1" applyAlignment="1">
      <alignment vertical="center" wrapText="1"/>
    </xf>
    <xf numFmtId="0" fontId="33" fillId="15" borderId="9" xfId="7" applyFont="1" applyFill="1" applyBorder="1" applyAlignment="1">
      <alignment vertical="center" wrapText="1"/>
    </xf>
    <xf numFmtId="0" fontId="26" fillId="15" borderId="9" xfId="7" applyFont="1" applyFill="1" applyBorder="1" applyAlignment="1">
      <alignment horizontal="center" vertical="center" wrapText="1"/>
    </xf>
    <xf numFmtId="0" fontId="26" fillId="15" borderId="0" xfId="7" applyFont="1" applyFill="1" applyAlignment="1">
      <alignment vertical="center"/>
    </xf>
    <xf numFmtId="0" fontId="26" fillId="0" borderId="9" xfId="7" applyFont="1" applyBorder="1" applyAlignment="1">
      <alignment horizontal="center" vertical="center"/>
    </xf>
    <xf numFmtId="0" fontId="34" fillId="0" borderId="9" xfId="7" applyFont="1" applyBorder="1" applyAlignment="1">
      <alignment horizontal="center" vertical="center" wrapText="1"/>
    </xf>
    <xf numFmtId="0" fontId="34" fillId="0" borderId="9" xfId="7" applyFont="1" applyBorder="1" applyAlignment="1">
      <alignment vertical="center" wrapText="1"/>
    </xf>
    <xf numFmtId="3" fontId="26" fillId="0" borderId="14" xfId="7" applyNumberFormat="1" applyFont="1" applyBorder="1" applyAlignment="1">
      <alignment vertical="center" wrapText="1"/>
    </xf>
    <xf numFmtId="3" fontId="26" fillId="0" borderId="9" xfId="7" applyNumberFormat="1" applyFont="1" applyBorder="1" applyAlignment="1">
      <alignment vertical="center" wrapText="1"/>
    </xf>
    <xf numFmtId="0" fontId="26" fillId="0" borderId="9" xfId="7" applyFont="1" applyBorder="1" applyAlignment="1">
      <alignment vertical="center" wrapText="1"/>
    </xf>
    <xf numFmtId="0" fontId="26" fillId="0" borderId="0" xfId="7" applyFont="1" applyAlignment="1">
      <alignment vertical="center"/>
    </xf>
    <xf numFmtId="0" fontId="26" fillId="0" borderId="9" xfId="7" applyFont="1" applyFill="1" applyBorder="1" applyAlignment="1">
      <alignment horizontal="left" vertical="center" wrapText="1"/>
    </xf>
    <xf numFmtId="0" fontId="33" fillId="0" borderId="9" xfId="7" applyFont="1" applyBorder="1" applyAlignment="1">
      <alignment vertical="center" wrapText="1"/>
    </xf>
    <xf numFmtId="0" fontId="8" fillId="0" borderId="0" xfId="7"/>
    <xf numFmtId="0" fontId="8" fillId="0" borderId="0" xfId="7" applyAlignment="1"/>
    <xf numFmtId="0" fontId="4" fillId="18" borderId="29" xfId="7" applyFont="1" applyFill="1" applyBorder="1" applyAlignment="1">
      <alignment horizontal="center" vertical="center" wrapText="1"/>
    </xf>
    <xf numFmtId="0" fontId="4" fillId="18" borderId="30" xfId="7" applyFont="1" applyFill="1" applyBorder="1" applyAlignment="1">
      <alignment horizontal="center" vertical="center" wrapText="1"/>
    </xf>
    <xf numFmtId="0" fontId="4" fillId="18" borderId="31" xfId="7" applyFont="1" applyFill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3" fontId="3" fillId="0" borderId="15" xfId="7" applyNumberFormat="1" applyFont="1" applyBorder="1" applyAlignment="1">
      <alignment horizontal="right" vertical="center" wrapText="1"/>
    </xf>
    <xf numFmtId="0" fontId="18" fillId="0" borderId="15" xfId="7" applyFont="1" applyBorder="1" applyAlignment="1">
      <alignment horizontal="center" vertical="center" wrapText="1"/>
    </xf>
    <xf numFmtId="3" fontId="18" fillId="0" borderId="15" xfId="7" applyNumberFormat="1" applyFont="1" applyBorder="1" applyAlignment="1">
      <alignment horizontal="right" vertical="center" wrapText="1"/>
    </xf>
    <xf numFmtId="0" fontId="26" fillId="0" borderId="0" xfId="7" applyFont="1"/>
    <xf numFmtId="3" fontId="4" fillId="18" borderId="15" xfId="7" applyNumberFormat="1" applyFont="1" applyFill="1" applyBorder="1" applyAlignment="1">
      <alignment horizontal="right" vertical="center" wrapText="1"/>
    </xf>
    <xf numFmtId="0" fontId="10" fillId="0" borderId="0" xfId="7" applyFont="1"/>
    <xf numFmtId="0" fontId="3" fillId="0" borderId="0" xfId="9" applyFont="1"/>
    <xf numFmtId="0" fontId="3" fillId="0" borderId="0" xfId="9" applyFont="1" applyAlignment="1">
      <alignment horizontal="center"/>
    </xf>
    <xf numFmtId="0" fontId="24" fillId="0" borderId="0" xfId="9" applyFont="1"/>
    <xf numFmtId="0" fontId="4" fillId="0" borderId="0" xfId="9" applyFont="1" applyAlignment="1">
      <alignment horizontal="center"/>
    </xf>
    <xf numFmtId="0" fontId="3" fillId="0" borderId="0" xfId="9" applyFont="1" applyAlignment="1">
      <alignment vertical="center"/>
    </xf>
    <xf numFmtId="0" fontId="4" fillId="19" borderId="1" xfId="9" applyFont="1" applyFill="1" applyBorder="1" applyAlignment="1">
      <alignment horizontal="center" vertical="center" wrapText="1"/>
    </xf>
    <xf numFmtId="0" fontId="14" fillId="0" borderId="6" xfId="9" applyFont="1" applyBorder="1" applyAlignment="1">
      <alignment horizontal="center" vertical="center"/>
    </xf>
    <xf numFmtId="0" fontId="18" fillId="0" borderId="6" xfId="9" applyFont="1" applyBorder="1" applyAlignment="1">
      <alignment vertical="center" wrapText="1"/>
    </xf>
    <xf numFmtId="0" fontId="18" fillId="0" borderId="0" xfId="9" applyFont="1" applyAlignment="1">
      <alignment vertical="center"/>
    </xf>
    <xf numFmtId="0" fontId="18" fillId="0" borderId="6" xfId="9" applyFont="1" applyBorder="1" applyAlignment="1">
      <alignment horizontal="right" wrapText="1"/>
    </xf>
    <xf numFmtId="4" fontId="18" fillId="0" borderId="6" xfId="9" applyNumberFormat="1" applyFont="1" applyFill="1" applyBorder="1" applyAlignment="1">
      <alignment wrapText="1"/>
    </xf>
    <xf numFmtId="4" fontId="18" fillId="0" borderId="6" xfId="9" applyNumberFormat="1" applyFont="1" applyFill="1" applyBorder="1" applyAlignment="1"/>
    <xf numFmtId="0" fontId="18" fillId="2" borderId="6" xfId="9" applyFont="1" applyFill="1" applyBorder="1" applyAlignment="1">
      <alignment horizontal="right"/>
    </xf>
    <xf numFmtId="4" fontId="18" fillId="2" borderId="6" xfId="9" applyNumberFormat="1" applyFont="1" applyFill="1" applyBorder="1" applyAlignment="1">
      <alignment wrapText="1"/>
    </xf>
    <xf numFmtId="4" fontId="18" fillId="2" borderId="6" xfId="9" applyNumberFormat="1" applyFont="1" applyFill="1" applyBorder="1" applyAlignment="1"/>
    <xf numFmtId="0" fontId="18" fillId="0" borderId="0" xfId="9" applyFont="1" applyAlignment="1"/>
    <xf numFmtId="0" fontId="3" fillId="0" borderId="6" xfId="9" applyFont="1" applyBorder="1" applyAlignment="1">
      <alignment vertical="center" wrapText="1"/>
    </xf>
    <xf numFmtId="0" fontId="3" fillId="0" borderId="1" xfId="9" applyFont="1" applyFill="1" applyBorder="1" applyAlignment="1">
      <alignment horizontal="right"/>
    </xf>
    <xf numFmtId="4" fontId="3" fillId="0" borderId="1" xfId="9" applyNumberFormat="1" applyFont="1" applyFill="1" applyBorder="1" applyAlignment="1">
      <alignment wrapText="1"/>
    </xf>
    <xf numFmtId="4" fontId="3" fillId="0" borderId="1" xfId="9" applyNumberFormat="1" applyFont="1" applyFill="1" applyBorder="1" applyAlignment="1"/>
    <xf numFmtId="0" fontId="3" fillId="2" borderId="1" xfId="9" applyFont="1" applyFill="1" applyBorder="1" applyAlignment="1">
      <alignment horizontal="right"/>
    </xf>
    <xf numFmtId="4" fontId="3" fillId="2" borderId="1" xfId="9" applyNumberFormat="1" applyFont="1" applyFill="1" applyBorder="1" applyAlignment="1">
      <alignment wrapText="1"/>
    </xf>
    <xf numFmtId="4" fontId="3" fillId="2" borderId="1" xfId="9" applyNumberFormat="1" applyFont="1" applyFill="1" applyBorder="1" applyAlignment="1"/>
    <xf numFmtId="0" fontId="3" fillId="0" borderId="0" xfId="9" applyFont="1" applyAlignment="1"/>
    <xf numFmtId="0" fontId="3" fillId="0" borderId="6" xfId="9" applyFont="1" applyFill="1" applyBorder="1" applyAlignment="1">
      <alignment horizontal="right"/>
    </xf>
    <xf numFmtId="0" fontId="3" fillId="0" borderId="6" xfId="9" applyFont="1" applyFill="1" applyBorder="1" applyAlignment="1">
      <alignment horizontal="center" wrapText="1"/>
    </xf>
    <xf numFmtId="4" fontId="3" fillId="0" borderId="6" xfId="9" applyNumberFormat="1" applyFont="1" applyFill="1" applyBorder="1" applyAlignment="1">
      <alignment wrapText="1"/>
    </xf>
    <xf numFmtId="4" fontId="3" fillId="0" borderId="6" xfId="9" applyNumberFormat="1" applyFont="1" applyFill="1" applyBorder="1" applyAlignment="1"/>
    <xf numFmtId="0" fontId="3" fillId="0" borderId="0" xfId="9" applyFont="1" applyFill="1" applyAlignment="1">
      <alignment vertical="center"/>
    </xf>
    <xf numFmtId="0" fontId="3" fillId="2" borderId="6" xfId="9" applyFont="1" applyFill="1" applyBorder="1" applyAlignment="1">
      <alignment horizontal="right"/>
    </xf>
    <xf numFmtId="0" fontId="3" fillId="0" borderId="6" xfId="9" applyFont="1" applyBorder="1" applyAlignment="1">
      <alignment horizontal="center" wrapText="1"/>
    </xf>
    <xf numFmtId="4" fontId="3" fillId="2" borderId="6" xfId="9" applyNumberFormat="1" applyFont="1" applyFill="1" applyBorder="1" applyAlignment="1">
      <alignment wrapText="1"/>
    </xf>
    <xf numFmtId="4" fontId="3" fillId="2" borderId="6" xfId="9" applyNumberFormat="1" applyFont="1" applyFill="1" applyBorder="1" applyAlignment="1"/>
    <xf numFmtId="0" fontId="18" fillId="2" borderId="1" xfId="9" applyFont="1" applyFill="1" applyBorder="1" applyAlignment="1">
      <alignment horizontal="right"/>
    </xf>
    <xf numFmtId="0" fontId="18" fillId="0" borderId="5" xfId="9" applyFont="1" applyBorder="1" applyAlignment="1">
      <alignment horizontal="center" wrapText="1"/>
    </xf>
    <xf numFmtId="4" fontId="18" fillId="2" borderId="1" xfId="9" applyNumberFormat="1" applyFont="1" applyFill="1" applyBorder="1" applyAlignment="1">
      <alignment wrapText="1"/>
    </xf>
    <xf numFmtId="4" fontId="18" fillId="2" borderId="1" xfId="9" applyNumberFormat="1" applyFont="1" applyFill="1" applyBorder="1" applyAlignment="1"/>
    <xf numFmtId="4" fontId="4" fillId="19" borderId="6" xfId="9" applyNumberFormat="1" applyFont="1" applyFill="1" applyBorder="1" applyAlignment="1">
      <alignment vertical="center"/>
    </xf>
    <xf numFmtId="0" fontId="4" fillId="0" borderId="0" xfId="9" applyFont="1" applyAlignment="1">
      <alignment vertical="center"/>
    </xf>
    <xf numFmtId="0" fontId="18" fillId="0" borderId="6" xfId="7" applyFont="1" applyFill="1" applyBorder="1" applyAlignment="1">
      <alignment horizontal="center" vertical="center" wrapText="1"/>
    </xf>
    <xf numFmtId="0" fontId="18" fillId="0" borderId="6" xfId="11" applyFont="1" applyFill="1" applyBorder="1" applyAlignment="1">
      <alignment vertical="center" wrapText="1"/>
    </xf>
    <xf numFmtId="0" fontId="30" fillId="0" borderId="6" xfId="7" applyFont="1" applyFill="1" applyBorder="1" applyAlignment="1">
      <alignment horizontal="center" vertical="center"/>
    </xf>
    <xf numFmtId="3" fontId="18" fillId="0" borderId="6" xfId="7" applyNumberFormat="1" applyFont="1" applyFill="1" applyBorder="1" applyAlignment="1">
      <alignment horizontal="right" vertical="center"/>
    </xf>
    <xf numFmtId="3" fontId="18" fillId="0" borderId="6" xfId="7" applyNumberFormat="1" applyFont="1" applyFill="1" applyBorder="1" applyAlignment="1">
      <alignment horizontal="right" vertical="center" wrapText="1"/>
    </xf>
    <xf numFmtId="0" fontId="18" fillId="0" borderId="0" xfId="7" applyFont="1" applyFill="1" applyAlignment="1">
      <alignment vertical="center" wrapText="1"/>
    </xf>
    <xf numFmtId="3" fontId="30" fillId="0" borderId="6" xfId="7" applyNumberFormat="1" applyFont="1" applyFill="1" applyBorder="1" applyAlignment="1">
      <alignment vertical="center" wrapText="1"/>
    </xf>
    <xf numFmtId="49" fontId="18" fillId="0" borderId="6" xfId="7" applyNumberFormat="1" applyFont="1" applyFill="1" applyBorder="1" applyAlignment="1">
      <alignment horizontal="center" vertical="center"/>
    </xf>
    <xf numFmtId="3" fontId="18" fillId="0" borderId="0" xfId="7" applyNumberFormat="1" applyFont="1" applyFill="1" applyAlignment="1">
      <alignment vertical="center"/>
    </xf>
    <xf numFmtId="0" fontId="18" fillId="0" borderId="0" xfId="7" applyFont="1" applyFill="1" applyAlignment="1">
      <alignment horizontal="center" vertical="center"/>
    </xf>
    <xf numFmtId="3" fontId="30" fillId="0" borderId="6" xfId="7" applyNumberFormat="1" applyFont="1" applyFill="1" applyBorder="1" applyAlignment="1">
      <alignment vertical="center"/>
    </xf>
    <xf numFmtId="1" fontId="30" fillId="0" borderId="6" xfId="7" applyNumberFormat="1" applyFont="1" applyFill="1" applyBorder="1" applyAlignment="1">
      <alignment vertical="center" wrapText="1"/>
    </xf>
    <xf numFmtId="0" fontId="18" fillId="0" borderId="6" xfId="7" applyFont="1" applyFill="1" applyBorder="1" applyAlignment="1">
      <alignment horizontal="left" vertical="center" wrapText="1"/>
    </xf>
    <xf numFmtId="0" fontId="18" fillId="0" borderId="6" xfId="11" applyFont="1" applyBorder="1" applyAlignment="1">
      <alignment horizontal="center" vertical="center"/>
    </xf>
    <xf numFmtId="0" fontId="18" fillId="0" borderId="6" xfId="11" applyFont="1" applyBorder="1" applyAlignment="1">
      <alignment vertical="center" wrapText="1"/>
    </xf>
    <xf numFmtId="3" fontId="18" fillId="0" borderId="6" xfId="11" applyNumberFormat="1" applyFont="1" applyBorder="1" applyAlignment="1">
      <alignment vertical="center"/>
    </xf>
    <xf numFmtId="0" fontId="18" fillId="0" borderId="0" xfId="11" applyFont="1" applyAlignment="1">
      <alignment vertical="center"/>
    </xf>
    <xf numFmtId="0" fontId="27" fillId="0" borderId="6" xfId="11" applyFont="1" applyBorder="1" applyAlignment="1">
      <alignment horizontal="center" vertical="center"/>
    </xf>
    <xf numFmtId="0" fontId="27" fillId="0" borderId="6" xfId="11" applyFont="1" applyBorder="1" applyAlignment="1">
      <alignment vertical="center" wrapText="1"/>
    </xf>
    <xf numFmtId="0" fontId="27" fillId="0" borderId="0" xfId="11" applyFont="1" applyAlignment="1">
      <alignment vertical="center"/>
    </xf>
    <xf numFmtId="0" fontId="35" fillId="0" borderId="0" xfId="0" applyFont="1" applyAlignment="1">
      <alignment horizontal="justify" vertical="center"/>
    </xf>
    <xf numFmtId="0" fontId="9" fillId="0" borderId="0" xfId="7" applyFont="1" applyBorder="1" applyAlignment="1">
      <alignment horizontal="center"/>
    </xf>
    <xf numFmtId="0" fontId="10" fillId="9" borderId="9" xfId="7" applyFont="1" applyFill="1" applyBorder="1" applyAlignment="1">
      <alignment horizontal="center" vertical="center"/>
    </xf>
    <xf numFmtId="0" fontId="10" fillId="9" borderId="9" xfId="7" applyFont="1" applyFill="1" applyBorder="1" applyAlignment="1">
      <alignment horizontal="center" vertical="center" wrapText="1"/>
    </xf>
    <xf numFmtId="0" fontId="10" fillId="9" borderId="10" xfId="7" applyFont="1" applyFill="1" applyBorder="1" applyAlignment="1">
      <alignment horizontal="center" vertical="center" wrapText="1"/>
    </xf>
    <xf numFmtId="0" fontId="10" fillId="9" borderId="13" xfId="7" applyFont="1" applyFill="1" applyBorder="1" applyAlignment="1">
      <alignment horizontal="center" vertical="center" wrapText="1"/>
    </xf>
    <xf numFmtId="0" fontId="10" fillId="9" borderId="11" xfId="7" applyFont="1" applyFill="1" applyBorder="1" applyAlignment="1">
      <alignment horizontal="center" vertical="center" wrapText="1"/>
    </xf>
    <xf numFmtId="0" fontId="10" fillId="9" borderId="12" xfId="7" applyFont="1" applyFill="1" applyBorder="1" applyAlignment="1">
      <alignment horizontal="center" vertical="center" wrapText="1"/>
    </xf>
    <xf numFmtId="0" fontId="10" fillId="2" borderId="9" xfId="7" applyFont="1" applyFill="1" applyBorder="1" applyAlignment="1">
      <alignment horizontal="center" vertical="center" wrapText="1"/>
    </xf>
    <xf numFmtId="0" fontId="10" fillId="0" borderId="10" xfId="7" applyFont="1" applyFill="1" applyBorder="1" applyAlignment="1">
      <alignment horizontal="center" vertical="center" wrapText="1"/>
    </xf>
    <xf numFmtId="0" fontId="10" fillId="0" borderId="13" xfId="7" applyFont="1" applyFill="1" applyBorder="1" applyAlignment="1">
      <alignment horizontal="center" vertical="center" wrapText="1"/>
    </xf>
    <xf numFmtId="0" fontId="10" fillId="2" borderId="10" xfId="7" applyFont="1" applyFill="1" applyBorder="1" applyAlignment="1">
      <alignment horizontal="center" vertical="center" wrapText="1"/>
    </xf>
    <xf numFmtId="0" fontId="10" fillId="10" borderId="10" xfId="7" applyFont="1" applyFill="1" applyBorder="1" applyAlignment="1">
      <alignment horizontal="center" vertical="center" wrapText="1"/>
    </xf>
    <xf numFmtId="0" fontId="10" fillId="10" borderId="19" xfId="7" applyFont="1" applyFill="1" applyBorder="1" applyAlignment="1">
      <alignment horizontal="center" vertical="center" wrapText="1"/>
    </xf>
    <xf numFmtId="0" fontId="10" fillId="2" borderId="11" xfId="7" applyFont="1" applyFill="1" applyBorder="1" applyAlignment="1">
      <alignment horizontal="center" vertical="center" wrapText="1"/>
    </xf>
    <xf numFmtId="0" fontId="10" fillId="2" borderId="22" xfId="7" applyFont="1" applyFill="1" applyBorder="1" applyAlignment="1">
      <alignment horizontal="center" vertical="center" wrapText="1"/>
    </xf>
    <xf numFmtId="165" fontId="10" fillId="11" borderId="11" xfId="8" applyNumberFormat="1" applyFont="1" applyFill="1" applyBorder="1" applyAlignment="1" applyProtection="1">
      <alignment horizontal="center" vertical="center" wrapText="1"/>
    </xf>
    <xf numFmtId="165" fontId="10" fillId="11" borderId="12" xfId="8" applyNumberFormat="1" applyFont="1" applyFill="1" applyBorder="1" applyAlignment="1" applyProtection="1">
      <alignment horizontal="center" vertical="center" wrapText="1"/>
    </xf>
    <xf numFmtId="165" fontId="10" fillId="11" borderId="14" xfId="8" applyNumberFormat="1" applyFont="1" applyFill="1" applyBorder="1" applyAlignment="1" applyProtection="1">
      <alignment horizontal="center" vertical="center" wrapText="1"/>
    </xf>
    <xf numFmtId="0" fontId="10" fillId="2" borderId="12" xfId="7" applyFont="1" applyFill="1" applyBorder="1" applyAlignment="1">
      <alignment horizontal="center" vertical="center" wrapText="1"/>
    </xf>
    <xf numFmtId="0" fontId="10" fillId="2" borderId="14" xfId="7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0" borderId="0" xfId="9" applyFont="1" applyAlignment="1">
      <alignment horizontal="center" vertical="center"/>
    </xf>
    <xf numFmtId="0" fontId="10" fillId="4" borderId="7" xfId="9" applyFont="1" applyFill="1" applyBorder="1" applyAlignment="1">
      <alignment horizontal="center" vertical="center"/>
    </xf>
    <xf numFmtId="0" fontId="10" fillId="4" borderId="3" xfId="9" applyFont="1" applyFill="1" applyBorder="1" applyAlignment="1">
      <alignment horizontal="center" vertical="center"/>
    </xf>
    <xf numFmtId="0" fontId="17" fillId="0" borderId="0" xfId="9" applyFont="1" applyAlignment="1">
      <alignment horizontal="center" vertical="center" wrapText="1"/>
    </xf>
    <xf numFmtId="0" fontId="4" fillId="19" borderId="1" xfId="9" applyFont="1" applyFill="1" applyBorder="1" applyAlignment="1">
      <alignment horizontal="center" vertical="center" wrapText="1"/>
    </xf>
    <xf numFmtId="0" fontId="4" fillId="19" borderId="4" xfId="9" applyFont="1" applyFill="1" applyBorder="1" applyAlignment="1">
      <alignment horizontal="center" vertical="center" wrapText="1"/>
    </xf>
    <xf numFmtId="0" fontId="4" fillId="19" borderId="6" xfId="9" applyFont="1" applyFill="1" applyBorder="1" applyAlignment="1">
      <alignment horizontal="center" vertical="center" wrapText="1"/>
    </xf>
    <xf numFmtId="0" fontId="4" fillId="19" borderId="6" xfId="9" applyFont="1" applyFill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6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 wrapText="1"/>
    </xf>
    <xf numFmtId="0" fontId="18" fillId="0" borderId="5" xfId="9" applyFont="1" applyBorder="1" applyAlignment="1">
      <alignment horizontal="center" vertical="center" wrapText="1"/>
    </xf>
    <xf numFmtId="0" fontId="3" fillId="0" borderId="6" xfId="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 wrapText="1"/>
    </xf>
    <xf numFmtId="0" fontId="3" fillId="0" borderId="5" xfId="9" applyFont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/>
    </xf>
    <xf numFmtId="0" fontId="3" fillId="0" borderId="4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 wrapText="1"/>
    </xf>
    <xf numFmtId="49" fontId="15" fillId="0" borderId="0" xfId="10" applyNumberFormat="1" applyFont="1" applyFill="1" applyAlignment="1">
      <alignment horizontal="center" vertical="center" wrapText="1"/>
    </xf>
    <xf numFmtId="0" fontId="7" fillId="5" borderId="7" xfId="10" applyFont="1" applyFill="1" applyBorder="1" applyAlignment="1">
      <alignment horizontal="center" vertical="center" wrapText="1"/>
    </xf>
    <xf numFmtId="0" fontId="7" fillId="5" borderId="2" xfId="10" applyFont="1" applyFill="1" applyBorder="1" applyAlignment="1">
      <alignment horizontal="center" vertical="center" wrapText="1"/>
    </xf>
    <xf numFmtId="0" fontId="7" fillId="5" borderId="3" xfId="10" applyFont="1" applyFill="1" applyBorder="1" applyAlignment="1">
      <alignment horizontal="center" vertical="center" wrapText="1"/>
    </xf>
    <xf numFmtId="0" fontId="15" fillId="0" borderId="0" xfId="11" applyFont="1" applyAlignment="1">
      <alignment horizontal="center" vertical="center" wrapText="1"/>
    </xf>
    <xf numFmtId="0" fontId="7" fillId="7" borderId="7" xfId="11" applyFont="1" applyFill="1" applyBorder="1" applyAlignment="1">
      <alignment horizontal="center" vertical="center" wrapText="1"/>
    </xf>
    <xf numFmtId="0" fontId="7" fillId="7" borderId="2" xfId="11" applyFont="1" applyFill="1" applyBorder="1" applyAlignment="1">
      <alignment horizontal="center" vertical="center" wrapText="1"/>
    </xf>
    <xf numFmtId="0" fontId="7" fillId="7" borderId="3" xfId="1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 wrapText="1"/>
    </xf>
    <xf numFmtId="44" fontId="4" fillId="2" borderId="6" xfId="12" applyFont="1" applyFill="1" applyBorder="1" applyAlignment="1">
      <alignment horizontal="center" vertical="center"/>
    </xf>
    <xf numFmtId="44" fontId="9" fillId="13" borderId="6" xfId="12" applyFont="1" applyFill="1" applyBorder="1" applyAlignment="1">
      <alignment horizontal="center"/>
    </xf>
    <xf numFmtId="0" fontId="4" fillId="18" borderId="32" xfId="7" applyFont="1" applyFill="1" applyBorder="1" applyAlignment="1">
      <alignment horizontal="center" vertical="center" wrapText="1"/>
    </xf>
    <xf numFmtId="0" fontId="4" fillId="18" borderId="33" xfId="7" applyFont="1" applyFill="1" applyBorder="1" applyAlignment="1">
      <alignment horizontal="center" vertical="center" wrapText="1"/>
    </xf>
    <xf numFmtId="0" fontId="4" fillId="18" borderId="34" xfId="7" applyFont="1" applyFill="1" applyBorder="1" applyAlignment="1">
      <alignment horizontal="center" vertical="center" wrapText="1"/>
    </xf>
    <xf numFmtId="0" fontId="9" fillId="0" borderId="0" xfId="7" applyFont="1" applyAlignment="1">
      <alignment horizontal="center" vertical="center" wrapText="1"/>
    </xf>
    <xf numFmtId="0" fontId="4" fillId="18" borderId="23" xfId="7" applyFont="1" applyFill="1" applyBorder="1" applyAlignment="1">
      <alignment horizontal="center" vertical="center" wrapText="1"/>
    </xf>
    <xf numFmtId="0" fontId="4" fillId="18" borderId="28" xfId="7" applyFont="1" applyFill="1" applyBorder="1" applyAlignment="1">
      <alignment horizontal="center" vertical="center" wrapText="1"/>
    </xf>
    <xf numFmtId="0" fontId="4" fillId="18" borderId="24" xfId="7" applyFont="1" applyFill="1" applyBorder="1" applyAlignment="1">
      <alignment horizontal="center" vertical="center" wrapText="1"/>
    </xf>
    <xf numFmtId="0" fontId="4" fillId="18" borderId="0" xfId="7" applyFont="1" applyFill="1" applyBorder="1" applyAlignment="1">
      <alignment horizontal="center" vertical="center" wrapText="1"/>
    </xf>
    <xf numFmtId="0" fontId="4" fillId="18" borderId="25" xfId="7" applyFont="1" applyFill="1" applyBorder="1" applyAlignment="1">
      <alignment horizontal="center" vertical="center" wrapText="1"/>
    </xf>
    <xf numFmtId="0" fontId="4" fillId="18" borderId="26" xfId="7" applyFont="1" applyFill="1" applyBorder="1" applyAlignment="1">
      <alignment horizontal="center" vertical="center" wrapText="1"/>
    </xf>
    <xf numFmtId="0" fontId="4" fillId="18" borderId="27" xfId="7" applyFont="1" applyFill="1" applyBorder="1" applyAlignment="1">
      <alignment horizontal="center" vertical="center" wrapText="1"/>
    </xf>
  </cellXfs>
  <cellStyles count="16">
    <cellStyle name="Normalny" xfId="0" builtinId="0"/>
    <cellStyle name="Normalny 10" xfId="3"/>
    <cellStyle name="Normalny 2" xfId="1"/>
    <cellStyle name="Normalny 2 2 2" xfId="7"/>
    <cellStyle name="Normalny 2 3" xfId="9"/>
    <cellStyle name="Normalny 3" xfId="13"/>
    <cellStyle name="Normalny 3 2" xfId="14"/>
    <cellStyle name="Normalny 4" xfId="15"/>
    <cellStyle name="Normalny 6" xfId="2"/>
    <cellStyle name="Normalny 6 2" xfId="11"/>
    <cellStyle name="Normalny 6 3" xfId="10"/>
    <cellStyle name="Normalny 7 2" xfId="5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Normal="100" workbookViewId="0">
      <pane ySplit="5" topLeftCell="A63" activePane="bottomLeft" state="frozen"/>
      <selection activeCell="F21" sqref="F21"/>
      <selection pane="bottomLeft" activeCell="A68" sqref="A68:XFD68"/>
    </sheetView>
  </sheetViews>
  <sheetFormatPr defaultColWidth="11.6640625" defaultRowHeight="12.75" customHeight="1"/>
  <cols>
    <col min="1" max="1" width="5.6640625" style="91" customWidth="1"/>
    <col min="2" max="2" width="6.6640625" style="91" customWidth="1"/>
    <col min="3" max="3" width="9.33203125" style="91" customWidth="1"/>
    <col min="4" max="4" width="7.33203125" style="91" customWidth="1"/>
    <col min="5" max="5" width="92.33203125" style="91" customWidth="1"/>
    <col min="6" max="6" width="15.5" style="91" customWidth="1"/>
    <col min="7" max="9" width="14.33203125" style="91" customWidth="1"/>
    <col min="10" max="10" width="15.83203125" style="91" customWidth="1"/>
    <col min="11" max="11" width="35.33203125" style="91" customWidth="1"/>
    <col min="12" max="12" width="17.6640625" style="138" hidden="1" customWidth="1"/>
    <col min="13" max="16384" width="11.6640625" style="91"/>
  </cols>
  <sheetData>
    <row r="1" spans="1:12" ht="12" customHeight="1"/>
    <row r="2" spans="1:12" ht="15.75" customHeight="1">
      <c r="A2" s="395" t="s">
        <v>312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2" ht="15" customHeight="1" thickBot="1"/>
    <row r="4" spans="1:12" ht="19.5" customHeight="1" thickBot="1">
      <c r="A4" s="396" t="s">
        <v>70</v>
      </c>
      <c r="B4" s="397" t="s">
        <v>0</v>
      </c>
      <c r="C4" s="397" t="s">
        <v>130</v>
      </c>
      <c r="D4" s="398" t="s">
        <v>131</v>
      </c>
      <c r="E4" s="397" t="s">
        <v>132</v>
      </c>
      <c r="F4" s="397" t="s">
        <v>133</v>
      </c>
      <c r="G4" s="400" t="s">
        <v>134</v>
      </c>
      <c r="H4" s="401"/>
      <c r="I4" s="401"/>
      <c r="J4" s="401"/>
      <c r="K4" s="398" t="s">
        <v>135</v>
      </c>
      <c r="L4" s="403"/>
    </row>
    <row r="5" spans="1:12" ht="95.25" customHeight="1" thickBot="1">
      <c r="A5" s="396"/>
      <c r="B5" s="397"/>
      <c r="C5" s="397"/>
      <c r="D5" s="399"/>
      <c r="E5" s="397"/>
      <c r="F5" s="397"/>
      <c r="G5" s="271" t="s">
        <v>136</v>
      </c>
      <c r="H5" s="271" t="s">
        <v>137</v>
      </c>
      <c r="I5" s="271" t="s">
        <v>138</v>
      </c>
      <c r="J5" s="271" t="s">
        <v>139</v>
      </c>
      <c r="K5" s="399"/>
      <c r="L5" s="404"/>
    </row>
    <row r="6" spans="1:12" s="93" customFormat="1" ht="15" customHeight="1" thickBot="1">
      <c r="A6" s="92" t="s">
        <v>71</v>
      </c>
      <c r="B6" s="92" t="s">
        <v>72</v>
      </c>
      <c r="C6" s="92" t="s">
        <v>73</v>
      </c>
      <c r="D6" s="92" t="s">
        <v>74</v>
      </c>
      <c r="E6" s="92" t="s">
        <v>75</v>
      </c>
      <c r="F6" s="92" t="s">
        <v>76</v>
      </c>
      <c r="G6" s="92" t="s">
        <v>126</v>
      </c>
      <c r="H6" s="92" t="s">
        <v>140</v>
      </c>
      <c r="I6" s="92" t="s">
        <v>141</v>
      </c>
      <c r="J6" s="92" t="s">
        <v>142</v>
      </c>
      <c r="K6" s="92" t="s">
        <v>143</v>
      </c>
      <c r="L6" s="92"/>
    </row>
    <row r="7" spans="1:12" s="101" customFormat="1" ht="27" customHeight="1" thickBot="1">
      <c r="A7" s="94" t="s">
        <v>71</v>
      </c>
      <c r="B7" s="95">
        <v>600</v>
      </c>
      <c r="C7" s="95">
        <v>60014</v>
      </c>
      <c r="D7" s="95">
        <v>6050</v>
      </c>
      <c r="E7" s="96" t="s">
        <v>221</v>
      </c>
      <c r="F7" s="97">
        <f t="shared" ref="F7:F16" si="0">SUM(G7:I7)</f>
        <v>150000</v>
      </c>
      <c r="G7" s="98">
        <v>150000</v>
      </c>
      <c r="H7" s="98"/>
      <c r="I7" s="96"/>
      <c r="J7" s="99"/>
      <c r="K7" s="100"/>
      <c r="L7" s="100"/>
    </row>
    <row r="8" spans="1:12" s="101" customFormat="1" ht="42" customHeight="1" thickBot="1">
      <c r="A8" s="94" t="s">
        <v>72</v>
      </c>
      <c r="B8" s="95">
        <v>600</v>
      </c>
      <c r="C8" s="95">
        <v>60014</v>
      </c>
      <c r="D8" s="95">
        <v>6050</v>
      </c>
      <c r="E8" s="96" t="s">
        <v>275</v>
      </c>
      <c r="F8" s="97">
        <f t="shared" si="0"/>
        <v>150000</v>
      </c>
      <c r="G8" s="98">
        <v>150000</v>
      </c>
      <c r="H8" s="98"/>
      <c r="I8" s="96"/>
      <c r="J8" s="99"/>
      <c r="K8" s="100"/>
      <c r="L8" s="100"/>
    </row>
    <row r="9" spans="1:12" s="101" customFormat="1" ht="42" customHeight="1" thickBot="1">
      <c r="A9" s="94" t="s">
        <v>73</v>
      </c>
      <c r="B9" s="95">
        <v>600</v>
      </c>
      <c r="C9" s="95">
        <v>60014</v>
      </c>
      <c r="D9" s="95">
        <v>6050</v>
      </c>
      <c r="E9" s="134" t="s">
        <v>264</v>
      </c>
      <c r="F9" s="97">
        <f t="shared" si="0"/>
        <v>200000</v>
      </c>
      <c r="G9" s="98">
        <v>200000</v>
      </c>
      <c r="H9" s="98"/>
      <c r="I9" s="96"/>
      <c r="J9" s="99"/>
      <c r="K9" s="100" t="s">
        <v>265</v>
      </c>
      <c r="L9" s="95"/>
    </row>
    <row r="10" spans="1:12" s="101" customFormat="1" ht="27" customHeight="1" thickBot="1">
      <c r="A10" s="94" t="s">
        <v>74</v>
      </c>
      <c r="B10" s="95">
        <v>600</v>
      </c>
      <c r="C10" s="95">
        <v>60014</v>
      </c>
      <c r="D10" s="95">
        <v>6050</v>
      </c>
      <c r="E10" s="134" t="s">
        <v>219</v>
      </c>
      <c r="F10" s="97">
        <f t="shared" si="0"/>
        <v>150000</v>
      </c>
      <c r="G10" s="98">
        <v>150000</v>
      </c>
      <c r="H10" s="98"/>
      <c r="I10" s="96"/>
      <c r="J10" s="99"/>
      <c r="K10" s="100"/>
      <c r="L10" s="141" t="s">
        <v>236</v>
      </c>
    </row>
    <row r="11" spans="1:12" s="151" customFormat="1" ht="42.75" customHeight="1" thickBot="1">
      <c r="A11" s="94" t="s">
        <v>75</v>
      </c>
      <c r="B11" s="95">
        <v>600</v>
      </c>
      <c r="C11" s="95">
        <v>60014</v>
      </c>
      <c r="D11" s="95">
        <v>6050</v>
      </c>
      <c r="E11" s="134" t="s">
        <v>262</v>
      </c>
      <c r="F11" s="97">
        <v>300000</v>
      </c>
      <c r="G11" s="98">
        <v>200000</v>
      </c>
      <c r="H11" s="98"/>
      <c r="I11" s="96"/>
      <c r="J11" s="99" t="s">
        <v>425</v>
      </c>
      <c r="K11" s="100" t="s">
        <v>263</v>
      </c>
      <c r="L11" s="95"/>
    </row>
    <row r="12" spans="1:12" s="151" customFormat="1" ht="42.75" customHeight="1" thickBot="1">
      <c r="A12" s="94" t="s">
        <v>76</v>
      </c>
      <c r="B12" s="95">
        <v>600</v>
      </c>
      <c r="C12" s="95">
        <v>60014</v>
      </c>
      <c r="D12" s="95">
        <v>6050</v>
      </c>
      <c r="E12" s="134" t="s">
        <v>366</v>
      </c>
      <c r="F12" s="97">
        <f>155000+84102</f>
        <v>239102</v>
      </c>
      <c r="G12" s="98">
        <f>75000+84102</f>
        <v>159102</v>
      </c>
      <c r="H12" s="98"/>
      <c r="I12" s="96"/>
      <c r="J12" s="99" t="s">
        <v>326</v>
      </c>
      <c r="K12" s="100"/>
      <c r="L12" s="141" t="s">
        <v>236</v>
      </c>
    </row>
    <row r="13" spans="1:12" s="151" customFormat="1" ht="42.75" customHeight="1" thickBot="1">
      <c r="A13" s="94" t="s">
        <v>126</v>
      </c>
      <c r="B13" s="95">
        <v>600</v>
      </c>
      <c r="C13" s="95">
        <v>60014</v>
      </c>
      <c r="D13" s="95">
        <v>6050</v>
      </c>
      <c r="E13" s="134" t="s">
        <v>266</v>
      </c>
      <c r="F13" s="97">
        <f t="shared" si="0"/>
        <v>296214</v>
      </c>
      <c r="G13" s="98">
        <f>175000+84314+36900</f>
        <v>296214</v>
      </c>
      <c r="H13" s="98"/>
      <c r="I13" s="96"/>
      <c r="J13" s="99"/>
      <c r="K13" s="100"/>
      <c r="L13" s="95"/>
    </row>
    <row r="14" spans="1:12" s="258" customFormat="1" ht="40.5" customHeight="1" thickBot="1">
      <c r="A14" s="250" t="s">
        <v>140</v>
      </c>
      <c r="B14" s="251">
        <v>600</v>
      </c>
      <c r="C14" s="251">
        <v>60014</v>
      </c>
      <c r="D14" s="251">
        <v>6050</v>
      </c>
      <c r="E14" s="252" t="s">
        <v>222</v>
      </c>
      <c r="F14" s="253">
        <f t="shared" si="0"/>
        <v>600000</v>
      </c>
      <c r="G14" s="254">
        <f>500000+100000-577513-22487</f>
        <v>0</v>
      </c>
      <c r="H14" s="254">
        <f>577513+22487</f>
        <v>600000</v>
      </c>
      <c r="I14" s="255"/>
      <c r="J14" s="256"/>
      <c r="K14" s="257"/>
      <c r="L14" s="257"/>
    </row>
    <row r="15" spans="1:12" s="151" customFormat="1" ht="27" customHeight="1" thickBot="1">
      <c r="A15" s="94" t="s">
        <v>141</v>
      </c>
      <c r="B15" s="95">
        <v>600</v>
      </c>
      <c r="C15" s="95">
        <v>60014</v>
      </c>
      <c r="D15" s="95">
        <v>6050</v>
      </c>
      <c r="E15" s="134" t="s">
        <v>276</v>
      </c>
      <c r="F15" s="97">
        <f t="shared" si="0"/>
        <v>200000</v>
      </c>
      <c r="G15" s="98">
        <f>100000+100000</f>
        <v>200000</v>
      </c>
      <c r="H15" s="98"/>
      <c r="I15" s="96"/>
      <c r="J15" s="99"/>
      <c r="K15" s="100"/>
      <c r="L15" s="100"/>
    </row>
    <row r="16" spans="1:12" s="151" customFormat="1" ht="42" customHeight="1" thickBot="1">
      <c r="A16" s="94" t="s">
        <v>142</v>
      </c>
      <c r="B16" s="95">
        <v>600</v>
      </c>
      <c r="C16" s="95">
        <v>60014</v>
      </c>
      <c r="D16" s="95">
        <v>6050</v>
      </c>
      <c r="E16" s="134" t="s">
        <v>311</v>
      </c>
      <c r="F16" s="97">
        <f t="shared" si="0"/>
        <v>230000</v>
      </c>
      <c r="G16" s="98">
        <f>250000-20000</f>
        <v>230000</v>
      </c>
      <c r="H16" s="98"/>
      <c r="I16" s="96"/>
      <c r="J16" s="99"/>
      <c r="K16" s="100"/>
      <c r="L16" s="100"/>
    </row>
    <row r="17" spans="1:12" s="258" customFormat="1" ht="84" customHeight="1" thickBot="1">
      <c r="A17" s="250" t="s">
        <v>143</v>
      </c>
      <c r="B17" s="251">
        <v>600</v>
      </c>
      <c r="C17" s="251">
        <v>60014</v>
      </c>
      <c r="D17" s="251">
        <v>6050</v>
      </c>
      <c r="E17" s="252" t="s">
        <v>177</v>
      </c>
      <c r="F17" s="253">
        <f>3828817+271183</f>
        <v>4100000</v>
      </c>
      <c r="G17" s="254"/>
      <c r="H17" s="254">
        <f>1528817+800000+271183</f>
        <v>2600000</v>
      </c>
      <c r="I17" s="255"/>
      <c r="J17" s="256" t="s">
        <v>386</v>
      </c>
      <c r="K17" s="257"/>
      <c r="L17" s="141" t="s">
        <v>236</v>
      </c>
    </row>
    <row r="18" spans="1:12" s="151" customFormat="1" ht="51" customHeight="1" thickBot="1">
      <c r="A18" s="94" t="s">
        <v>145</v>
      </c>
      <c r="B18" s="95">
        <v>600</v>
      </c>
      <c r="C18" s="95">
        <v>60014</v>
      </c>
      <c r="D18" s="95">
        <v>6050</v>
      </c>
      <c r="E18" s="96" t="s">
        <v>144</v>
      </c>
      <c r="F18" s="97">
        <v>0</v>
      </c>
      <c r="G18" s="98"/>
      <c r="H18" s="98">
        <v>0</v>
      </c>
      <c r="I18" s="96"/>
      <c r="J18" s="99" t="s">
        <v>426</v>
      </c>
      <c r="K18" s="100"/>
      <c r="L18" s="141" t="s">
        <v>236</v>
      </c>
    </row>
    <row r="19" spans="1:12" s="151" customFormat="1" ht="64.5" customHeight="1" thickBot="1">
      <c r="A19" s="94" t="s">
        <v>147</v>
      </c>
      <c r="B19" s="95">
        <v>600</v>
      </c>
      <c r="C19" s="95">
        <v>60014</v>
      </c>
      <c r="D19" s="95">
        <v>6050</v>
      </c>
      <c r="E19" s="135" t="s">
        <v>146</v>
      </c>
      <c r="F19" s="97">
        <v>15002909</v>
      </c>
      <c r="G19" s="98"/>
      <c r="H19" s="98">
        <v>1684209</v>
      </c>
      <c r="I19" s="96"/>
      <c r="J19" s="99" t="s">
        <v>365</v>
      </c>
      <c r="K19" s="100"/>
      <c r="L19" s="141" t="s">
        <v>236</v>
      </c>
    </row>
    <row r="20" spans="1:12" s="151" customFormat="1" ht="41.25" customHeight="1" thickBot="1">
      <c r="A20" s="94" t="s">
        <v>149</v>
      </c>
      <c r="B20" s="95">
        <v>600</v>
      </c>
      <c r="C20" s="95">
        <v>60014</v>
      </c>
      <c r="D20" s="95">
        <v>6050</v>
      </c>
      <c r="E20" s="135" t="s">
        <v>148</v>
      </c>
      <c r="F20" s="97">
        <f>857375+257375</f>
        <v>1114750</v>
      </c>
      <c r="G20" s="98"/>
      <c r="H20" s="98">
        <v>557375</v>
      </c>
      <c r="I20" s="96"/>
      <c r="J20" s="99" t="s">
        <v>309</v>
      </c>
      <c r="K20" s="100"/>
      <c r="L20" s="141" t="s">
        <v>236</v>
      </c>
    </row>
    <row r="21" spans="1:12" s="151" customFormat="1" ht="27" customHeight="1" thickBot="1">
      <c r="A21" s="94" t="s">
        <v>150</v>
      </c>
      <c r="B21" s="95">
        <v>600</v>
      </c>
      <c r="C21" s="95">
        <v>60014</v>
      </c>
      <c r="D21" s="95">
        <v>6050</v>
      </c>
      <c r="E21" s="135" t="s">
        <v>281</v>
      </c>
      <c r="F21" s="97">
        <f>SUM(G21:H21)</f>
        <v>710000</v>
      </c>
      <c r="G21" s="98">
        <v>10000</v>
      </c>
      <c r="H21" s="98">
        <f>500000+200000</f>
        <v>700000</v>
      </c>
      <c r="I21" s="96"/>
      <c r="J21" s="99"/>
      <c r="K21" s="100"/>
      <c r="L21" s="95"/>
    </row>
    <row r="22" spans="1:12" s="101" customFormat="1" ht="27" customHeight="1" thickBot="1">
      <c r="A22" s="94" t="s">
        <v>151</v>
      </c>
      <c r="B22" s="95">
        <v>600</v>
      </c>
      <c r="C22" s="95">
        <v>60014</v>
      </c>
      <c r="D22" s="95">
        <v>6050</v>
      </c>
      <c r="E22" s="135" t="s">
        <v>223</v>
      </c>
      <c r="F22" s="97">
        <f>SUM(G22:H22)</f>
        <v>200000</v>
      </c>
      <c r="G22" s="98">
        <v>200000</v>
      </c>
      <c r="H22" s="98"/>
      <c r="I22" s="96"/>
      <c r="J22" s="99"/>
      <c r="K22" s="100"/>
      <c r="L22" s="100"/>
    </row>
    <row r="23" spans="1:12" s="101" customFormat="1" ht="27" customHeight="1" thickBot="1">
      <c r="A23" s="94" t="s">
        <v>152</v>
      </c>
      <c r="B23" s="95">
        <v>600</v>
      </c>
      <c r="C23" s="95">
        <v>60014</v>
      </c>
      <c r="D23" s="95">
        <v>6050</v>
      </c>
      <c r="E23" s="135" t="s">
        <v>153</v>
      </c>
      <c r="F23" s="97">
        <f>SUM(G23:H23)</f>
        <v>100000</v>
      </c>
      <c r="G23" s="98">
        <v>100000</v>
      </c>
      <c r="H23" s="98"/>
      <c r="I23" s="96"/>
      <c r="J23" s="99"/>
      <c r="K23" s="100"/>
      <c r="L23" s="141" t="s">
        <v>236</v>
      </c>
    </row>
    <row r="24" spans="1:12" s="101" customFormat="1" ht="27" customHeight="1" thickBot="1">
      <c r="A24" s="94" t="s">
        <v>154</v>
      </c>
      <c r="B24" s="95">
        <v>600</v>
      </c>
      <c r="C24" s="95">
        <v>60014</v>
      </c>
      <c r="D24" s="95">
        <v>6050</v>
      </c>
      <c r="E24" s="134" t="s">
        <v>224</v>
      </c>
      <c r="F24" s="97">
        <f>SUM(G24:H24)</f>
        <v>100000</v>
      </c>
      <c r="G24" s="98">
        <v>100000</v>
      </c>
      <c r="H24" s="98"/>
      <c r="I24" s="96"/>
      <c r="J24" s="99"/>
      <c r="K24" s="100"/>
      <c r="L24" s="100"/>
    </row>
    <row r="25" spans="1:12" s="101" customFormat="1" ht="45" customHeight="1" thickBot="1">
      <c r="A25" s="94" t="s">
        <v>155</v>
      </c>
      <c r="B25" s="95">
        <v>600</v>
      </c>
      <c r="C25" s="95">
        <v>60014</v>
      </c>
      <c r="D25" s="95">
        <v>6050</v>
      </c>
      <c r="E25" s="134" t="s">
        <v>217</v>
      </c>
      <c r="F25" s="97">
        <f>SUM(G25:H25)</f>
        <v>100000</v>
      </c>
      <c r="G25" s="98">
        <v>100000</v>
      </c>
      <c r="H25" s="98"/>
      <c r="I25" s="96"/>
      <c r="J25" s="99"/>
      <c r="K25" s="100"/>
      <c r="L25" s="141" t="s">
        <v>236</v>
      </c>
    </row>
    <row r="26" spans="1:12" s="272" customFormat="1" ht="45" customHeight="1" thickBot="1">
      <c r="A26" s="94" t="s">
        <v>156</v>
      </c>
      <c r="B26" s="95">
        <v>600</v>
      </c>
      <c r="C26" s="95">
        <v>60014</v>
      </c>
      <c r="D26" s="95">
        <v>6050</v>
      </c>
      <c r="E26" s="135" t="s">
        <v>158</v>
      </c>
      <c r="F26" s="97">
        <v>0</v>
      </c>
      <c r="G26" s="98">
        <v>0</v>
      </c>
      <c r="H26" s="98"/>
      <c r="I26" s="96"/>
      <c r="J26" s="99" t="s">
        <v>415</v>
      </c>
      <c r="K26" s="100"/>
      <c r="L26" s="217" t="s">
        <v>236</v>
      </c>
    </row>
    <row r="27" spans="1:12" s="101" customFormat="1" ht="45" customHeight="1" thickBot="1">
      <c r="A27" s="94" t="s">
        <v>157</v>
      </c>
      <c r="B27" s="95">
        <v>600</v>
      </c>
      <c r="C27" s="95">
        <v>60014</v>
      </c>
      <c r="D27" s="95">
        <v>6050</v>
      </c>
      <c r="E27" s="135" t="s">
        <v>267</v>
      </c>
      <c r="F27" s="97">
        <f>SUM(G27:H27)</f>
        <v>35000</v>
      </c>
      <c r="G27" s="98">
        <v>35000</v>
      </c>
      <c r="H27" s="98"/>
      <c r="I27" s="96"/>
      <c r="J27" s="99"/>
      <c r="K27" s="100"/>
      <c r="L27" s="95"/>
    </row>
    <row r="28" spans="1:12" s="101" customFormat="1" ht="45" customHeight="1" thickBot="1">
      <c r="A28" s="94" t="s">
        <v>348</v>
      </c>
      <c r="B28" s="95">
        <v>600</v>
      </c>
      <c r="C28" s="95">
        <v>60014</v>
      </c>
      <c r="D28" s="95">
        <v>6050</v>
      </c>
      <c r="E28" s="135" t="s">
        <v>349</v>
      </c>
      <c r="F28" s="97">
        <v>0</v>
      </c>
      <c r="G28" s="98">
        <v>0</v>
      </c>
      <c r="H28" s="98"/>
      <c r="I28" s="96"/>
      <c r="J28" s="99"/>
      <c r="K28" s="100"/>
      <c r="L28" s="95"/>
    </row>
    <row r="29" spans="1:12" s="101" customFormat="1" ht="27" customHeight="1" thickBot="1">
      <c r="A29" s="94" t="s">
        <v>160</v>
      </c>
      <c r="B29" s="95">
        <v>600</v>
      </c>
      <c r="C29" s="95">
        <v>60014</v>
      </c>
      <c r="D29" s="95">
        <v>6050</v>
      </c>
      <c r="E29" s="135" t="s">
        <v>159</v>
      </c>
      <c r="F29" s="97">
        <f>SUM(G29:H29)</f>
        <v>100000</v>
      </c>
      <c r="G29" s="98">
        <v>100000</v>
      </c>
      <c r="H29" s="98"/>
      <c r="I29" s="96"/>
      <c r="J29" s="99"/>
      <c r="K29" s="100"/>
      <c r="L29" s="141" t="s">
        <v>236</v>
      </c>
    </row>
    <row r="30" spans="1:12" s="101" customFormat="1" ht="27" customHeight="1" thickBot="1">
      <c r="A30" s="94" t="s">
        <v>161</v>
      </c>
      <c r="B30" s="95">
        <v>600</v>
      </c>
      <c r="C30" s="95">
        <v>60014</v>
      </c>
      <c r="D30" s="95">
        <v>6050</v>
      </c>
      <c r="E30" s="134" t="s">
        <v>225</v>
      </c>
      <c r="F30" s="97">
        <f>SUM(G30:H30)</f>
        <v>100000</v>
      </c>
      <c r="G30" s="98">
        <v>100000</v>
      </c>
      <c r="H30" s="98"/>
      <c r="I30" s="96"/>
      <c r="J30" s="99"/>
      <c r="K30" s="100"/>
      <c r="L30" s="100"/>
    </row>
    <row r="31" spans="1:12" s="101" customFormat="1" ht="27" customHeight="1" thickBot="1">
      <c r="A31" s="94" t="s">
        <v>163</v>
      </c>
      <c r="B31" s="95">
        <v>600</v>
      </c>
      <c r="C31" s="95">
        <v>60014</v>
      </c>
      <c r="D31" s="95">
        <v>6050</v>
      </c>
      <c r="E31" s="135" t="s">
        <v>162</v>
      </c>
      <c r="F31" s="97">
        <f>SUM(G31:H31)</f>
        <v>100000</v>
      </c>
      <c r="G31" s="98">
        <v>100000</v>
      </c>
      <c r="H31" s="98"/>
      <c r="I31" s="96"/>
      <c r="J31" s="99"/>
      <c r="K31" s="100"/>
      <c r="L31" s="141" t="s">
        <v>236</v>
      </c>
    </row>
    <row r="32" spans="1:12" s="101" customFormat="1" ht="27" customHeight="1" thickBot="1">
      <c r="A32" s="94" t="s">
        <v>166</v>
      </c>
      <c r="B32" s="95">
        <v>600</v>
      </c>
      <c r="C32" s="95">
        <v>60014</v>
      </c>
      <c r="D32" s="95">
        <v>6050</v>
      </c>
      <c r="E32" s="136" t="s">
        <v>164</v>
      </c>
      <c r="F32" s="97">
        <v>150000</v>
      </c>
      <c r="G32" s="98">
        <v>100000</v>
      </c>
      <c r="H32" s="98"/>
      <c r="I32" s="96"/>
      <c r="J32" s="99" t="s">
        <v>165</v>
      </c>
      <c r="K32" s="100"/>
      <c r="L32" s="141" t="s">
        <v>236</v>
      </c>
    </row>
    <row r="33" spans="1:12" s="101" customFormat="1" ht="27" customHeight="1" thickBot="1">
      <c r="A33" s="94" t="s">
        <v>168</v>
      </c>
      <c r="B33" s="95">
        <v>600</v>
      </c>
      <c r="C33" s="95">
        <v>60014</v>
      </c>
      <c r="D33" s="95">
        <v>6050</v>
      </c>
      <c r="E33" s="136" t="s">
        <v>226</v>
      </c>
      <c r="F33" s="97">
        <f t="shared" ref="F33:F40" si="1">SUM(G33:H33)</f>
        <v>100000</v>
      </c>
      <c r="G33" s="98">
        <v>100000</v>
      </c>
      <c r="H33" s="98"/>
      <c r="I33" s="96"/>
      <c r="J33" s="99"/>
      <c r="K33" s="100"/>
      <c r="L33" s="100"/>
    </row>
    <row r="34" spans="1:12" s="101" customFormat="1" ht="27" customHeight="1" thickBot="1">
      <c r="A34" s="94" t="s">
        <v>169</v>
      </c>
      <c r="B34" s="95">
        <v>600</v>
      </c>
      <c r="C34" s="95">
        <v>60014</v>
      </c>
      <c r="D34" s="95">
        <v>6050</v>
      </c>
      <c r="E34" s="136" t="s">
        <v>227</v>
      </c>
      <c r="F34" s="97">
        <f t="shared" si="1"/>
        <v>300000</v>
      </c>
      <c r="G34" s="98">
        <v>300000</v>
      </c>
      <c r="H34" s="98"/>
      <c r="I34" s="96"/>
      <c r="J34" s="99"/>
      <c r="K34" s="100"/>
      <c r="L34" s="100"/>
    </row>
    <row r="35" spans="1:12" s="101" customFormat="1" ht="27" customHeight="1" thickBot="1">
      <c r="A35" s="94" t="s">
        <v>171</v>
      </c>
      <c r="B35" s="95">
        <v>600</v>
      </c>
      <c r="C35" s="95">
        <v>60014</v>
      </c>
      <c r="D35" s="95">
        <v>6050</v>
      </c>
      <c r="E35" s="136" t="s">
        <v>167</v>
      </c>
      <c r="F35" s="97">
        <f t="shared" si="1"/>
        <v>100000</v>
      </c>
      <c r="G35" s="98">
        <v>100000</v>
      </c>
      <c r="H35" s="98"/>
      <c r="I35" s="96"/>
      <c r="J35" s="99"/>
      <c r="K35" s="100"/>
      <c r="L35" s="141" t="s">
        <v>236</v>
      </c>
    </row>
    <row r="36" spans="1:12" s="101" customFormat="1" ht="27" customHeight="1" thickBot="1">
      <c r="A36" s="94" t="s">
        <v>172</v>
      </c>
      <c r="B36" s="95">
        <v>600</v>
      </c>
      <c r="C36" s="95">
        <v>60014</v>
      </c>
      <c r="D36" s="95">
        <v>6050</v>
      </c>
      <c r="E36" s="136" t="s">
        <v>279</v>
      </c>
      <c r="F36" s="97">
        <v>250000</v>
      </c>
      <c r="G36" s="98">
        <v>200000</v>
      </c>
      <c r="H36" s="98"/>
      <c r="I36" s="96"/>
      <c r="J36" s="99" t="s">
        <v>165</v>
      </c>
      <c r="K36" s="100"/>
      <c r="L36" s="141" t="s">
        <v>236</v>
      </c>
    </row>
    <row r="37" spans="1:12" s="101" customFormat="1" ht="27" customHeight="1" thickBot="1">
      <c r="A37" s="94" t="s">
        <v>173</v>
      </c>
      <c r="B37" s="95">
        <v>600</v>
      </c>
      <c r="C37" s="95">
        <v>60014</v>
      </c>
      <c r="D37" s="95">
        <v>6050</v>
      </c>
      <c r="E37" s="136" t="s">
        <v>170</v>
      </c>
      <c r="F37" s="97">
        <f t="shared" si="1"/>
        <v>300000</v>
      </c>
      <c r="G37" s="98">
        <v>300000</v>
      </c>
      <c r="H37" s="98"/>
      <c r="I37" s="96"/>
      <c r="J37" s="99"/>
      <c r="K37" s="100"/>
      <c r="L37" s="141" t="s">
        <v>236</v>
      </c>
    </row>
    <row r="38" spans="1:12" s="151" customFormat="1" ht="27" customHeight="1" thickBot="1">
      <c r="A38" s="94" t="s">
        <v>174</v>
      </c>
      <c r="B38" s="95">
        <v>600</v>
      </c>
      <c r="C38" s="95">
        <v>60014</v>
      </c>
      <c r="D38" s="95">
        <v>6050</v>
      </c>
      <c r="E38" s="136" t="s">
        <v>228</v>
      </c>
      <c r="F38" s="97">
        <f t="shared" si="1"/>
        <v>140000</v>
      </c>
      <c r="G38" s="98">
        <f>150000-10000</f>
        <v>140000</v>
      </c>
      <c r="H38" s="98"/>
      <c r="I38" s="96"/>
      <c r="J38" s="99"/>
      <c r="K38" s="100"/>
      <c r="L38" s="100"/>
    </row>
    <row r="39" spans="1:12" s="101" customFormat="1" ht="27" customHeight="1" thickBot="1">
      <c r="A39" s="94" t="s">
        <v>282</v>
      </c>
      <c r="B39" s="95">
        <v>600</v>
      </c>
      <c r="C39" s="95">
        <v>60014</v>
      </c>
      <c r="D39" s="95">
        <v>6050</v>
      </c>
      <c r="E39" s="134" t="s">
        <v>218</v>
      </c>
      <c r="F39" s="97">
        <f t="shared" si="1"/>
        <v>250000</v>
      </c>
      <c r="G39" s="98">
        <v>250000</v>
      </c>
      <c r="H39" s="98"/>
      <c r="I39" s="96"/>
      <c r="J39" s="99"/>
      <c r="K39" s="100"/>
      <c r="L39" s="141" t="s">
        <v>236</v>
      </c>
    </row>
    <row r="40" spans="1:12" s="101" customFormat="1" ht="27" customHeight="1" thickBot="1">
      <c r="A40" s="94" t="s">
        <v>283</v>
      </c>
      <c r="B40" s="95">
        <v>600</v>
      </c>
      <c r="C40" s="95">
        <v>60014</v>
      </c>
      <c r="D40" s="95">
        <v>6050</v>
      </c>
      <c r="E40" s="134" t="s">
        <v>229</v>
      </c>
      <c r="F40" s="97">
        <f t="shared" si="1"/>
        <v>250000</v>
      </c>
      <c r="G40" s="98">
        <v>250000</v>
      </c>
      <c r="H40" s="98"/>
      <c r="I40" s="96"/>
      <c r="J40" s="99"/>
      <c r="K40" s="100"/>
      <c r="L40" s="100"/>
    </row>
    <row r="41" spans="1:12" s="151" customFormat="1" ht="27" customHeight="1" thickBot="1">
      <c r="A41" s="94" t="s">
        <v>284</v>
      </c>
      <c r="B41" s="95">
        <v>600</v>
      </c>
      <c r="C41" s="95">
        <v>60014</v>
      </c>
      <c r="D41" s="95">
        <v>6050</v>
      </c>
      <c r="E41" s="134" t="s">
        <v>230</v>
      </c>
      <c r="F41" s="97">
        <v>340000</v>
      </c>
      <c r="G41" s="98">
        <f>100000+40000</f>
        <v>140000</v>
      </c>
      <c r="H41" s="98"/>
      <c r="I41" s="96"/>
      <c r="J41" s="99" t="s">
        <v>367</v>
      </c>
      <c r="K41" s="100"/>
      <c r="L41" s="100"/>
    </row>
    <row r="42" spans="1:12" s="151" customFormat="1" ht="39" customHeight="1" thickBot="1">
      <c r="A42" s="94" t="s">
        <v>285</v>
      </c>
      <c r="B42" s="95">
        <v>600</v>
      </c>
      <c r="C42" s="95">
        <v>60014</v>
      </c>
      <c r="D42" s="95">
        <v>6050</v>
      </c>
      <c r="E42" s="134" t="s">
        <v>231</v>
      </c>
      <c r="F42" s="97">
        <v>290000</v>
      </c>
      <c r="G42" s="98">
        <f>50000+40000</f>
        <v>90000</v>
      </c>
      <c r="H42" s="98"/>
      <c r="I42" s="96"/>
      <c r="J42" s="99" t="s">
        <v>367</v>
      </c>
      <c r="K42" s="100"/>
      <c r="L42" s="100"/>
    </row>
    <row r="43" spans="1:12" s="101" customFormat="1" ht="39" customHeight="1" thickBot="1">
      <c r="A43" s="94" t="s">
        <v>286</v>
      </c>
      <c r="B43" s="95">
        <v>600</v>
      </c>
      <c r="C43" s="95">
        <v>60014</v>
      </c>
      <c r="D43" s="95">
        <v>6050</v>
      </c>
      <c r="E43" s="134" t="s">
        <v>277</v>
      </c>
      <c r="F43" s="97">
        <f>SUM(G43:H43)</f>
        <v>0</v>
      </c>
      <c r="G43" s="98"/>
      <c r="H43" s="98">
        <f>500000-310000-190000</f>
        <v>0</v>
      </c>
      <c r="I43" s="96"/>
      <c r="J43" s="99"/>
      <c r="K43" s="100"/>
      <c r="L43" s="141" t="s">
        <v>236</v>
      </c>
    </row>
    <row r="44" spans="1:12" s="151" customFormat="1" ht="27" customHeight="1" thickBot="1">
      <c r="A44" s="94" t="s">
        <v>287</v>
      </c>
      <c r="B44" s="95">
        <v>600</v>
      </c>
      <c r="C44" s="95">
        <v>60014</v>
      </c>
      <c r="D44" s="95">
        <v>6050</v>
      </c>
      <c r="E44" s="134" t="s">
        <v>232</v>
      </c>
      <c r="F44" s="97">
        <v>350000</v>
      </c>
      <c r="G44" s="98">
        <f>100000+100000</f>
        <v>200000</v>
      </c>
      <c r="H44" s="98"/>
      <c r="I44" s="96"/>
      <c r="J44" s="99" t="s">
        <v>233</v>
      </c>
      <c r="K44" s="100"/>
      <c r="L44" s="100"/>
    </row>
    <row r="45" spans="1:12" s="101" customFormat="1" ht="27" customHeight="1" thickBot="1">
      <c r="A45" s="94" t="s">
        <v>288</v>
      </c>
      <c r="B45" s="95">
        <v>600</v>
      </c>
      <c r="C45" s="95">
        <v>60014</v>
      </c>
      <c r="D45" s="95">
        <v>6050</v>
      </c>
      <c r="E45" s="134" t="s">
        <v>234</v>
      </c>
      <c r="F45" s="97">
        <f>SUM(G45:H45)</f>
        <v>150000</v>
      </c>
      <c r="G45" s="98">
        <v>150000</v>
      </c>
      <c r="H45" s="98"/>
      <c r="I45" s="96"/>
      <c r="J45" s="99"/>
      <c r="K45" s="100"/>
      <c r="L45" s="100"/>
    </row>
    <row r="46" spans="1:12" s="101" customFormat="1" ht="27" customHeight="1" thickBot="1">
      <c r="A46" s="94" t="s">
        <v>289</v>
      </c>
      <c r="B46" s="95">
        <v>600</v>
      </c>
      <c r="C46" s="95">
        <v>60014</v>
      </c>
      <c r="D46" s="95">
        <v>6050</v>
      </c>
      <c r="E46" s="134" t="s">
        <v>175</v>
      </c>
      <c r="F46" s="97">
        <v>275000</v>
      </c>
      <c r="G46" s="98">
        <v>125000</v>
      </c>
      <c r="H46" s="98"/>
      <c r="I46" s="96"/>
      <c r="J46" s="99" t="s">
        <v>233</v>
      </c>
      <c r="K46" s="100"/>
      <c r="L46" s="141" t="s">
        <v>236</v>
      </c>
    </row>
    <row r="47" spans="1:12" s="101" customFormat="1" ht="27" customHeight="1" thickBot="1">
      <c r="A47" s="94" t="s">
        <v>290</v>
      </c>
      <c r="B47" s="95">
        <v>600</v>
      </c>
      <c r="C47" s="95">
        <v>60014</v>
      </c>
      <c r="D47" s="95">
        <v>6050</v>
      </c>
      <c r="E47" s="134" t="s">
        <v>334</v>
      </c>
      <c r="F47" s="97">
        <v>275000</v>
      </c>
      <c r="G47" s="98">
        <v>125000</v>
      </c>
      <c r="H47" s="98"/>
      <c r="I47" s="96"/>
      <c r="J47" s="99" t="s">
        <v>233</v>
      </c>
      <c r="K47" s="100"/>
      <c r="L47" s="100"/>
    </row>
    <row r="48" spans="1:12" s="101" customFormat="1" ht="27" customHeight="1" thickBot="1">
      <c r="A48" s="94" t="s">
        <v>291</v>
      </c>
      <c r="B48" s="95">
        <v>600</v>
      </c>
      <c r="C48" s="95">
        <v>60014</v>
      </c>
      <c r="D48" s="95">
        <v>6050</v>
      </c>
      <c r="E48" s="134" t="s">
        <v>235</v>
      </c>
      <c r="F48" s="97">
        <v>125000</v>
      </c>
      <c r="G48" s="98">
        <v>75000</v>
      </c>
      <c r="H48" s="98"/>
      <c r="I48" s="96"/>
      <c r="J48" s="99" t="s">
        <v>165</v>
      </c>
      <c r="K48" s="100"/>
      <c r="L48" s="100"/>
    </row>
    <row r="49" spans="1:12" s="101" customFormat="1" ht="27" customHeight="1" thickBot="1">
      <c r="A49" s="94" t="s">
        <v>251</v>
      </c>
      <c r="B49" s="95">
        <v>600</v>
      </c>
      <c r="C49" s="95">
        <v>60014</v>
      </c>
      <c r="D49" s="95">
        <v>6050</v>
      </c>
      <c r="E49" s="134" t="s">
        <v>176</v>
      </c>
      <c r="F49" s="97">
        <v>81000</v>
      </c>
      <c r="G49" s="98">
        <v>25000</v>
      </c>
      <c r="H49" s="98"/>
      <c r="I49" s="96"/>
      <c r="J49" s="99" t="s">
        <v>318</v>
      </c>
      <c r="K49" s="100"/>
      <c r="L49" s="141" t="s">
        <v>236</v>
      </c>
    </row>
    <row r="50" spans="1:12" s="101" customFormat="1" ht="39" customHeight="1" thickBot="1">
      <c r="A50" s="94" t="s">
        <v>252</v>
      </c>
      <c r="B50" s="95">
        <v>600</v>
      </c>
      <c r="C50" s="95">
        <v>60014</v>
      </c>
      <c r="D50" s="143">
        <v>6050</v>
      </c>
      <c r="E50" s="134" t="s">
        <v>268</v>
      </c>
      <c r="F50" s="102">
        <f>SUM(G50:H50)</f>
        <v>50000</v>
      </c>
      <c r="G50" s="98">
        <v>50000</v>
      </c>
      <c r="H50" s="98"/>
      <c r="I50" s="96"/>
      <c r="J50" s="99"/>
      <c r="K50" s="100"/>
      <c r="L50" s="95"/>
    </row>
    <row r="51" spans="1:12" s="258" customFormat="1" ht="39" customHeight="1" thickBot="1">
      <c r="A51" s="250" t="s">
        <v>253</v>
      </c>
      <c r="B51" s="251">
        <v>600</v>
      </c>
      <c r="C51" s="251">
        <v>60014</v>
      </c>
      <c r="D51" s="259">
        <v>6050</v>
      </c>
      <c r="E51" s="252" t="s">
        <v>278</v>
      </c>
      <c r="F51" s="253">
        <f>SUM(G51:H51)</f>
        <v>117000</v>
      </c>
      <c r="G51" s="254">
        <f>100000+17000</f>
        <v>117000</v>
      </c>
      <c r="H51" s="254"/>
      <c r="I51" s="255"/>
      <c r="J51" s="256"/>
      <c r="K51" s="257"/>
      <c r="L51" s="251"/>
    </row>
    <row r="52" spans="1:12" s="101" customFormat="1" ht="27" customHeight="1" thickBot="1">
      <c r="A52" s="94" t="s">
        <v>254</v>
      </c>
      <c r="B52" s="95">
        <v>600</v>
      </c>
      <c r="C52" s="95">
        <v>60014</v>
      </c>
      <c r="D52" s="143">
        <v>6050</v>
      </c>
      <c r="E52" s="134" t="s">
        <v>280</v>
      </c>
      <c r="F52" s="102">
        <f>SUM(G52:H52)</f>
        <v>100000</v>
      </c>
      <c r="G52" s="98">
        <v>100000</v>
      </c>
      <c r="H52" s="98"/>
      <c r="I52" s="96"/>
      <c r="J52" s="99"/>
      <c r="K52" s="100"/>
      <c r="L52" s="141" t="s">
        <v>236</v>
      </c>
    </row>
    <row r="53" spans="1:12" s="101" customFormat="1" ht="132.75" customHeight="1" thickBot="1">
      <c r="A53" s="94" t="s">
        <v>255</v>
      </c>
      <c r="B53" s="95">
        <v>600</v>
      </c>
      <c r="C53" s="95">
        <v>60014</v>
      </c>
      <c r="D53" s="143">
        <v>6050</v>
      </c>
      <c r="E53" s="134" t="s">
        <v>310</v>
      </c>
      <c r="F53" s="102">
        <f>SUM(G53:H53)</f>
        <v>400000</v>
      </c>
      <c r="G53" s="98">
        <v>400000</v>
      </c>
      <c r="H53" s="98"/>
      <c r="I53" s="96"/>
      <c r="J53" s="99"/>
      <c r="K53" s="100"/>
      <c r="L53" s="95"/>
    </row>
    <row r="54" spans="1:12" s="101" customFormat="1" ht="27" customHeight="1" thickBot="1">
      <c r="A54" s="94" t="s">
        <v>256</v>
      </c>
      <c r="B54" s="103">
        <v>600</v>
      </c>
      <c r="C54" s="103">
        <v>60014</v>
      </c>
      <c r="D54" s="104">
        <v>6050</v>
      </c>
      <c r="E54" s="137" t="s">
        <v>325</v>
      </c>
      <c r="F54" s="102">
        <v>15000</v>
      </c>
      <c r="G54" s="102"/>
      <c r="H54" s="102"/>
      <c r="I54" s="105"/>
      <c r="J54" s="185" t="s">
        <v>320</v>
      </c>
      <c r="K54" s="105"/>
      <c r="L54" s="96"/>
    </row>
    <row r="55" spans="1:12" s="101" customFormat="1" ht="27" customHeight="1" thickBot="1">
      <c r="A55" s="94" t="s">
        <v>257</v>
      </c>
      <c r="B55" s="103">
        <v>600</v>
      </c>
      <c r="C55" s="103">
        <v>60014</v>
      </c>
      <c r="D55" s="104">
        <v>6050</v>
      </c>
      <c r="E55" s="137" t="s">
        <v>327</v>
      </c>
      <c r="F55" s="102">
        <v>40000</v>
      </c>
      <c r="G55" s="102"/>
      <c r="H55" s="102"/>
      <c r="I55" s="105"/>
      <c r="J55" s="185" t="s">
        <v>328</v>
      </c>
      <c r="K55" s="105"/>
      <c r="L55" s="96"/>
    </row>
    <row r="56" spans="1:12" s="101" customFormat="1" ht="27" customHeight="1" thickBot="1">
      <c r="A56" s="94" t="s">
        <v>258</v>
      </c>
      <c r="B56" s="103">
        <v>600</v>
      </c>
      <c r="C56" s="103">
        <v>60014</v>
      </c>
      <c r="D56" s="104">
        <v>6050</v>
      </c>
      <c r="E56" s="137" t="s">
        <v>329</v>
      </c>
      <c r="F56" s="102">
        <v>65000</v>
      </c>
      <c r="G56" s="102"/>
      <c r="H56" s="102"/>
      <c r="I56" s="105"/>
      <c r="J56" s="99" t="s">
        <v>330</v>
      </c>
      <c r="K56" s="105"/>
      <c r="L56" s="141" t="s">
        <v>236</v>
      </c>
    </row>
    <row r="57" spans="1:12" s="151" customFormat="1" ht="33.75" customHeight="1" thickBot="1">
      <c r="A57" s="94" t="s">
        <v>259</v>
      </c>
      <c r="B57" s="95">
        <v>600</v>
      </c>
      <c r="C57" s="95">
        <v>60014</v>
      </c>
      <c r="D57" s="143">
        <v>6050</v>
      </c>
      <c r="E57" s="136" t="s">
        <v>343</v>
      </c>
      <c r="F57" s="97">
        <v>0</v>
      </c>
      <c r="G57" s="97"/>
      <c r="H57" s="97"/>
      <c r="I57" s="96"/>
      <c r="J57" s="95" t="s">
        <v>383</v>
      </c>
      <c r="K57" s="96"/>
      <c r="L57" s="96"/>
    </row>
    <row r="58" spans="1:12" s="151" customFormat="1" ht="27" customHeight="1" thickBot="1">
      <c r="A58" s="94" t="s">
        <v>260</v>
      </c>
      <c r="B58" s="95">
        <v>600</v>
      </c>
      <c r="C58" s="95">
        <v>60014</v>
      </c>
      <c r="D58" s="143">
        <v>6050</v>
      </c>
      <c r="E58" s="136" t="s">
        <v>360</v>
      </c>
      <c r="F58" s="97">
        <v>120000</v>
      </c>
      <c r="G58" s="97">
        <v>70000</v>
      </c>
      <c r="H58" s="97"/>
      <c r="I58" s="96"/>
      <c r="J58" s="99" t="s">
        <v>165</v>
      </c>
      <c r="K58" s="96"/>
      <c r="L58" s="141" t="s">
        <v>236</v>
      </c>
    </row>
    <row r="59" spans="1:12" s="151" customFormat="1" ht="27" customHeight="1" thickBot="1">
      <c r="A59" s="94" t="s">
        <v>269</v>
      </c>
      <c r="B59" s="95">
        <v>600</v>
      </c>
      <c r="C59" s="95">
        <v>60014</v>
      </c>
      <c r="D59" s="143">
        <v>6050</v>
      </c>
      <c r="E59" s="136" t="s">
        <v>361</v>
      </c>
      <c r="F59" s="97">
        <v>140000</v>
      </c>
      <c r="G59" s="97">
        <v>100000</v>
      </c>
      <c r="H59" s="97"/>
      <c r="I59" s="96"/>
      <c r="J59" s="99" t="s">
        <v>328</v>
      </c>
      <c r="K59" s="96"/>
      <c r="L59" s="141" t="s">
        <v>236</v>
      </c>
    </row>
    <row r="60" spans="1:12" s="151" customFormat="1" ht="27" customHeight="1" thickBot="1">
      <c r="A60" s="94" t="s">
        <v>270</v>
      </c>
      <c r="B60" s="95">
        <v>600</v>
      </c>
      <c r="C60" s="95">
        <v>60014</v>
      </c>
      <c r="D60" s="143">
        <v>6050</v>
      </c>
      <c r="E60" s="136" t="s">
        <v>362</v>
      </c>
      <c r="F60" s="97">
        <f>G60</f>
        <v>25000</v>
      </c>
      <c r="G60" s="97">
        <v>25000</v>
      </c>
      <c r="H60" s="97"/>
      <c r="I60" s="96"/>
      <c r="J60" s="99"/>
      <c r="K60" s="96"/>
      <c r="L60" s="95"/>
    </row>
    <row r="61" spans="1:12" s="151" customFormat="1" ht="27" customHeight="1" thickBot="1">
      <c r="A61" s="94" t="s">
        <v>271</v>
      </c>
      <c r="B61" s="95">
        <v>600</v>
      </c>
      <c r="C61" s="95">
        <v>60014</v>
      </c>
      <c r="D61" s="143">
        <v>6050</v>
      </c>
      <c r="E61" s="136" t="s">
        <v>363</v>
      </c>
      <c r="F61" s="97">
        <f>G61</f>
        <v>45000</v>
      </c>
      <c r="G61" s="97">
        <v>45000</v>
      </c>
      <c r="H61" s="97"/>
      <c r="I61" s="96"/>
      <c r="J61" s="99"/>
      <c r="K61" s="96"/>
      <c r="L61" s="95"/>
    </row>
    <row r="62" spans="1:12" s="151" customFormat="1" ht="27" customHeight="1" thickBot="1">
      <c r="A62" s="94" t="s">
        <v>272</v>
      </c>
      <c r="B62" s="95">
        <v>600</v>
      </c>
      <c r="C62" s="95">
        <v>60014</v>
      </c>
      <c r="D62" s="143">
        <v>6050</v>
      </c>
      <c r="E62" s="136" t="s">
        <v>364</v>
      </c>
      <c r="F62" s="97">
        <f>G62</f>
        <v>100000</v>
      </c>
      <c r="G62" s="97">
        <v>100000</v>
      </c>
      <c r="H62" s="97"/>
      <c r="I62" s="96"/>
      <c r="J62" s="99"/>
      <c r="K62" s="96"/>
      <c r="L62" s="95"/>
    </row>
    <row r="63" spans="1:12" s="151" customFormat="1" ht="27" customHeight="1" thickBot="1">
      <c r="A63" s="94" t="s">
        <v>273</v>
      </c>
      <c r="B63" s="95">
        <v>600</v>
      </c>
      <c r="C63" s="95">
        <v>60014</v>
      </c>
      <c r="D63" s="143">
        <v>6050</v>
      </c>
      <c r="E63" s="136" t="s">
        <v>358</v>
      </c>
      <c r="F63" s="97">
        <v>218000</v>
      </c>
      <c r="G63" s="97">
        <v>20000</v>
      </c>
      <c r="H63" s="97"/>
      <c r="I63" s="96"/>
      <c r="J63" s="99" t="s">
        <v>359</v>
      </c>
      <c r="K63" s="96"/>
      <c r="L63" s="96"/>
    </row>
    <row r="64" spans="1:12" s="258" customFormat="1" ht="35.25" customHeight="1" thickBot="1">
      <c r="A64" s="250" t="s">
        <v>274</v>
      </c>
      <c r="B64" s="251">
        <v>600</v>
      </c>
      <c r="C64" s="251">
        <v>60014</v>
      </c>
      <c r="D64" s="259">
        <v>6050</v>
      </c>
      <c r="E64" s="260" t="s">
        <v>407</v>
      </c>
      <c r="F64" s="253">
        <v>120000</v>
      </c>
      <c r="G64" s="253">
        <f>F64</f>
        <v>120000</v>
      </c>
      <c r="H64" s="253"/>
      <c r="I64" s="255"/>
      <c r="J64" s="256"/>
      <c r="K64" s="255"/>
      <c r="L64" s="255"/>
    </row>
    <row r="65" spans="1:12" s="151" customFormat="1" ht="35.25" customHeight="1" thickBot="1">
      <c r="A65" s="94" t="s">
        <v>292</v>
      </c>
      <c r="B65" s="95">
        <v>600</v>
      </c>
      <c r="C65" s="95">
        <v>60014</v>
      </c>
      <c r="D65" s="143">
        <v>6050</v>
      </c>
      <c r="E65" s="136" t="s">
        <v>420</v>
      </c>
      <c r="F65" s="97">
        <f>SUM(G65)</f>
        <v>20000</v>
      </c>
      <c r="G65" s="97">
        <v>20000</v>
      </c>
      <c r="H65" s="97"/>
      <c r="I65" s="96"/>
      <c r="J65" s="99"/>
      <c r="K65" s="96"/>
      <c r="L65" s="96"/>
    </row>
    <row r="66" spans="1:12" s="101" customFormat="1" ht="27" customHeight="1" thickBot="1">
      <c r="A66" s="250" t="s">
        <v>293</v>
      </c>
      <c r="B66" s="103">
        <v>600</v>
      </c>
      <c r="C66" s="103">
        <v>60014</v>
      </c>
      <c r="D66" s="104">
        <v>6060</v>
      </c>
      <c r="E66" s="137" t="s">
        <v>178</v>
      </c>
      <c r="F66" s="102">
        <f>SUM(G66:H66)</f>
        <v>300000</v>
      </c>
      <c r="G66" s="102">
        <v>300000</v>
      </c>
      <c r="H66" s="102"/>
      <c r="I66" s="105"/>
      <c r="J66" s="105"/>
      <c r="K66" s="105"/>
      <c r="L66" s="96"/>
    </row>
    <row r="67" spans="1:12" s="101" customFormat="1" ht="45" customHeight="1" thickBot="1">
      <c r="A67" s="94" t="s">
        <v>294</v>
      </c>
      <c r="B67" s="95">
        <v>600</v>
      </c>
      <c r="C67" s="95">
        <v>60014</v>
      </c>
      <c r="D67" s="95">
        <v>6610</v>
      </c>
      <c r="E67" s="135" t="s">
        <v>338</v>
      </c>
      <c r="F67" s="97">
        <f>SUM(G67:H67)</f>
        <v>100000</v>
      </c>
      <c r="G67" s="98">
        <v>100000</v>
      </c>
      <c r="H67" s="98"/>
      <c r="I67" s="96"/>
      <c r="J67" s="99"/>
      <c r="K67" s="100"/>
      <c r="L67" s="95"/>
    </row>
    <row r="68" spans="1:12" s="272" customFormat="1" ht="45" customHeight="1" thickBot="1">
      <c r="A68" s="293" t="s">
        <v>295</v>
      </c>
      <c r="B68" s="286">
        <v>600</v>
      </c>
      <c r="C68" s="286">
        <v>60014</v>
      </c>
      <c r="D68" s="286">
        <v>6610</v>
      </c>
      <c r="E68" s="394" t="s">
        <v>472</v>
      </c>
      <c r="F68" s="288">
        <v>30000</v>
      </c>
      <c r="G68" s="289">
        <v>30000</v>
      </c>
      <c r="H68" s="289"/>
      <c r="I68" s="290"/>
      <c r="J68" s="291"/>
      <c r="K68" s="292"/>
      <c r="L68" s="286"/>
    </row>
    <row r="69" spans="1:12" s="272" customFormat="1" ht="45" customHeight="1" thickBot="1">
      <c r="A69" s="285" t="s">
        <v>296</v>
      </c>
      <c r="B69" s="286">
        <v>600</v>
      </c>
      <c r="C69" s="286">
        <v>60014</v>
      </c>
      <c r="D69" s="286">
        <v>6610</v>
      </c>
      <c r="E69" s="287" t="s">
        <v>368</v>
      </c>
      <c r="F69" s="288">
        <f>G69</f>
        <v>0</v>
      </c>
      <c r="G69" s="289">
        <f>40000-40000</f>
        <v>0</v>
      </c>
      <c r="H69" s="289"/>
      <c r="I69" s="290"/>
      <c r="J69" s="291"/>
      <c r="K69" s="292"/>
      <c r="L69" s="286"/>
    </row>
    <row r="70" spans="1:12" s="272" customFormat="1" ht="45" customHeight="1" thickBot="1">
      <c r="A70" s="293" t="s">
        <v>305</v>
      </c>
      <c r="B70" s="286">
        <v>600</v>
      </c>
      <c r="C70" s="286">
        <v>60014</v>
      </c>
      <c r="D70" s="286">
        <v>6610</v>
      </c>
      <c r="E70" s="287" t="s">
        <v>369</v>
      </c>
      <c r="F70" s="288">
        <f>G70</f>
        <v>0</v>
      </c>
      <c r="G70" s="289">
        <f t="shared" ref="G70:G71" si="2">40000-40000</f>
        <v>0</v>
      </c>
      <c r="H70" s="289"/>
      <c r="I70" s="290"/>
      <c r="J70" s="291"/>
      <c r="K70" s="292"/>
      <c r="L70" s="286"/>
    </row>
    <row r="71" spans="1:12" s="272" customFormat="1" ht="45" customHeight="1" thickBot="1">
      <c r="A71" s="285" t="s">
        <v>297</v>
      </c>
      <c r="B71" s="286">
        <v>600</v>
      </c>
      <c r="C71" s="286">
        <v>60014</v>
      </c>
      <c r="D71" s="286">
        <v>6610</v>
      </c>
      <c r="E71" s="287" t="s">
        <v>370</v>
      </c>
      <c r="F71" s="288">
        <f>G71</f>
        <v>0</v>
      </c>
      <c r="G71" s="289">
        <f t="shared" si="2"/>
        <v>0</v>
      </c>
      <c r="H71" s="289"/>
      <c r="I71" s="290"/>
      <c r="J71" s="291"/>
      <c r="K71" s="292"/>
      <c r="L71" s="286"/>
    </row>
    <row r="72" spans="1:12" s="109" customFormat="1" ht="27" customHeight="1" thickBot="1">
      <c r="A72" s="402" t="s">
        <v>179</v>
      </c>
      <c r="B72" s="402"/>
      <c r="C72" s="402"/>
      <c r="D72" s="402"/>
      <c r="E72" s="402"/>
      <c r="F72" s="107">
        <f>SUM(F7:F71)</f>
        <v>30008975</v>
      </c>
      <c r="G72" s="107">
        <f>SUM(G7:G71)</f>
        <v>6847316</v>
      </c>
      <c r="H72" s="107">
        <f>SUM(H7:H71)</f>
        <v>6141584</v>
      </c>
      <c r="I72" s="107"/>
      <c r="J72" s="107">
        <f>20243728+458000+1318700-4761353-269000+30000</f>
        <v>17020075</v>
      </c>
      <c r="K72" s="108"/>
      <c r="L72" s="139"/>
    </row>
    <row r="73" spans="1:12" s="272" customFormat="1" ht="27" customHeight="1" thickBot="1">
      <c r="A73" s="285" t="s">
        <v>298</v>
      </c>
      <c r="B73" s="294">
        <v>700</v>
      </c>
      <c r="C73" s="294">
        <v>70005</v>
      </c>
      <c r="D73" s="294">
        <v>6050</v>
      </c>
      <c r="E73" s="295" t="s">
        <v>180</v>
      </c>
      <c r="F73" s="296">
        <f>SUM(G73:H73)</f>
        <v>2622705</v>
      </c>
      <c r="G73" s="288">
        <f>929546-258416-23546-114513+128250-115000-17697-11500</f>
        <v>517124</v>
      </c>
      <c r="H73" s="288">
        <f>1635856+258416+23546+114513-128250+75000+115000+11500</f>
        <v>2105581</v>
      </c>
      <c r="I73" s="290"/>
      <c r="J73" s="290"/>
      <c r="K73" s="290"/>
      <c r="L73" s="217" t="s">
        <v>236</v>
      </c>
    </row>
    <row r="74" spans="1:12" s="151" customFormat="1" ht="37.5" customHeight="1" thickBot="1">
      <c r="A74" s="94" t="s">
        <v>304</v>
      </c>
      <c r="B74" s="206">
        <v>700</v>
      </c>
      <c r="C74" s="206">
        <v>70005</v>
      </c>
      <c r="D74" s="206">
        <v>6050</v>
      </c>
      <c r="E74" s="207" t="s">
        <v>385</v>
      </c>
      <c r="F74" s="208">
        <f>SUM(G74)</f>
        <v>40000</v>
      </c>
      <c r="G74" s="97">
        <f>10000+30000</f>
        <v>40000</v>
      </c>
      <c r="H74" s="97"/>
      <c r="I74" s="96"/>
      <c r="J74" s="96"/>
      <c r="K74" s="96"/>
      <c r="L74" s="95"/>
    </row>
    <row r="75" spans="1:12" s="258" customFormat="1" ht="37.5" customHeight="1" thickBot="1">
      <c r="A75" s="94" t="s">
        <v>306</v>
      </c>
      <c r="B75" s="261">
        <v>700</v>
      </c>
      <c r="C75" s="261">
        <v>70005</v>
      </c>
      <c r="D75" s="261">
        <v>6050</v>
      </c>
      <c r="E75" s="262" t="s">
        <v>405</v>
      </c>
      <c r="F75" s="263">
        <f>G75</f>
        <v>7000</v>
      </c>
      <c r="G75" s="253">
        <v>7000</v>
      </c>
      <c r="H75" s="253"/>
      <c r="I75" s="255"/>
      <c r="J75" s="255"/>
      <c r="K75" s="257"/>
      <c r="L75" s="255"/>
    </row>
    <row r="76" spans="1:12" s="151" customFormat="1" ht="27" customHeight="1" thickBot="1">
      <c r="A76" s="94" t="s">
        <v>322</v>
      </c>
      <c r="B76" s="206">
        <v>700</v>
      </c>
      <c r="C76" s="206">
        <v>70005</v>
      </c>
      <c r="D76" s="206">
        <v>6060</v>
      </c>
      <c r="E76" s="207" t="s">
        <v>181</v>
      </c>
      <c r="F76" s="208">
        <f>SUM(G76:H76)</f>
        <v>0</v>
      </c>
      <c r="G76" s="97">
        <v>0</v>
      </c>
      <c r="H76" s="97"/>
      <c r="I76" s="96"/>
      <c r="J76" s="96"/>
      <c r="K76" s="96"/>
      <c r="L76" s="96"/>
    </row>
    <row r="77" spans="1:12" s="109" customFormat="1" ht="27" customHeight="1" thickBot="1">
      <c r="A77" s="402" t="s">
        <v>324</v>
      </c>
      <c r="B77" s="402"/>
      <c r="C77" s="402"/>
      <c r="D77" s="402"/>
      <c r="E77" s="402"/>
      <c r="F77" s="107">
        <f>SUM(F73:F76)</f>
        <v>2669705</v>
      </c>
      <c r="G77" s="107">
        <f>SUM(G73:G76)</f>
        <v>564124</v>
      </c>
      <c r="H77" s="107">
        <f>SUM(H73:H76)</f>
        <v>2105581</v>
      </c>
      <c r="I77" s="107"/>
      <c r="J77" s="107"/>
      <c r="K77" s="108"/>
      <c r="L77" s="139"/>
    </row>
    <row r="78" spans="1:12" s="151" customFormat="1" ht="27" customHeight="1" thickBot="1">
      <c r="A78" s="94" t="s">
        <v>323</v>
      </c>
      <c r="B78" s="206">
        <v>710</v>
      </c>
      <c r="C78" s="206">
        <v>71012</v>
      </c>
      <c r="D78" s="206">
        <v>6060</v>
      </c>
      <c r="E78" s="207" t="s">
        <v>182</v>
      </c>
      <c r="F78" s="208">
        <f>SUM(G78:H78)</f>
        <v>0</v>
      </c>
      <c r="G78" s="97">
        <v>0</v>
      </c>
      <c r="H78" s="97"/>
      <c r="I78" s="96"/>
      <c r="J78" s="96"/>
      <c r="K78" s="96"/>
      <c r="L78" s="96"/>
    </row>
    <row r="79" spans="1:12" s="109" customFormat="1" ht="27" customHeight="1" thickBot="1">
      <c r="A79" s="402" t="s">
        <v>183</v>
      </c>
      <c r="B79" s="402"/>
      <c r="C79" s="402"/>
      <c r="D79" s="402"/>
      <c r="E79" s="402"/>
      <c r="F79" s="107">
        <f>SUM(F78)</f>
        <v>0</v>
      </c>
      <c r="G79" s="107">
        <f>SUM(G78)</f>
        <v>0</v>
      </c>
      <c r="H79" s="107"/>
      <c r="I79" s="108"/>
      <c r="J79" s="108"/>
      <c r="K79" s="108"/>
      <c r="L79" s="139"/>
    </row>
    <row r="80" spans="1:12" s="320" customFormat="1" ht="43.5" customHeight="1" thickBot="1">
      <c r="A80" s="314" t="s">
        <v>331</v>
      </c>
      <c r="B80" s="315">
        <v>710</v>
      </c>
      <c r="C80" s="315">
        <v>71095</v>
      </c>
      <c r="D80" s="315">
        <v>6639</v>
      </c>
      <c r="E80" s="316" t="s">
        <v>101</v>
      </c>
      <c r="F80" s="317">
        <f>SUM(G80:H80)</f>
        <v>215077</v>
      </c>
      <c r="G80" s="318">
        <f>273680-58603</f>
        <v>215077</v>
      </c>
      <c r="H80" s="318"/>
      <c r="I80" s="319"/>
      <c r="J80" s="319"/>
      <c r="K80" s="319"/>
      <c r="L80" s="217" t="s">
        <v>236</v>
      </c>
    </row>
    <row r="81" spans="1:12" s="109" customFormat="1" ht="27" customHeight="1" thickBot="1">
      <c r="A81" s="402" t="s">
        <v>184</v>
      </c>
      <c r="B81" s="402"/>
      <c r="C81" s="402"/>
      <c r="D81" s="402"/>
      <c r="E81" s="402"/>
      <c r="F81" s="107">
        <f>SUM(F80)</f>
        <v>215077</v>
      </c>
      <c r="G81" s="107">
        <f>SUM(G80)</f>
        <v>215077</v>
      </c>
      <c r="H81" s="107"/>
      <c r="I81" s="108"/>
      <c r="J81" s="108"/>
      <c r="K81" s="108"/>
      <c r="L81" s="139"/>
    </row>
    <row r="82" spans="1:12" s="151" customFormat="1" ht="27" customHeight="1" thickBot="1">
      <c r="A82" s="94" t="s">
        <v>332</v>
      </c>
      <c r="B82" s="206">
        <v>750</v>
      </c>
      <c r="C82" s="95">
        <v>75011</v>
      </c>
      <c r="D82" s="95">
        <v>6060</v>
      </c>
      <c r="E82" s="135" t="s">
        <v>185</v>
      </c>
      <c r="F82" s="97">
        <f>SUM(G82:H82)</f>
        <v>0</v>
      </c>
      <c r="G82" s="97">
        <v>0</v>
      </c>
      <c r="H82" s="97"/>
      <c r="I82" s="96"/>
      <c r="J82" s="96"/>
      <c r="K82" s="96"/>
      <c r="L82" s="96"/>
    </row>
    <row r="83" spans="1:12" s="109" customFormat="1" ht="27" customHeight="1" thickBot="1">
      <c r="A83" s="402" t="s">
        <v>186</v>
      </c>
      <c r="B83" s="402"/>
      <c r="C83" s="402"/>
      <c r="D83" s="402"/>
      <c r="E83" s="402"/>
      <c r="F83" s="107">
        <f>SUM(F82:F82)</f>
        <v>0</v>
      </c>
      <c r="G83" s="107">
        <f>SUM(G82:G82)</f>
        <v>0</v>
      </c>
      <c r="H83" s="107"/>
      <c r="I83" s="108"/>
      <c r="J83" s="108"/>
      <c r="K83" s="108"/>
      <c r="L83" s="139"/>
    </row>
    <row r="84" spans="1:12" s="272" customFormat="1" ht="27" customHeight="1" thickBot="1">
      <c r="A84" s="285" t="s">
        <v>333</v>
      </c>
      <c r="B84" s="294">
        <v>750</v>
      </c>
      <c r="C84" s="286">
        <v>75019</v>
      </c>
      <c r="D84" s="286">
        <v>6060</v>
      </c>
      <c r="E84" s="297" t="s">
        <v>392</v>
      </c>
      <c r="F84" s="288">
        <f>SUM(G84:H84)</f>
        <v>24598</v>
      </c>
      <c r="G84" s="288">
        <f>30000-5402</f>
        <v>24598</v>
      </c>
      <c r="H84" s="288"/>
      <c r="I84" s="290"/>
      <c r="J84" s="290"/>
      <c r="K84" s="290"/>
      <c r="L84" s="290"/>
    </row>
    <row r="85" spans="1:12" s="109" customFormat="1" ht="27" customHeight="1" thickBot="1">
      <c r="A85" s="405" t="s">
        <v>246</v>
      </c>
      <c r="B85" s="405"/>
      <c r="C85" s="405"/>
      <c r="D85" s="405"/>
      <c r="E85" s="405"/>
      <c r="F85" s="144">
        <f>SUM(F84:F84)</f>
        <v>24598</v>
      </c>
      <c r="G85" s="144">
        <f>SUM(G84:G84)</f>
        <v>24598</v>
      </c>
      <c r="H85" s="144"/>
      <c r="I85" s="145"/>
      <c r="J85" s="145"/>
      <c r="K85" s="145"/>
      <c r="L85" s="146"/>
    </row>
    <row r="86" spans="1:12" s="272" customFormat="1" ht="51.75" customHeight="1" thickBot="1">
      <c r="A86" s="273" t="s">
        <v>335</v>
      </c>
      <c r="B86" s="273">
        <v>750</v>
      </c>
      <c r="C86" s="273">
        <v>75020</v>
      </c>
      <c r="D86" s="273">
        <v>6050</v>
      </c>
      <c r="E86" s="274" t="s">
        <v>303</v>
      </c>
      <c r="F86" s="275">
        <f>SUM(G86:H86)</f>
        <v>0</v>
      </c>
      <c r="G86" s="275">
        <v>0</v>
      </c>
      <c r="H86" s="275"/>
      <c r="I86" s="276"/>
      <c r="J86" s="276"/>
      <c r="K86" s="276"/>
      <c r="L86" s="264" t="s">
        <v>236</v>
      </c>
    </row>
    <row r="87" spans="1:12" s="272" customFormat="1" ht="27" customHeight="1" thickBot="1">
      <c r="A87" s="298" t="s">
        <v>339</v>
      </c>
      <c r="B87" s="299">
        <v>750</v>
      </c>
      <c r="C87" s="300">
        <v>75020</v>
      </c>
      <c r="D87" s="301">
        <v>6060</v>
      </c>
      <c r="E87" s="302" t="s">
        <v>187</v>
      </c>
      <c r="F87" s="303">
        <f>SUM(G87:H87)</f>
        <v>44686</v>
      </c>
      <c r="G87" s="303">
        <f>76000-19690-11624</f>
        <v>44686</v>
      </c>
      <c r="H87" s="303"/>
      <c r="I87" s="304"/>
      <c r="J87" s="304"/>
      <c r="K87" s="305"/>
      <c r="L87" s="305"/>
    </row>
    <row r="88" spans="1:12" s="109" customFormat="1" ht="27" customHeight="1" thickBot="1">
      <c r="A88" s="406" t="s">
        <v>188</v>
      </c>
      <c r="B88" s="406"/>
      <c r="C88" s="406"/>
      <c r="D88" s="407"/>
      <c r="E88" s="407"/>
      <c r="F88" s="196">
        <f>SUM(F86:F87)</f>
        <v>44686</v>
      </c>
      <c r="G88" s="196">
        <f>SUM(G86:G87)</f>
        <v>44686</v>
      </c>
      <c r="H88" s="196"/>
      <c r="I88" s="197"/>
      <c r="J88" s="197"/>
      <c r="K88" s="145"/>
      <c r="L88" s="139"/>
    </row>
    <row r="89" spans="1:12" s="151" customFormat="1" ht="32.25" customHeight="1" thickBot="1">
      <c r="A89" s="95" t="s">
        <v>340</v>
      </c>
      <c r="B89" s="95">
        <v>752</v>
      </c>
      <c r="C89" s="95">
        <v>75295</v>
      </c>
      <c r="D89" s="95">
        <v>6060</v>
      </c>
      <c r="E89" s="205" t="s">
        <v>351</v>
      </c>
      <c r="F89" s="97">
        <v>15473</v>
      </c>
      <c r="G89" s="97"/>
      <c r="H89" s="97"/>
      <c r="I89" s="96"/>
      <c r="J89" s="99" t="s">
        <v>352</v>
      </c>
      <c r="K89" s="96"/>
      <c r="L89" s="96"/>
    </row>
    <row r="90" spans="1:12" s="109" customFormat="1" ht="27" customHeight="1" thickBot="1">
      <c r="A90" s="402" t="s">
        <v>353</v>
      </c>
      <c r="B90" s="402"/>
      <c r="C90" s="402"/>
      <c r="D90" s="408"/>
      <c r="E90" s="409"/>
      <c r="F90" s="248">
        <f>SUM(F89)</f>
        <v>15473</v>
      </c>
      <c r="G90" s="248">
        <f>SUM(G89)</f>
        <v>0</v>
      </c>
      <c r="H90" s="248">
        <f t="shared" ref="H90:I90" si="3">SUM(H89)</f>
        <v>0</v>
      </c>
      <c r="I90" s="248">
        <f t="shared" si="3"/>
        <v>0</v>
      </c>
      <c r="J90" s="249">
        <v>15473</v>
      </c>
      <c r="K90" s="198"/>
      <c r="L90" s="139"/>
    </row>
    <row r="91" spans="1:12" s="151" customFormat="1" ht="36" customHeight="1" thickBot="1">
      <c r="A91" s="214" t="s">
        <v>371</v>
      </c>
      <c r="B91" s="215">
        <v>754</v>
      </c>
      <c r="C91" s="215">
        <v>75404</v>
      </c>
      <c r="D91" s="215">
        <v>6170</v>
      </c>
      <c r="E91" s="277" t="s">
        <v>248</v>
      </c>
      <c r="F91" s="278">
        <f>SUM(G91:H91)</f>
        <v>65000</v>
      </c>
      <c r="G91" s="279">
        <f>70000-5000</f>
        <v>65000</v>
      </c>
      <c r="H91" s="279"/>
      <c r="I91" s="216"/>
      <c r="J91" s="216"/>
      <c r="K91" s="96"/>
      <c r="L91" s="96"/>
    </row>
    <row r="92" spans="1:12" s="109" customFormat="1" ht="27" customHeight="1" thickBot="1">
      <c r="A92" s="402" t="s">
        <v>189</v>
      </c>
      <c r="B92" s="402"/>
      <c r="C92" s="402"/>
      <c r="D92" s="402"/>
      <c r="E92" s="402"/>
      <c r="F92" s="107">
        <f>SUM(F91)</f>
        <v>65000</v>
      </c>
      <c r="G92" s="107">
        <f>SUM(G91)</f>
        <v>65000</v>
      </c>
      <c r="H92" s="107"/>
      <c r="I92" s="108"/>
      <c r="J92" s="108"/>
      <c r="K92" s="108"/>
      <c r="L92" s="139"/>
    </row>
    <row r="93" spans="1:12" s="283" customFormat="1" ht="31.5" customHeight="1" thickBot="1">
      <c r="A93" s="95" t="s">
        <v>372</v>
      </c>
      <c r="B93" s="205">
        <v>754</v>
      </c>
      <c r="C93" s="205">
        <v>75410</v>
      </c>
      <c r="D93" s="205">
        <v>6170</v>
      </c>
      <c r="E93" s="205" t="s">
        <v>418</v>
      </c>
      <c r="F93" s="280">
        <f>G93</f>
        <v>40000</v>
      </c>
      <c r="G93" s="281">
        <v>40000</v>
      </c>
      <c r="H93" s="282"/>
      <c r="I93" s="205"/>
      <c r="J93" s="205"/>
      <c r="K93" s="205"/>
      <c r="L93" s="205"/>
    </row>
    <row r="94" spans="1:12" s="109" customFormat="1" ht="27" customHeight="1" thickBot="1">
      <c r="A94" s="402" t="s">
        <v>416</v>
      </c>
      <c r="B94" s="402"/>
      <c r="C94" s="402"/>
      <c r="D94" s="402"/>
      <c r="E94" s="402"/>
      <c r="F94" s="171">
        <f>SUM(F93)</f>
        <v>40000</v>
      </c>
      <c r="G94" s="171">
        <f>SUM(G93)</f>
        <v>40000</v>
      </c>
      <c r="H94" s="107"/>
      <c r="I94" s="108"/>
      <c r="J94" s="108"/>
      <c r="K94" s="108"/>
      <c r="L94" s="139"/>
    </row>
    <row r="95" spans="1:12" s="272" customFormat="1" ht="27" customHeight="1" thickBot="1">
      <c r="A95" s="285" t="s">
        <v>373</v>
      </c>
      <c r="B95" s="294">
        <v>801</v>
      </c>
      <c r="C95" s="294">
        <v>80115</v>
      </c>
      <c r="D95" s="294">
        <v>6050</v>
      </c>
      <c r="E95" s="295" t="s">
        <v>384</v>
      </c>
      <c r="F95" s="296">
        <f>SUM(G95:H95)</f>
        <v>307207</v>
      </c>
      <c r="G95" s="288">
        <f>265000+30000+15166-2959</f>
        <v>307207</v>
      </c>
      <c r="H95" s="288"/>
      <c r="I95" s="290"/>
      <c r="J95" s="290"/>
      <c r="K95" s="290"/>
      <c r="L95" s="290"/>
    </row>
    <row r="96" spans="1:12" s="258" customFormat="1" ht="42.75" customHeight="1" thickBot="1">
      <c r="A96" s="250" t="s">
        <v>374</v>
      </c>
      <c r="B96" s="261">
        <v>801</v>
      </c>
      <c r="C96" s="261">
        <v>80115</v>
      </c>
      <c r="D96" s="261">
        <v>6050</v>
      </c>
      <c r="E96" s="265" t="s">
        <v>341</v>
      </c>
      <c r="F96" s="263">
        <v>0</v>
      </c>
      <c r="G96" s="253">
        <v>0</v>
      </c>
      <c r="H96" s="253"/>
      <c r="I96" s="255"/>
      <c r="J96" s="255"/>
      <c r="K96" s="257" t="s">
        <v>261</v>
      </c>
      <c r="L96" s="255"/>
    </row>
    <row r="97" spans="1:12" s="151" customFormat="1" ht="27.75" customHeight="1" thickBot="1">
      <c r="A97" s="94" t="s">
        <v>375</v>
      </c>
      <c r="B97" s="206">
        <v>801</v>
      </c>
      <c r="C97" s="206">
        <v>80115</v>
      </c>
      <c r="D97" s="206">
        <v>6050</v>
      </c>
      <c r="E97" s="207" t="s">
        <v>354</v>
      </c>
      <c r="F97" s="208">
        <v>197000</v>
      </c>
      <c r="G97" s="97"/>
      <c r="H97" s="97">
        <v>49250</v>
      </c>
      <c r="I97" s="96"/>
      <c r="J97" s="99" t="s">
        <v>350</v>
      </c>
      <c r="K97" s="100"/>
      <c r="L97" s="96"/>
    </row>
    <row r="98" spans="1:12" s="151" customFormat="1" ht="34.5" customHeight="1" thickBot="1">
      <c r="A98" s="94" t="s">
        <v>376</v>
      </c>
      <c r="B98" s="206">
        <v>801</v>
      </c>
      <c r="C98" s="206">
        <v>80115</v>
      </c>
      <c r="D98" s="206">
        <v>6050</v>
      </c>
      <c r="E98" s="207" t="s">
        <v>424</v>
      </c>
      <c r="F98" s="208">
        <f>G98</f>
        <v>32000</v>
      </c>
      <c r="G98" s="97">
        <v>32000</v>
      </c>
      <c r="H98" s="97"/>
      <c r="I98" s="96"/>
      <c r="J98" s="99"/>
      <c r="K98" s="100" t="s">
        <v>419</v>
      </c>
      <c r="L98" s="96"/>
    </row>
    <row r="99" spans="1:12" s="109" customFormat="1" ht="27" customHeight="1" thickBot="1">
      <c r="A99" s="402" t="s">
        <v>244</v>
      </c>
      <c r="B99" s="402"/>
      <c r="C99" s="402"/>
      <c r="D99" s="402"/>
      <c r="E99" s="402"/>
      <c r="F99" s="107">
        <f>SUM(F95:F98)</f>
        <v>536207</v>
      </c>
      <c r="G99" s="107">
        <f t="shared" ref="G99:H99" si="4">SUM(G95:G98)</f>
        <v>339207</v>
      </c>
      <c r="H99" s="107">
        <f t="shared" si="4"/>
        <v>49250</v>
      </c>
      <c r="I99" s="107">
        <f t="shared" ref="I99" si="5">SUM(I95:I97)</f>
        <v>0</v>
      </c>
      <c r="J99" s="107">
        <v>147750</v>
      </c>
      <c r="K99" s="108"/>
      <c r="L99" s="139"/>
    </row>
    <row r="100" spans="1:12" s="313" customFormat="1" ht="42" customHeight="1" thickBot="1">
      <c r="A100" s="293" t="s">
        <v>377</v>
      </c>
      <c r="B100" s="306">
        <v>801</v>
      </c>
      <c r="C100" s="306">
        <v>80120</v>
      </c>
      <c r="D100" s="306">
        <v>6580</v>
      </c>
      <c r="E100" s="307" t="s">
        <v>406</v>
      </c>
      <c r="F100" s="308">
        <f>SUM(G100:H100)</f>
        <v>574954</v>
      </c>
      <c r="G100" s="309"/>
      <c r="H100" s="309">
        <f>600000-23546-1500</f>
        <v>574954</v>
      </c>
      <c r="I100" s="310"/>
      <c r="J100" s="310"/>
      <c r="K100" s="310"/>
      <c r="L100" s="217" t="s">
        <v>236</v>
      </c>
    </row>
    <row r="101" spans="1:12" s="313" customFormat="1" ht="42" customHeight="1" thickBot="1">
      <c r="A101" s="293" t="s">
        <v>378</v>
      </c>
      <c r="B101" s="306">
        <v>801</v>
      </c>
      <c r="C101" s="306">
        <v>80120</v>
      </c>
      <c r="D101" s="306">
        <v>6580</v>
      </c>
      <c r="E101" s="307" t="s">
        <v>411</v>
      </c>
      <c r="F101" s="308">
        <f>H101</f>
        <v>0</v>
      </c>
      <c r="G101" s="309"/>
      <c r="H101" s="309">
        <f>10000-10000</f>
        <v>0</v>
      </c>
      <c r="I101" s="310"/>
      <c r="J101" s="310"/>
      <c r="K101" s="310"/>
      <c r="L101" s="312"/>
    </row>
    <row r="102" spans="1:12" s="313" customFormat="1" ht="42" customHeight="1" thickBot="1">
      <c r="A102" s="293" t="s">
        <v>379</v>
      </c>
      <c r="B102" s="306">
        <v>801</v>
      </c>
      <c r="C102" s="306">
        <v>80120</v>
      </c>
      <c r="D102" s="306">
        <v>6050</v>
      </c>
      <c r="E102" s="307" t="s">
        <v>342</v>
      </c>
      <c r="F102" s="308">
        <f>G102</f>
        <v>142150</v>
      </c>
      <c r="G102" s="309">
        <f>150000-7850</f>
        <v>142150</v>
      </c>
      <c r="H102" s="309"/>
      <c r="I102" s="310"/>
      <c r="J102" s="310"/>
      <c r="K102" s="311" t="s">
        <v>261</v>
      </c>
      <c r="L102" s="312"/>
    </row>
    <row r="103" spans="1:12" s="109" customFormat="1" ht="27" customHeight="1" thickBot="1">
      <c r="A103" s="402" t="s">
        <v>190</v>
      </c>
      <c r="B103" s="402"/>
      <c r="C103" s="402"/>
      <c r="D103" s="402"/>
      <c r="E103" s="402"/>
      <c r="F103" s="107">
        <f>SUM(F100:F102)</f>
        <v>717104</v>
      </c>
      <c r="G103" s="107">
        <f>SUM(G100:G102)</f>
        <v>142150</v>
      </c>
      <c r="H103" s="107">
        <f>SUM(H100:H102)</f>
        <v>574954</v>
      </c>
      <c r="I103" s="108"/>
      <c r="J103" s="108"/>
      <c r="K103" s="108"/>
      <c r="L103" s="139"/>
    </row>
    <row r="104" spans="1:12" s="258" customFormat="1" ht="40.5" customHeight="1" thickBot="1">
      <c r="A104" s="250" t="s">
        <v>380</v>
      </c>
      <c r="B104" s="261">
        <v>851</v>
      </c>
      <c r="C104" s="261">
        <v>85111</v>
      </c>
      <c r="D104" s="261">
        <v>6010</v>
      </c>
      <c r="E104" s="265" t="s">
        <v>191</v>
      </c>
      <c r="F104" s="263">
        <f>SUM(G104:H104)</f>
        <v>1990450</v>
      </c>
      <c r="G104" s="253">
        <f>2000000-9550</f>
        <v>1990450</v>
      </c>
      <c r="H104" s="253"/>
      <c r="I104" s="255"/>
      <c r="J104" s="255"/>
      <c r="K104" s="255"/>
      <c r="L104" s="255"/>
    </row>
    <row r="105" spans="1:12" s="258" customFormat="1" ht="40.5" customHeight="1" thickBot="1">
      <c r="A105" s="250" t="s">
        <v>381</v>
      </c>
      <c r="B105" s="261">
        <v>851</v>
      </c>
      <c r="C105" s="261">
        <v>85111</v>
      </c>
      <c r="D105" s="261">
        <v>6230</v>
      </c>
      <c r="E105" s="265" t="s">
        <v>413</v>
      </c>
      <c r="F105" s="263">
        <f>H105</f>
        <v>300000</v>
      </c>
      <c r="G105" s="253"/>
      <c r="H105" s="253">
        <v>300000</v>
      </c>
      <c r="I105" s="255"/>
      <c r="J105" s="255"/>
      <c r="K105" s="255"/>
      <c r="L105" s="255"/>
    </row>
    <row r="106" spans="1:12" s="109" customFormat="1" ht="27" customHeight="1" thickBot="1">
      <c r="A106" s="402" t="s">
        <v>192</v>
      </c>
      <c r="B106" s="402"/>
      <c r="C106" s="402"/>
      <c r="D106" s="402"/>
      <c r="E106" s="402"/>
      <c r="F106" s="107">
        <f>SUM(F104:F105)</f>
        <v>2290450</v>
      </c>
      <c r="G106" s="107">
        <f>SUM(G104:G105)</f>
        <v>1990450</v>
      </c>
      <c r="H106" s="107">
        <f>SUM(H104:H105)</f>
        <v>300000</v>
      </c>
      <c r="I106" s="108"/>
      <c r="J106" s="108"/>
      <c r="K106" s="108"/>
      <c r="L106" s="139"/>
    </row>
    <row r="107" spans="1:12" s="101" customFormat="1" ht="41.25" customHeight="1" thickBot="1">
      <c r="A107" s="106" t="s">
        <v>382</v>
      </c>
      <c r="B107" s="110">
        <v>852</v>
      </c>
      <c r="C107" s="110">
        <v>85202</v>
      </c>
      <c r="D107" s="110">
        <v>6050</v>
      </c>
      <c r="E107" s="111" t="s">
        <v>193</v>
      </c>
      <c r="F107" s="112">
        <f t="shared" ref="F107:F111" si="6">SUM(G107:H107)</f>
        <v>68000</v>
      </c>
      <c r="G107" s="102">
        <v>68000</v>
      </c>
      <c r="H107" s="102"/>
      <c r="I107" s="105"/>
      <c r="J107" s="105"/>
      <c r="K107" s="105"/>
      <c r="L107" s="141" t="s">
        <v>236</v>
      </c>
    </row>
    <row r="108" spans="1:12" s="258" customFormat="1" ht="34.5" customHeight="1" thickBot="1">
      <c r="A108" s="250" t="s">
        <v>387</v>
      </c>
      <c r="B108" s="261">
        <v>852</v>
      </c>
      <c r="C108" s="261">
        <v>85202</v>
      </c>
      <c r="D108" s="261">
        <v>6050</v>
      </c>
      <c r="E108" s="265" t="s">
        <v>238</v>
      </c>
      <c r="F108" s="263">
        <f t="shared" si="6"/>
        <v>88450</v>
      </c>
      <c r="G108" s="253">
        <f>70000+18450</f>
        <v>88450</v>
      </c>
      <c r="H108" s="253"/>
      <c r="I108" s="255"/>
      <c r="J108" s="255"/>
      <c r="K108" s="257" t="s">
        <v>261</v>
      </c>
      <c r="L108" s="141" t="s">
        <v>236</v>
      </c>
    </row>
    <row r="109" spans="1:12" s="101" customFormat="1" ht="39.75" customHeight="1" thickBot="1">
      <c r="A109" s="106" t="s">
        <v>404</v>
      </c>
      <c r="B109" s="110">
        <v>852</v>
      </c>
      <c r="C109" s="110">
        <v>85202</v>
      </c>
      <c r="D109" s="110">
        <v>6050</v>
      </c>
      <c r="E109" s="111" t="s">
        <v>239</v>
      </c>
      <c r="F109" s="112">
        <f t="shared" si="6"/>
        <v>35000</v>
      </c>
      <c r="G109" s="102">
        <v>35000</v>
      </c>
      <c r="H109" s="102"/>
      <c r="I109" s="105"/>
      <c r="J109" s="105"/>
      <c r="K109" s="142" t="s">
        <v>240</v>
      </c>
      <c r="L109" s="96"/>
    </row>
    <row r="110" spans="1:12" s="101" customFormat="1" ht="40.5" customHeight="1" thickBot="1">
      <c r="A110" s="250" t="s">
        <v>408</v>
      </c>
      <c r="B110" s="110">
        <v>852</v>
      </c>
      <c r="C110" s="110">
        <v>85202</v>
      </c>
      <c r="D110" s="110">
        <v>6050</v>
      </c>
      <c r="E110" s="111" t="s">
        <v>241</v>
      </c>
      <c r="F110" s="112">
        <f t="shared" si="6"/>
        <v>20000</v>
      </c>
      <c r="G110" s="102">
        <v>20000</v>
      </c>
      <c r="H110" s="102"/>
      <c r="I110" s="105"/>
      <c r="J110" s="105"/>
      <c r="K110" s="105"/>
      <c r="L110" s="96"/>
    </row>
    <row r="111" spans="1:12" s="320" customFormat="1" ht="27" customHeight="1" thickBot="1">
      <c r="A111" s="314" t="s">
        <v>409</v>
      </c>
      <c r="B111" s="315">
        <v>852</v>
      </c>
      <c r="C111" s="315">
        <v>85202</v>
      </c>
      <c r="D111" s="315">
        <v>6060</v>
      </c>
      <c r="E111" s="316" t="s">
        <v>242</v>
      </c>
      <c r="F111" s="317">
        <f t="shared" si="6"/>
        <v>3566</v>
      </c>
      <c r="G111" s="318">
        <f>5000-1434</f>
        <v>3566</v>
      </c>
      <c r="H111" s="318"/>
      <c r="I111" s="319"/>
      <c r="J111" s="319"/>
      <c r="K111" s="319"/>
      <c r="L111" s="290"/>
    </row>
    <row r="112" spans="1:12" s="109" customFormat="1" ht="27" customHeight="1" thickBot="1">
      <c r="A112" s="402" t="s">
        <v>194</v>
      </c>
      <c r="B112" s="402"/>
      <c r="C112" s="402"/>
      <c r="D112" s="402"/>
      <c r="E112" s="402"/>
      <c r="F112" s="107">
        <f>SUM(F107:F111)</f>
        <v>215016</v>
      </c>
      <c r="G112" s="107">
        <f>SUM(G107:G111)</f>
        <v>215016</v>
      </c>
      <c r="H112" s="107"/>
      <c r="I112" s="108"/>
      <c r="J112" s="108"/>
      <c r="K112" s="108"/>
      <c r="L112" s="139"/>
    </row>
    <row r="113" spans="1:12" s="101" customFormat="1" ht="27" customHeight="1" thickBot="1">
      <c r="A113" s="106" t="s">
        <v>412</v>
      </c>
      <c r="B113" s="110">
        <v>852</v>
      </c>
      <c r="C113" s="110">
        <v>85218</v>
      </c>
      <c r="D113" s="110">
        <v>6060</v>
      </c>
      <c r="E113" s="111" t="s">
        <v>247</v>
      </c>
      <c r="F113" s="112">
        <f>SUM(G113:H113)</f>
        <v>10000</v>
      </c>
      <c r="G113" s="102">
        <v>10000</v>
      </c>
      <c r="H113" s="102"/>
      <c r="I113" s="105"/>
      <c r="J113" s="105"/>
      <c r="K113" s="105"/>
      <c r="L113" s="96"/>
    </row>
    <row r="114" spans="1:12" s="109" customFormat="1" ht="27" customHeight="1" thickBot="1">
      <c r="A114" s="402" t="s">
        <v>414</v>
      </c>
      <c r="B114" s="402"/>
      <c r="C114" s="402"/>
      <c r="D114" s="402"/>
      <c r="E114" s="402"/>
      <c r="F114" s="107">
        <f>SUM(F113:F113)</f>
        <v>10000</v>
      </c>
      <c r="G114" s="107">
        <f>SUM(G113:G113)</f>
        <v>10000</v>
      </c>
      <c r="H114" s="107"/>
      <c r="I114" s="108"/>
      <c r="J114" s="108"/>
      <c r="K114" s="108"/>
      <c r="L114" s="139"/>
    </row>
    <row r="115" spans="1:12" s="272" customFormat="1" ht="27" customHeight="1" thickBot="1">
      <c r="A115" s="286" t="s">
        <v>421</v>
      </c>
      <c r="B115" s="286">
        <v>852</v>
      </c>
      <c r="C115" s="286">
        <v>85295</v>
      </c>
      <c r="D115" s="286">
        <v>6050</v>
      </c>
      <c r="E115" s="321" t="s">
        <v>471</v>
      </c>
      <c r="F115" s="296">
        <f>SUM(G115:H115)</f>
        <v>86327</v>
      </c>
      <c r="G115" s="288">
        <f>67500+19000-173</f>
        <v>86327</v>
      </c>
      <c r="H115" s="288"/>
      <c r="I115" s="290"/>
      <c r="J115" s="291"/>
      <c r="K115" s="290"/>
      <c r="L115" s="290"/>
    </row>
    <row r="116" spans="1:12" s="109" customFormat="1" ht="27" customHeight="1" thickBot="1">
      <c r="A116" s="408" t="s">
        <v>321</v>
      </c>
      <c r="B116" s="413"/>
      <c r="C116" s="413"/>
      <c r="D116" s="413"/>
      <c r="E116" s="414"/>
      <c r="F116" s="171">
        <f>F115</f>
        <v>86327</v>
      </c>
      <c r="G116" s="171">
        <f>SUM(G115)</f>
        <v>86327</v>
      </c>
      <c r="H116" s="107"/>
      <c r="I116" s="108"/>
      <c r="J116" s="172"/>
      <c r="K116" s="108"/>
      <c r="L116" s="139"/>
    </row>
    <row r="117" spans="1:12" s="320" customFormat="1" ht="36" customHeight="1" thickBot="1">
      <c r="A117" s="314" t="s">
        <v>422</v>
      </c>
      <c r="B117" s="315">
        <v>855</v>
      </c>
      <c r="C117" s="315">
        <v>85504</v>
      </c>
      <c r="D117" s="315">
        <v>6050</v>
      </c>
      <c r="E117" s="316" t="s">
        <v>250</v>
      </c>
      <c r="F117" s="317">
        <f>SUM(G117:H117)</f>
        <v>24600</v>
      </c>
      <c r="G117" s="318">
        <f>30000-5400</f>
        <v>24600</v>
      </c>
      <c r="H117" s="318"/>
      <c r="I117" s="319"/>
      <c r="J117" s="319"/>
      <c r="K117" s="322" t="s">
        <v>261</v>
      </c>
      <c r="L117" s="217" t="s">
        <v>236</v>
      </c>
    </row>
    <row r="118" spans="1:12" s="109" customFormat="1" ht="27" customHeight="1" thickBot="1">
      <c r="A118" s="405" t="s">
        <v>245</v>
      </c>
      <c r="B118" s="405"/>
      <c r="C118" s="405"/>
      <c r="D118" s="405"/>
      <c r="E118" s="405"/>
      <c r="F118" s="144">
        <f>SUM(F117:F117)</f>
        <v>24600</v>
      </c>
      <c r="G118" s="144">
        <f>SUM(G117:G117)</f>
        <v>24600</v>
      </c>
      <c r="H118" s="144"/>
      <c r="I118" s="145"/>
      <c r="J118" s="145"/>
      <c r="K118" s="145"/>
      <c r="L118" s="146"/>
    </row>
    <row r="119" spans="1:12" s="151" customFormat="1" ht="28.5" customHeight="1" thickBot="1">
      <c r="A119" s="95" t="s">
        <v>423</v>
      </c>
      <c r="B119" s="95">
        <v>855</v>
      </c>
      <c r="C119" s="95">
        <v>85510</v>
      </c>
      <c r="D119" s="95">
        <v>6060</v>
      </c>
      <c r="E119" s="96" t="s">
        <v>388</v>
      </c>
      <c r="F119" s="221">
        <f>G119</f>
        <v>85000</v>
      </c>
      <c r="G119" s="221">
        <v>85000</v>
      </c>
      <c r="H119" s="221"/>
      <c r="I119" s="220"/>
      <c r="J119" s="220"/>
      <c r="K119" s="220"/>
      <c r="L119" s="220"/>
    </row>
    <row r="120" spans="1:12" s="109" customFormat="1" ht="30" customHeight="1" thickBot="1">
      <c r="A120" s="405" t="s">
        <v>389</v>
      </c>
      <c r="B120" s="405"/>
      <c r="C120" s="405"/>
      <c r="D120" s="405"/>
      <c r="E120" s="405"/>
      <c r="F120" s="144">
        <f>SUM(F119:F119)</f>
        <v>85000</v>
      </c>
      <c r="G120" s="144">
        <f>SUM(G119:G119)</f>
        <v>85000</v>
      </c>
      <c r="H120" s="144"/>
      <c r="I120" s="145"/>
      <c r="J120" s="145"/>
      <c r="K120" s="145"/>
      <c r="L120" s="146"/>
    </row>
    <row r="121" spans="1:12" s="101" customFormat="1" ht="27" customHeight="1" thickBot="1">
      <c r="A121" s="410" t="s">
        <v>195</v>
      </c>
      <c r="B121" s="411"/>
      <c r="C121" s="411"/>
      <c r="D121" s="411"/>
      <c r="E121" s="412"/>
      <c r="F121" s="113">
        <f>SUM(F72,F77,F79,F81,F83,F85,F88,F90,F92,F94,F99,F103,F106,F112,F114,F116,F118,F120)</f>
        <v>37048218</v>
      </c>
      <c r="G121" s="113">
        <f>SUM(G72,G77,G79,G81,G83,G85,G88,G90,G92,G94,G99,G103,G106,G112,G114,G116,G118,G120)</f>
        <v>10693551</v>
      </c>
      <c r="H121" s="113">
        <f>SUM(H72,H77,H79,H81,H83,H85,H88,H90,H92,H94,H99,H103,H106,H112,H114,H116,H118)</f>
        <v>9171369</v>
      </c>
      <c r="I121" s="113">
        <f>SUM(I72,I77,I79,I81,I83,I85,I88,I92,I99,I103,I106,I112,I114,I118)</f>
        <v>0</v>
      </c>
      <c r="J121" s="173">
        <f>SUM(J72,J77,J79,J81,J83,J85,J88,J90,J92,J94,J99,J103,J106,J112,J114,J116,J118)</f>
        <v>17183298</v>
      </c>
      <c r="K121" s="113"/>
      <c r="L121" s="140"/>
    </row>
    <row r="122" spans="1:12" ht="12.75" customHeight="1">
      <c r="F122" s="114" t="s">
        <v>196</v>
      </c>
    </row>
    <row r="123" spans="1:12" s="116" customFormat="1" ht="12.75" customHeight="1">
      <c r="A123" s="115" t="s">
        <v>197</v>
      </c>
      <c r="L123" s="93"/>
    </row>
    <row r="124" spans="1:12" s="116" customFormat="1" ht="12.75" customHeight="1">
      <c r="A124" s="115" t="s">
        <v>198</v>
      </c>
      <c r="L124" s="93"/>
    </row>
    <row r="125" spans="1:12" s="116" customFormat="1" ht="12.75" customHeight="1">
      <c r="A125" s="115" t="s">
        <v>199</v>
      </c>
      <c r="F125" s="266"/>
      <c r="L125" s="93"/>
    </row>
  </sheetData>
  <sheetProtection algorithmName="SHA-512" hashValue="cX+uSa3QBo4vTSstLnyTcg9Ge9Iv5oQA+iSjOS0qvoxEvsl5RghGe3zs1kgN2iedZ79cc4FRpLQsODN2J3FUtw==" saltValue="mfzi2pteJhawC1JLzHRUIw==" spinCount="100000" sheet="1" objects="1" scenarios="1" formatColumns="0" formatRows="0"/>
  <mergeCells count="29">
    <mergeCell ref="A120:E120"/>
    <mergeCell ref="A121:E121"/>
    <mergeCell ref="A103:E103"/>
    <mergeCell ref="A106:E106"/>
    <mergeCell ref="A112:E112"/>
    <mergeCell ref="A114:E114"/>
    <mergeCell ref="A116:E116"/>
    <mergeCell ref="A118:E118"/>
    <mergeCell ref="A99:E99"/>
    <mergeCell ref="L4:L5"/>
    <mergeCell ref="A72:E72"/>
    <mergeCell ref="A77:E77"/>
    <mergeCell ref="A79:E79"/>
    <mergeCell ref="A81:E81"/>
    <mergeCell ref="A83:E83"/>
    <mergeCell ref="A85:E85"/>
    <mergeCell ref="A88:E88"/>
    <mergeCell ref="A90:E90"/>
    <mergeCell ref="A92:E92"/>
    <mergeCell ref="A94:E94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39370078740157483" right="0.23622047244094491" top="0.94488188976377963" bottom="0.86614173228346458" header="0.47244094488188981" footer="0.47244094488188981"/>
  <pageSetup paperSize="9" scale="70" firstPageNumber="0" orientation="landscape" horizontalDpi="4294967295" verticalDpi="300" r:id="rId1"/>
  <headerFooter differentOddEven="1" differentFirst="1" scaleWithDoc="0" alignWithMargins="0">
    <oddFooter>&amp;C&amp;P</oddFooter>
    <evenHeader>&amp;C&amp;P</evenHeader>
    <firstHeader>&amp;R&amp;9Tabela Nr 2a
do uchwały Nr ...................
Rady Powiatu w Otwocku
z dnia ..................................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P17" sqref="P17"/>
    </sheetView>
  </sheetViews>
  <sheetFormatPr defaultColWidth="9.33203125" defaultRowHeight="12"/>
  <cols>
    <col min="1" max="1" width="3.6640625" style="152" customWidth="1"/>
    <col min="2" max="2" width="7.83203125" style="166" customWidth="1"/>
    <col min="3" max="3" width="9.83203125" style="166" customWidth="1"/>
    <col min="4" max="4" width="10.83203125" style="166" customWidth="1"/>
    <col min="5" max="5" width="47" style="152" customWidth="1"/>
    <col min="6" max="7" width="17" style="152" customWidth="1"/>
    <col min="8" max="16384" width="9.33203125" style="152"/>
  </cols>
  <sheetData>
    <row r="3" spans="2:7" ht="31.5" customHeight="1">
      <c r="B3" s="415" t="s">
        <v>314</v>
      </c>
      <c r="C3" s="415"/>
      <c r="D3" s="415"/>
      <c r="E3" s="415"/>
      <c r="F3" s="415"/>
      <c r="G3" s="415"/>
    </row>
    <row r="5" spans="2:7" s="154" customFormat="1" ht="24" customHeight="1">
      <c r="B5" s="153" t="s">
        <v>0</v>
      </c>
      <c r="C5" s="153" t="s">
        <v>1</v>
      </c>
      <c r="D5" s="153" t="s">
        <v>91</v>
      </c>
      <c r="E5" s="153" t="s">
        <v>92</v>
      </c>
      <c r="F5" s="153" t="s">
        <v>93</v>
      </c>
      <c r="G5" s="153" t="s">
        <v>94</v>
      </c>
    </row>
    <row r="6" spans="2:7" s="158" customFormat="1" ht="19.5" customHeight="1">
      <c r="B6" s="155">
        <v>750</v>
      </c>
      <c r="C6" s="155"/>
      <c r="D6" s="155"/>
      <c r="E6" s="156" t="s">
        <v>55</v>
      </c>
      <c r="F6" s="157">
        <f>SUM(F7)</f>
        <v>18000</v>
      </c>
      <c r="G6" s="157">
        <f>SUM(G7)</f>
        <v>18000</v>
      </c>
    </row>
    <row r="7" spans="2:7" s="154" customFormat="1" ht="19.5" customHeight="1">
      <c r="B7" s="159"/>
      <c r="C7" s="159">
        <v>75011</v>
      </c>
      <c r="D7" s="159"/>
      <c r="E7" s="160" t="s">
        <v>56</v>
      </c>
      <c r="F7" s="161">
        <f>SUM(F8)</f>
        <v>18000</v>
      </c>
      <c r="G7" s="161">
        <f>SUM(G9:G11)</f>
        <v>18000</v>
      </c>
    </row>
    <row r="8" spans="2:7" s="154" customFormat="1" ht="55.5" customHeight="1">
      <c r="B8" s="162"/>
      <c r="C8" s="162"/>
      <c r="D8" s="162">
        <v>2120</v>
      </c>
      <c r="E8" s="163" t="s">
        <v>315</v>
      </c>
      <c r="F8" s="164">
        <v>18000</v>
      </c>
      <c r="G8" s="164"/>
    </row>
    <row r="9" spans="2:7" s="154" customFormat="1" ht="19.5" customHeight="1">
      <c r="B9" s="162"/>
      <c r="C9" s="162"/>
      <c r="D9" s="162">
        <v>4010</v>
      </c>
      <c r="E9" s="163" t="s">
        <v>32</v>
      </c>
      <c r="F9" s="164"/>
      <c r="G9" s="164">
        <v>15040</v>
      </c>
    </row>
    <row r="10" spans="2:7" s="154" customFormat="1" ht="19.5" customHeight="1">
      <c r="B10" s="162"/>
      <c r="C10" s="162"/>
      <c r="D10" s="162">
        <v>4110</v>
      </c>
      <c r="E10" s="163" t="s">
        <v>34</v>
      </c>
      <c r="F10" s="164"/>
      <c r="G10" s="164">
        <v>2585</v>
      </c>
    </row>
    <row r="11" spans="2:7" s="154" customFormat="1" ht="19.5" customHeight="1">
      <c r="B11" s="162"/>
      <c r="C11" s="162"/>
      <c r="D11" s="162">
        <v>4120</v>
      </c>
      <c r="E11" s="163" t="s">
        <v>35</v>
      </c>
      <c r="F11" s="164"/>
      <c r="G11" s="164">
        <v>375</v>
      </c>
    </row>
    <row r="12" spans="2:7" s="158" customFormat="1" ht="19.5" customHeight="1">
      <c r="B12" s="155">
        <v>801</v>
      </c>
      <c r="C12" s="155"/>
      <c r="D12" s="155"/>
      <c r="E12" s="156" t="s">
        <v>316</v>
      </c>
      <c r="F12" s="157">
        <f>SUM(F13)</f>
        <v>265200</v>
      </c>
      <c r="G12" s="157">
        <f>SUM(G13)</f>
        <v>265200</v>
      </c>
    </row>
    <row r="13" spans="2:7" s="154" customFormat="1" ht="19.5" customHeight="1">
      <c r="B13" s="159"/>
      <c r="C13" s="159">
        <v>80195</v>
      </c>
      <c r="D13" s="159"/>
      <c r="E13" s="160" t="s">
        <v>6</v>
      </c>
      <c r="F13" s="161">
        <f>SUM(F14)</f>
        <v>265200</v>
      </c>
      <c r="G13" s="161">
        <f>SUM(G15:G18)</f>
        <v>265200</v>
      </c>
    </row>
    <row r="14" spans="2:7" s="154" customFormat="1" ht="55.5" customHeight="1">
      <c r="B14" s="162"/>
      <c r="C14" s="162"/>
      <c r="D14" s="162">
        <v>2120</v>
      </c>
      <c r="E14" s="163" t="s">
        <v>315</v>
      </c>
      <c r="F14" s="164">
        <v>265200</v>
      </c>
      <c r="G14" s="164"/>
    </row>
    <row r="15" spans="2:7" s="154" customFormat="1" ht="19.5" customHeight="1">
      <c r="B15" s="162"/>
      <c r="C15" s="162"/>
      <c r="D15" s="162">
        <v>4110</v>
      </c>
      <c r="E15" s="163" t="s">
        <v>34</v>
      </c>
      <c r="F15" s="164"/>
      <c r="G15" s="164">
        <v>18800</v>
      </c>
    </row>
    <row r="16" spans="2:7" s="154" customFormat="1" ht="19.5" customHeight="1">
      <c r="B16" s="162"/>
      <c r="C16" s="162"/>
      <c r="D16" s="162">
        <v>4120</v>
      </c>
      <c r="E16" s="163" t="s">
        <v>35</v>
      </c>
      <c r="F16" s="164"/>
      <c r="G16" s="164">
        <v>2900</v>
      </c>
    </row>
    <row r="17" spans="2:7" s="154" customFormat="1" ht="19.5" customHeight="1">
      <c r="B17" s="162"/>
      <c r="C17" s="162"/>
      <c r="D17" s="162">
        <v>4170</v>
      </c>
      <c r="E17" s="40" t="s">
        <v>36</v>
      </c>
      <c r="F17" s="164"/>
      <c r="G17" s="164">
        <v>241700</v>
      </c>
    </row>
    <row r="18" spans="2:7" s="154" customFormat="1" ht="19.5" customHeight="1">
      <c r="B18" s="162"/>
      <c r="C18" s="162"/>
      <c r="D18" s="162">
        <v>4780</v>
      </c>
      <c r="E18" s="163" t="s">
        <v>317</v>
      </c>
      <c r="F18" s="164"/>
      <c r="G18" s="164">
        <v>1800</v>
      </c>
    </row>
    <row r="19" spans="2:7" s="154" customFormat="1" ht="21.75" customHeight="1">
      <c r="B19" s="416" t="s">
        <v>97</v>
      </c>
      <c r="C19" s="417"/>
      <c r="D19" s="417"/>
      <c r="E19" s="418"/>
      <c r="F19" s="165">
        <f>SUM(F6,F12)</f>
        <v>283200</v>
      </c>
      <c r="G19" s="165">
        <f>SUM(G6,G12)</f>
        <v>283200</v>
      </c>
    </row>
  </sheetData>
  <sheetProtection algorithmName="SHA-512" hashValue="Qhunj8NV3OSwXEb3Hf8VqKw+zC/+YUeuacntm/L+fRl2kT3FxluJAXwehzAo22UHT2ZVb/lpNEY7BaFWpkNhkw==" saltValue="5ulCXSon9S8Y2B49yfixNA==" spinCount="100000" sheet="1" objects="1" scenarios="1" formatColumns="0" formatRows="0"/>
  <mergeCells count="2">
    <mergeCell ref="B3:G3"/>
    <mergeCell ref="B19:E19"/>
  </mergeCells>
  <pageMargins left="0.55118110236220474" right="0.37" top="1.47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showGridLines="0" tabSelected="1" workbookViewId="0">
      <selection activeCell="D12" sqref="D12"/>
    </sheetView>
  </sheetViews>
  <sheetFormatPr defaultColWidth="9.33203125" defaultRowHeight="12.75"/>
  <cols>
    <col min="1" max="1" width="5.83203125" style="2" customWidth="1"/>
    <col min="2" max="2" width="68.6640625" style="2" customWidth="1"/>
    <col min="3" max="3" width="18.33203125" style="2" customWidth="1"/>
    <col min="4" max="4" width="20.5" style="2" customWidth="1"/>
    <col min="5" max="16384" width="9.33203125" style="2"/>
  </cols>
  <sheetData>
    <row r="3" spans="1:4" s="1" customFormat="1" ht="15" customHeight="1">
      <c r="A3" s="419" t="s">
        <v>313</v>
      </c>
      <c r="B3" s="419"/>
      <c r="C3" s="419"/>
      <c r="D3" s="419"/>
    </row>
    <row r="4" spans="1:4">
      <c r="D4" s="3"/>
    </row>
    <row r="5" spans="1:4" ht="54" customHeight="1">
      <c r="A5" s="4" t="s">
        <v>70</v>
      </c>
      <c r="B5" s="4" t="s">
        <v>77</v>
      </c>
      <c r="C5" s="5" t="s">
        <v>78</v>
      </c>
      <c r="D5" s="5" t="s">
        <v>79</v>
      </c>
    </row>
    <row r="6" spans="1:4" s="31" customFormat="1" ht="16.5" customHeight="1">
      <c r="A6" s="57">
        <v>1</v>
      </c>
      <c r="B6" s="57">
        <v>2</v>
      </c>
      <c r="C6" s="57">
        <v>3</v>
      </c>
      <c r="D6" s="58">
        <v>4</v>
      </c>
    </row>
    <row r="7" spans="1:4" s="9" customFormat="1" ht="24.75" customHeight="1">
      <c r="A7" s="6" t="s">
        <v>71</v>
      </c>
      <c r="B7" s="7" t="s">
        <v>80</v>
      </c>
      <c r="C7" s="6"/>
      <c r="D7" s="8">
        <f>SUM(D8:D9)</f>
        <v>145331375</v>
      </c>
    </row>
    <row r="8" spans="1:4" s="13" customFormat="1" ht="24.75" customHeight="1">
      <c r="A8" s="10"/>
      <c r="B8" s="11" t="s">
        <v>81</v>
      </c>
      <c r="C8" s="10"/>
      <c r="D8" s="12">
        <v>126215897</v>
      </c>
    </row>
    <row r="9" spans="1:4" s="13" customFormat="1" ht="24.75" customHeight="1">
      <c r="A9" s="10"/>
      <c r="B9" s="11" t="s">
        <v>82</v>
      </c>
      <c r="C9" s="10"/>
      <c r="D9" s="14">
        <v>19115478</v>
      </c>
    </row>
    <row r="10" spans="1:4" s="9" customFormat="1" ht="24.75" customHeight="1">
      <c r="A10" s="6" t="s">
        <v>72</v>
      </c>
      <c r="B10" s="7" t="s">
        <v>83</v>
      </c>
      <c r="C10" s="6"/>
      <c r="D10" s="15">
        <f>SUM(D11,D12)</f>
        <v>154502744</v>
      </c>
    </row>
    <row r="11" spans="1:4" s="13" customFormat="1" ht="24.75" customHeight="1">
      <c r="A11" s="10"/>
      <c r="B11" s="11" t="s">
        <v>108</v>
      </c>
      <c r="C11" s="10"/>
      <c r="D11" s="16">
        <v>117454526</v>
      </c>
    </row>
    <row r="12" spans="1:4" s="13" customFormat="1" ht="24.75" customHeight="1">
      <c r="A12" s="10"/>
      <c r="B12" s="11" t="s">
        <v>84</v>
      </c>
      <c r="C12" s="10"/>
      <c r="D12" s="17">
        <v>37048218</v>
      </c>
    </row>
    <row r="13" spans="1:4" s="9" customFormat="1" ht="24.75" customHeight="1">
      <c r="A13" s="6" t="s">
        <v>73</v>
      </c>
      <c r="B13" s="7" t="s">
        <v>85</v>
      </c>
      <c r="C13" s="18"/>
      <c r="D13" s="8">
        <f>D7-D10</f>
        <v>-9171369</v>
      </c>
    </row>
    <row r="14" spans="1:4" ht="24.75" customHeight="1">
      <c r="A14" s="420" t="s">
        <v>86</v>
      </c>
      <c r="B14" s="421"/>
      <c r="C14" s="19"/>
      <c r="D14" s="20">
        <f>SUM(D15:D18)</f>
        <v>15732304</v>
      </c>
    </row>
    <row r="15" spans="1:4" ht="24.75" customHeight="1">
      <c r="A15" s="21" t="s">
        <v>71</v>
      </c>
      <c r="B15" s="26" t="s">
        <v>105</v>
      </c>
      <c r="C15" s="21" t="s">
        <v>88</v>
      </c>
      <c r="D15" s="23">
        <f>4502371+279933</f>
        <v>4782304</v>
      </c>
    </row>
    <row r="16" spans="1:4" ht="32.25" customHeight="1">
      <c r="A16" s="21" t="s">
        <v>72</v>
      </c>
      <c r="B16" s="86" t="s">
        <v>122</v>
      </c>
      <c r="C16" s="21" t="s">
        <v>123</v>
      </c>
      <c r="D16" s="23">
        <v>0</v>
      </c>
    </row>
    <row r="17" spans="1:4" ht="24.75" customHeight="1">
      <c r="A17" s="21" t="s">
        <v>73</v>
      </c>
      <c r="B17" s="22" t="s">
        <v>103</v>
      </c>
      <c r="C17" s="21" t="s">
        <v>87</v>
      </c>
      <c r="D17" s="23">
        <v>10950000</v>
      </c>
    </row>
    <row r="18" spans="1:4" ht="24.75" customHeight="1">
      <c r="A18" s="21" t="s">
        <v>74</v>
      </c>
      <c r="B18" s="24" t="s">
        <v>104</v>
      </c>
      <c r="C18" s="21" t="s">
        <v>87</v>
      </c>
      <c r="D18" s="25">
        <v>0</v>
      </c>
    </row>
    <row r="19" spans="1:4" ht="24.75" customHeight="1">
      <c r="A19" s="420" t="s">
        <v>89</v>
      </c>
      <c r="B19" s="421"/>
      <c r="C19" s="27"/>
      <c r="D19" s="20">
        <f>SUM(D20:D22)</f>
        <v>6560935</v>
      </c>
    </row>
    <row r="20" spans="1:4" s="87" customFormat="1" ht="24.75" customHeight="1">
      <c r="A20" s="21" t="s">
        <v>71</v>
      </c>
      <c r="B20" s="24" t="s">
        <v>125</v>
      </c>
      <c r="C20" s="21" t="s">
        <v>124</v>
      </c>
      <c r="D20" s="23">
        <v>0</v>
      </c>
    </row>
    <row r="21" spans="1:4" ht="24.75" customHeight="1">
      <c r="A21" s="21" t="s">
        <v>72</v>
      </c>
      <c r="B21" s="24" t="s">
        <v>106</v>
      </c>
      <c r="C21" s="21" t="s">
        <v>90</v>
      </c>
      <c r="D21" s="23">
        <f>6560929+6</f>
        <v>6560935</v>
      </c>
    </row>
    <row r="22" spans="1:4" ht="24.75" customHeight="1">
      <c r="A22" s="21" t="s">
        <v>73</v>
      </c>
      <c r="B22" s="24" t="s">
        <v>107</v>
      </c>
      <c r="C22" s="21" t="s">
        <v>90</v>
      </c>
      <c r="D22" s="23">
        <v>0</v>
      </c>
    </row>
    <row r="23" spans="1:4" ht="21.75" customHeight="1">
      <c r="A23" s="28"/>
      <c r="B23" s="29"/>
      <c r="C23" s="28"/>
      <c r="D23" s="30"/>
    </row>
    <row r="24" spans="1:4" ht="24.75" customHeight="1"/>
    <row r="25" spans="1:4" ht="24.75" customHeight="1"/>
    <row r="26" spans="1:4" ht="24.75" customHeight="1"/>
  </sheetData>
  <sheetProtection algorithmName="SHA-512" hashValue="QktiU6NLm0xriC5Cy4yWIDN8c1R7pv1IdzaB3so1KZ2zFVSkCD3WHs0iSPQU5cOjlTkxa31cDGB5kC/CfVWJ0Q==" saltValue="mZsGC46Y6tK1GF+baVOPew==" spinCount="100000" sheet="1" objects="1" scenarios="1" formatColumns="0" formatRows="0"/>
  <mergeCells count="3">
    <mergeCell ref="A3:D3"/>
    <mergeCell ref="A14:B14"/>
    <mergeCell ref="A19:B19"/>
  </mergeCells>
  <printOptions horizontalCentered="1"/>
  <pageMargins left="0.27559055118110237" right="0.43307086614173229" top="1.6535433070866143" bottom="0.59055118110236227" header="0.86614173228346458" footer="0.51181102362204722"/>
  <pageSetup paperSize="9" orientation="portrait" horizontalDpi="4294967295" verticalDpi="300" r:id="rId1"/>
  <headerFooter alignWithMargins="0">
    <oddHeader>&amp;R&amp;10Tabela Nr 3
do uchwały Nr ...............
Rady Powiatu w Otwocku
z dnia 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zoomScaleNormal="100" workbookViewId="0">
      <pane ySplit="5" topLeftCell="A27" activePane="bottomLeft" state="frozen"/>
      <selection pane="bottomLeft" activeCell="I44" sqref="I44"/>
    </sheetView>
  </sheetViews>
  <sheetFormatPr defaultRowHeight="12"/>
  <cols>
    <col min="1" max="1" width="4.1640625" style="335" customWidth="1"/>
    <col min="2" max="2" width="45.1640625" style="335" customWidth="1"/>
    <col min="3" max="3" width="15" style="336" customWidth="1"/>
    <col min="4" max="4" width="13.6640625" style="335" customWidth="1"/>
    <col min="5" max="5" width="13" style="335" customWidth="1"/>
    <col min="6" max="6" width="11.1640625" style="335" customWidth="1"/>
    <col min="7" max="7" width="12.5" style="335" customWidth="1"/>
    <col min="8" max="8" width="11.6640625" style="335" customWidth="1"/>
    <col min="9" max="9" width="13.6640625" style="335" customWidth="1"/>
    <col min="10" max="243" width="9.33203125" style="335"/>
    <col min="244" max="244" width="4.83203125" style="335" customWidth="1"/>
    <col min="245" max="245" width="27.33203125" style="335" customWidth="1"/>
    <col min="246" max="247" width="15.5" style="335" customWidth="1"/>
    <col min="248" max="248" width="13.6640625" style="335" customWidth="1"/>
    <col min="249" max="249" width="12.33203125" style="335" customWidth="1"/>
    <col min="250" max="250" width="13" style="335" bestFit="1" customWidth="1"/>
    <col min="251" max="251" width="11.33203125" style="335" customWidth="1"/>
    <col min="252" max="252" width="12.33203125" style="335" customWidth="1"/>
    <col min="253" max="253" width="10.33203125" style="335" customWidth="1"/>
    <col min="254" max="254" width="10.1640625" style="335" customWidth="1"/>
    <col min="255" max="255" width="13" style="335" customWidth="1"/>
    <col min="256" max="256" width="12.5" style="335" customWidth="1"/>
    <col min="257" max="257" width="11.6640625" style="335" customWidth="1"/>
    <col min="258" max="258" width="11.33203125" style="335" customWidth="1"/>
    <col min="259" max="259" width="10.33203125" style="335" customWidth="1"/>
    <col min="260" max="260" width="12" style="335" customWidth="1"/>
    <col min="261" max="499" width="9.33203125" style="335"/>
    <col min="500" max="500" width="4.83203125" style="335" customWidth="1"/>
    <col min="501" max="501" width="27.33203125" style="335" customWidth="1"/>
    <col min="502" max="503" width="15.5" style="335" customWidth="1"/>
    <col min="504" max="504" width="13.6640625" style="335" customWidth="1"/>
    <col min="505" max="505" width="12.33203125" style="335" customWidth="1"/>
    <col min="506" max="506" width="13" style="335" bestFit="1" customWidth="1"/>
    <col min="507" max="507" width="11.33203125" style="335" customWidth="1"/>
    <col min="508" max="508" width="12.33203125" style="335" customWidth="1"/>
    <col min="509" max="509" width="10.33203125" style="335" customWidth="1"/>
    <col min="510" max="510" width="10.1640625" style="335" customWidth="1"/>
    <col min="511" max="511" width="13" style="335" customWidth="1"/>
    <col min="512" max="512" width="12.5" style="335" customWidth="1"/>
    <col min="513" max="513" width="11.6640625" style="335" customWidth="1"/>
    <col min="514" max="514" width="11.33203125" style="335" customWidth="1"/>
    <col min="515" max="515" width="10.33203125" style="335" customWidth="1"/>
    <col min="516" max="516" width="12" style="335" customWidth="1"/>
    <col min="517" max="755" width="9.33203125" style="335"/>
    <col min="756" max="756" width="4.83203125" style="335" customWidth="1"/>
    <col min="757" max="757" width="27.33203125" style="335" customWidth="1"/>
    <col min="758" max="759" width="15.5" style="335" customWidth="1"/>
    <col min="760" max="760" width="13.6640625" style="335" customWidth="1"/>
    <col min="761" max="761" width="12.33203125" style="335" customWidth="1"/>
    <col min="762" max="762" width="13" style="335" bestFit="1" customWidth="1"/>
    <col min="763" max="763" width="11.33203125" style="335" customWidth="1"/>
    <col min="764" max="764" width="12.33203125" style="335" customWidth="1"/>
    <col min="765" max="765" width="10.33203125" style="335" customWidth="1"/>
    <col min="766" max="766" width="10.1640625" style="335" customWidth="1"/>
    <col min="767" max="767" width="13" style="335" customWidth="1"/>
    <col min="768" max="768" width="12.5" style="335" customWidth="1"/>
    <col min="769" max="769" width="11.6640625" style="335" customWidth="1"/>
    <col min="770" max="770" width="11.33203125" style="335" customWidth="1"/>
    <col min="771" max="771" width="10.33203125" style="335" customWidth="1"/>
    <col min="772" max="772" width="12" style="335" customWidth="1"/>
    <col min="773" max="1011" width="9.33203125" style="335"/>
    <col min="1012" max="1012" width="4.83203125" style="335" customWidth="1"/>
    <col min="1013" max="1013" width="27.33203125" style="335" customWidth="1"/>
    <col min="1014" max="1015" width="15.5" style="335" customWidth="1"/>
    <col min="1016" max="1016" width="13.6640625" style="335" customWidth="1"/>
    <col min="1017" max="1017" width="12.33203125" style="335" customWidth="1"/>
    <col min="1018" max="1018" width="13" style="335" bestFit="1" customWidth="1"/>
    <col min="1019" max="1019" width="11.33203125" style="335" customWidth="1"/>
    <col min="1020" max="1020" width="12.33203125" style="335" customWidth="1"/>
    <col min="1021" max="1021" width="10.33203125" style="335" customWidth="1"/>
    <col min="1022" max="1022" width="10.1640625" style="335" customWidth="1"/>
    <col min="1023" max="1023" width="13" style="335" customWidth="1"/>
    <col min="1024" max="1024" width="12.5" style="335" customWidth="1"/>
    <col min="1025" max="1025" width="11.6640625" style="335" customWidth="1"/>
    <col min="1026" max="1026" width="11.33203125" style="335" customWidth="1"/>
    <col min="1027" max="1027" width="10.33203125" style="335" customWidth="1"/>
    <col min="1028" max="1028" width="12" style="335" customWidth="1"/>
    <col min="1029" max="1267" width="9.33203125" style="335"/>
    <col min="1268" max="1268" width="4.83203125" style="335" customWidth="1"/>
    <col min="1269" max="1269" width="27.33203125" style="335" customWidth="1"/>
    <col min="1270" max="1271" width="15.5" style="335" customWidth="1"/>
    <col min="1272" max="1272" width="13.6640625" style="335" customWidth="1"/>
    <col min="1273" max="1273" width="12.33203125" style="335" customWidth="1"/>
    <col min="1274" max="1274" width="13" style="335" bestFit="1" customWidth="1"/>
    <col min="1275" max="1275" width="11.33203125" style="335" customWidth="1"/>
    <col min="1276" max="1276" width="12.33203125" style="335" customWidth="1"/>
    <col min="1277" max="1277" width="10.33203125" style="335" customWidth="1"/>
    <col min="1278" max="1278" width="10.1640625" style="335" customWidth="1"/>
    <col min="1279" max="1279" width="13" style="335" customWidth="1"/>
    <col min="1280" max="1280" width="12.5" style="335" customWidth="1"/>
    <col min="1281" max="1281" width="11.6640625" style="335" customWidth="1"/>
    <col min="1282" max="1282" width="11.33203125" style="335" customWidth="1"/>
    <col min="1283" max="1283" width="10.33203125" style="335" customWidth="1"/>
    <col min="1284" max="1284" width="12" style="335" customWidth="1"/>
    <col min="1285" max="1523" width="9.33203125" style="335"/>
    <col min="1524" max="1524" width="4.83203125" style="335" customWidth="1"/>
    <col min="1525" max="1525" width="27.33203125" style="335" customWidth="1"/>
    <col min="1526" max="1527" width="15.5" style="335" customWidth="1"/>
    <col min="1528" max="1528" width="13.6640625" style="335" customWidth="1"/>
    <col min="1529" max="1529" width="12.33203125" style="335" customWidth="1"/>
    <col min="1530" max="1530" width="13" style="335" bestFit="1" customWidth="1"/>
    <col min="1531" max="1531" width="11.33203125" style="335" customWidth="1"/>
    <col min="1532" max="1532" width="12.33203125" style="335" customWidth="1"/>
    <col min="1533" max="1533" width="10.33203125" style="335" customWidth="1"/>
    <col min="1534" max="1534" width="10.1640625" style="335" customWidth="1"/>
    <col min="1535" max="1535" width="13" style="335" customWidth="1"/>
    <col min="1536" max="1536" width="12.5" style="335" customWidth="1"/>
    <col min="1537" max="1537" width="11.6640625" style="335" customWidth="1"/>
    <col min="1538" max="1538" width="11.33203125" style="335" customWidth="1"/>
    <col min="1539" max="1539" width="10.33203125" style="335" customWidth="1"/>
    <col min="1540" max="1540" width="12" style="335" customWidth="1"/>
    <col min="1541" max="1779" width="9.33203125" style="335"/>
    <col min="1780" max="1780" width="4.83203125" style="335" customWidth="1"/>
    <col min="1781" max="1781" width="27.33203125" style="335" customWidth="1"/>
    <col min="1782" max="1783" width="15.5" style="335" customWidth="1"/>
    <col min="1784" max="1784" width="13.6640625" style="335" customWidth="1"/>
    <col min="1785" max="1785" width="12.33203125" style="335" customWidth="1"/>
    <col min="1786" max="1786" width="13" style="335" bestFit="1" customWidth="1"/>
    <col min="1787" max="1787" width="11.33203125" style="335" customWidth="1"/>
    <col min="1788" max="1788" width="12.33203125" style="335" customWidth="1"/>
    <col min="1789" max="1789" width="10.33203125" style="335" customWidth="1"/>
    <col min="1790" max="1790" width="10.1640625" style="335" customWidth="1"/>
    <col min="1791" max="1791" width="13" style="335" customWidth="1"/>
    <col min="1792" max="1792" width="12.5" style="335" customWidth="1"/>
    <col min="1793" max="1793" width="11.6640625" style="335" customWidth="1"/>
    <col min="1794" max="1794" width="11.33203125" style="335" customWidth="1"/>
    <col min="1795" max="1795" width="10.33203125" style="335" customWidth="1"/>
    <col min="1796" max="1796" width="12" style="335" customWidth="1"/>
    <col min="1797" max="2035" width="9.33203125" style="335"/>
    <col min="2036" max="2036" width="4.83203125" style="335" customWidth="1"/>
    <col min="2037" max="2037" width="27.33203125" style="335" customWidth="1"/>
    <col min="2038" max="2039" width="15.5" style="335" customWidth="1"/>
    <col min="2040" max="2040" width="13.6640625" style="335" customWidth="1"/>
    <col min="2041" max="2041" width="12.33203125" style="335" customWidth="1"/>
    <col min="2042" max="2042" width="13" style="335" bestFit="1" customWidth="1"/>
    <col min="2043" max="2043" width="11.33203125" style="335" customWidth="1"/>
    <col min="2044" max="2044" width="12.33203125" style="335" customWidth="1"/>
    <col min="2045" max="2045" width="10.33203125" style="335" customWidth="1"/>
    <col min="2046" max="2046" width="10.1640625" style="335" customWidth="1"/>
    <col min="2047" max="2047" width="13" style="335" customWidth="1"/>
    <col min="2048" max="2048" width="12.5" style="335" customWidth="1"/>
    <col min="2049" max="2049" width="11.6640625" style="335" customWidth="1"/>
    <col min="2050" max="2050" width="11.33203125" style="335" customWidth="1"/>
    <col min="2051" max="2051" width="10.33203125" style="335" customWidth="1"/>
    <col min="2052" max="2052" width="12" style="335" customWidth="1"/>
    <col min="2053" max="2291" width="9.33203125" style="335"/>
    <col min="2292" max="2292" width="4.83203125" style="335" customWidth="1"/>
    <col min="2293" max="2293" width="27.33203125" style="335" customWidth="1"/>
    <col min="2294" max="2295" width="15.5" style="335" customWidth="1"/>
    <col min="2296" max="2296" width="13.6640625" style="335" customWidth="1"/>
    <col min="2297" max="2297" width="12.33203125" style="335" customWidth="1"/>
    <col min="2298" max="2298" width="13" style="335" bestFit="1" customWidth="1"/>
    <col min="2299" max="2299" width="11.33203125" style="335" customWidth="1"/>
    <col min="2300" max="2300" width="12.33203125" style="335" customWidth="1"/>
    <col min="2301" max="2301" width="10.33203125" style="335" customWidth="1"/>
    <col min="2302" max="2302" width="10.1640625" style="335" customWidth="1"/>
    <col min="2303" max="2303" width="13" style="335" customWidth="1"/>
    <col min="2304" max="2304" width="12.5" style="335" customWidth="1"/>
    <col min="2305" max="2305" width="11.6640625" style="335" customWidth="1"/>
    <col min="2306" max="2306" width="11.33203125" style="335" customWidth="1"/>
    <col min="2307" max="2307" width="10.33203125" style="335" customWidth="1"/>
    <col min="2308" max="2308" width="12" style="335" customWidth="1"/>
    <col min="2309" max="2547" width="9.33203125" style="335"/>
    <col min="2548" max="2548" width="4.83203125" style="335" customWidth="1"/>
    <col min="2549" max="2549" width="27.33203125" style="335" customWidth="1"/>
    <col min="2550" max="2551" width="15.5" style="335" customWidth="1"/>
    <col min="2552" max="2552" width="13.6640625" style="335" customWidth="1"/>
    <col min="2553" max="2553" width="12.33203125" style="335" customWidth="1"/>
    <col min="2554" max="2554" width="13" style="335" bestFit="1" customWidth="1"/>
    <col min="2555" max="2555" width="11.33203125" style="335" customWidth="1"/>
    <col min="2556" max="2556" width="12.33203125" style="335" customWidth="1"/>
    <col min="2557" max="2557" width="10.33203125" style="335" customWidth="1"/>
    <col min="2558" max="2558" width="10.1640625" style="335" customWidth="1"/>
    <col min="2559" max="2559" width="13" style="335" customWidth="1"/>
    <col min="2560" max="2560" width="12.5" style="335" customWidth="1"/>
    <col min="2561" max="2561" width="11.6640625" style="335" customWidth="1"/>
    <col min="2562" max="2562" width="11.33203125" style="335" customWidth="1"/>
    <col min="2563" max="2563" width="10.33203125" style="335" customWidth="1"/>
    <col min="2564" max="2564" width="12" style="335" customWidth="1"/>
    <col min="2565" max="2803" width="9.33203125" style="335"/>
    <col min="2804" max="2804" width="4.83203125" style="335" customWidth="1"/>
    <col min="2805" max="2805" width="27.33203125" style="335" customWidth="1"/>
    <col min="2806" max="2807" width="15.5" style="335" customWidth="1"/>
    <col min="2808" max="2808" width="13.6640625" style="335" customWidth="1"/>
    <col min="2809" max="2809" width="12.33203125" style="335" customWidth="1"/>
    <col min="2810" max="2810" width="13" style="335" bestFit="1" customWidth="1"/>
    <col min="2811" max="2811" width="11.33203125" style="335" customWidth="1"/>
    <col min="2812" max="2812" width="12.33203125" style="335" customWidth="1"/>
    <col min="2813" max="2813" width="10.33203125" style="335" customWidth="1"/>
    <col min="2814" max="2814" width="10.1640625" style="335" customWidth="1"/>
    <col min="2815" max="2815" width="13" style="335" customWidth="1"/>
    <col min="2816" max="2816" width="12.5" style="335" customWidth="1"/>
    <col min="2817" max="2817" width="11.6640625" style="335" customWidth="1"/>
    <col min="2818" max="2818" width="11.33203125" style="335" customWidth="1"/>
    <col min="2819" max="2819" width="10.33203125" style="335" customWidth="1"/>
    <col min="2820" max="2820" width="12" style="335" customWidth="1"/>
    <col min="2821" max="3059" width="9.33203125" style="335"/>
    <col min="3060" max="3060" width="4.83203125" style="335" customWidth="1"/>
    <col min="3061" max="3061" width="27.33203125" style="335" customWidth="1"/>
    <col min="3062" max="3063" width="15.5" style="335" customWidth="1"/>
    <col min="3064" max="3064" width="13.6640625" style="335" customWidth="1"/>
    <col min="3065" max="3065" width="12.33203125" style="335" customWidth="1"/>
    <col min="3066" max="3066" width="13" style="335" bestFit="1" customWidth="1"/>
    <col min="3067" max="3067" width="11.33203125" style="335" customWidth="1"/>
    <col min="3068" max="3068" width="12.33203125" style="335" customWidth="1"/>
    <col min="3069" max="3069" width="10.33203125" style="335" customWidth="1"/>
    <col min="3070" max="3070" width="10.1640625" style="335" customWidth="1"/>
    <col min="3071" max="3071" width="13" style="335" customWidth="1"/>
    <col min="3072" max="3072" width="12.5" style="335" customWidth="1"/>
    <col min="3073" max="3073" width="11.6640625" style="335" customWidth="1"/>
    <col min="3074" max="3074" width="11.33203125" style="335" customWidth="1"/>
    <col min="3075" max="3075" width="10.33203125" style="335" customWidth="1"/>
    <col min="3076" max="3076" width="12" style="335" customWidth="1"/>
    <col min="3077" max="3315" width="9.33203125" style="335"/>
    <col min="3316" max="3316" width="4.83203125" style="335" customWidth="1"/>
    <col min="3317" max="3317" width="27.33203125" style="335" customWidth="1"/>
    <col min="3318" max="3319" width="15.5" style="335" customWidth="1"/>
    <col min="3320" max="3320" width="13.6640625" style="335" customWidth="1"/>
    <col min="3321" max="3321" width="12.33203125" style="335" customWidth="1"/>
    <col min="3322" max="3322" width="13" style="335" bestFit="1" customWidth="1"/>
    <col min="3323" max="3323" width="11.33203125" style="335" customWidth="1"/>
    <col min="3324" max="3324" width="12.33203125" style="335" customWidth="1"/>
    <col min="3325" max="3325" width="10.33203125" style="335" customWidth="1"/>
    <col min="3326" max="3326" width="10.1640625" style="335" customWidth="1"/>
    <col min="3327" max="3327" width="13" style="335" customWidth="1"/>
    <col min="3328" max="3328" width="12.5" style="335" customWidth="1"/>
    <col min="3329" max="3329" width="11.6640625" style="335" customWidth="1"/>
    <col min="3330" max="3330" width="11.33203125" style="335" customWidth="1"/>
    <col min="3331" max="3331" width="10.33203125" style="335" customWidth="1"/>
    <col min="3332" max="3332" width="12" style="335" customWidth="1"/>
    <col min="3333" max="3571" width="9.33203125" style="335"/>
    <col min="3572" max="3572" width="4.83203125" style="335" customWidth="1"/>
    <col min="3573" max="3573" width="27.33203125" style="335" customWidth="1"/>
    <col min="3574" max="3575" width="15.5" style="335" customWidth="1"/>
    <col min="3576" max="3576" width="13.6640625" style="335" customWidth="1"/>
    <col min="3577" max="3577" width="12.33203125" style="335" customWidth="1"/>
    <col min="3578" max="3578" width="13" style="335" bestFit="1" customWidth="1"/>
    <col min="3579" max="3579" width="11.33203125" style="335" customWidth="1"/>
    <col min="3580" max="3580" width="12.33203125" style="335" customWidth="1"/>
    <col min="3581" max="3581" width="10.33203125" style="335" customWidth="1"/>
    <col min="3582" max="3582" width="10.1640625" style="335" customWidth="1"/>
    <col min="3583" max="3583" width="13" style="335" customWidth="1"/>
    <col min="3584" max="3584" width="12.5" style="335" customWidth="1"/>
    <col min="3585" max="3585" width="11.6640625" style="335" customWidth="1"/>
    <col min="3586" max="3586" width="11.33203125" style="335" customWidth="1"/>
    <col min="3587" max="3587" width="10.33203125" style="335" customWidth="1"/>
    <col min="3588" max="3588" width="12" style="335" customWidth="1"/>
    <col min="3589" max="3827" width="9.33203125" style="335"/>
    <col min="3828" max="3828" width="4.83203125" style="335" customWidth="1"/>
    <col min="3829" max="3829" width="27.33203125" style="335" customWidth="1"/>
    <col min="3830" max="3831" width="15.5" style="335" customWidth="1"/>
    <col min="3832" max="3832" width="13.6640625" style="335" customWidth="1"/>
    <col min="3833" max="3833" width="12.33203125" style="335" customWidth="1"/>
    <col min="3834" max="3834" width="13" style="335" bestFit="1" customWidth="1"/>
    <col min="3835" max="3835" width="11.33203125" style="335" customWidth="1"/>
    <col min="3836" max="3836" width="12.33203125" style="335" customWidth="1"/>
    <col min="3837" max="3837" width="10.33203125" style="335" customWidth="1"/>
    <col min="3838" max="3838" width="10.1640625" style="335" customWidth="1"/>
    <col min="3839" max="3839" width="13" style="335" customWidth="1"/>
    <col min="3840" max="3840" width="12.5" style="335" customWidth="1"/>
    <col min="3841" max="3841" width="11.6640625" style="335" customWidth="1"/>
    <col min="3842" max="3842" width="11.33203125" style="335" customWidth="1"/>
    <col min="3843" max="3843" width="10.33203125" style="335" customWidth="1"/>
    <col min="3844" max="3844" width="12" style="335" customWidth="1"/>
    <col min="3845" max="4083" width="9.33203125" style="335"/>
    <col min="4084" max="4084" width="4.83203125" style="335" customWidth="1"/>
    <col min="4085" max="4085" width="27.33203125" style="335" customWidth="1"/>
    <col min="4086" max="4087" width="15.5" style="335" customWidth="1"/>
    <col min="4088" max="4088" width="13.6640625" style="335" customWidth="1"/>
    <col min="4089" max="4089" width="12.33203125" style="335" customWidth="1"/>
    <col min="4090" max="4090" width="13" style="335" bestFit="1" customWidth="1"/>
    <col min="4091" max="4091" width="11.33203125" style="335" customWidth="1"/>
    <col min="4092" max="4092" width="12.33203125" style="335" customWidth="1"/>
    <col min="4093" max="4093" width="10.33203125" style="335" customWidth="1"/>
    <col min="4094" max="4094" width="10.1640625" style="335" customWidth="1"/>
    <col min="4095" max="4095" width="13" style="335" customWidth="1"/>
    <col min="4096" max="4096" width="12.5" style="335" customWidth="1"/>
    <col min="4097" max="4097" width="11.6640625" style="335" customWidth="1"/>
    <col min="4098" max="4098" width="11.33203125" style="335" customWidth="1"/>
    <col min="4099" max="4099" width="10.33203125" style="335" customWidth="1"/>
    <col min="4100" max="4100" width="12" style="335" customWidth="1"/>
    <col min="4101" max="4339" width="9.33203125" style="335"/>
    <col min="4340" max="4340" width="4.83203125" style="335" customWidth="1"/>
    <col min="4341" max="4341" width="27.33203125" style="335" customWidth="1"/>
    <col min="4342" max="4343" width="15.5" style="335" customWidth="1"/>
    <col min="4344" max="4344" width="13.6640625" style="335" customWidth="1"/>
    <col min="4345" max="4345" width="12.33203125" style="335" customWidth="1"/>
    <col min="4346" max="4346" width="13" style="335" bestFit="1" customWidth="1"/>
    <col min="4347" max="4347" width="11.33203125" style="335" customWidth="1"/>
    <col min="4348" max="4348" width="12.33203125" style="335" customWidth="1"/>
    <col min="4349" max="4349" width="10.33203125" style="335" customWidth="1"/>
    <col min="4350" max="4350" width="10.1640625" style="335" customWidth="1"/>
    <col min="4351" max="4351" width="13" style="335" customWidth="1"/>
    <col min="4352" max="4352" width="12.5" style="335" customWidth="1"/>
    <col min="4353" max="4353" width="11.6640625" style="335" customWidth="1"/>
    <col min="4354" max="4354" width="11.33203125" style="335" customWidth="1"/>
    <col min="4355" max="4355" width="10.33203125" style="335" customWidth="1"/>
    <col min="4356" max="4356" width="12" style="335" customWidth="1"/>
    <col min="4357" max="4595" width="9.33203125" style="335"/>
    <col min="4596" max="4596" width="4.83203125" style="335" customWidth="1"/>
    <col min="4597" max="4597" width="27.33203125" style="335" customWidth="1"/>
    <col min="4598" max="4599" width="15.5" style="335" customWidth="1"/>
    <col min="4600" max="4600" width="13.6640625" style="335" customWidth="1"/>
    <col min="4601" max="4601" width="12.33203125" style="335" customWidth="1"/>
    <col min="4602" max="4602" width="13" style="335" bestFit="1" customWidth="1"/>
    <col min="4603" max="4603" width="11.33203125" style="335" customWidth="1"/>
    <col min="4604" max="4604" width="12.33203125" style="335" customWidth="1"/>
    <col min="4605" max="4605" width="10.33203125" style="335" customWidth="1"/>
    <col min="4606" max="4606" width="10.1640625" style="335" customWidth="1"/>
    <col min="4607" max="4607" width="13" style="335" customWidth="1"/>
    <col min="4608" max="4608" width="12.5" style="335" customWidth="1"/>
    <col min="4609" max="4609" width="11.6640625" style="335" customWidth="1"/>
    <col min="4610" max="4610" width="11.33203125" style="335" customWidth="1"/>
    <col min="4611" max="4611" width="10.33203125" style="335" customWidth="1"/>
    <col min="4612" max="4612" width="12" style="335" customWidth="1"/>
    <col min="4613" max="4851" width="9.33203125" style="335"/>
    <col min="4852" max="4852" width="4.83203125" style="335" customWidth="1"/>
    <col min="4853" max="4853" width="27.33203125" style="335" customWidth="1"/>
    <col min="4854" max="4855" width="15.5" style="335" customWidth="1"/>
    <col min="4856" max="4856" width="13.6640625" style="335" customWidth="1"/>
    <col min="4857" max="4857" width="12.33203125" style="335" customWidth="1"/>
    <col min="4858" max="4858" width="13" style="335" bestFit="1" customWidth="1"/>
    <col min="4859" max="4859" width="11.33203125" style="335" customWidth="1"/>
    <col min="4860" max="4860" width="12.33203125" style="335" customWidth="1"/>
    <col min="4861" max="4861" width="10.33203125" style="335" customWidth="1"/>
    <col min="4862" max="4862" width="10.1640625" style="335" customWidth="1"/>
    <col min="4863" max="4863" width="13" style="335" customWidth="1"/>
    <col min="4864" max="4864" width="12.5" style="335" customWidth="1"/>
    <col min="4865" max="4865" width="11.6640625" style="335" customWidth="1"/>
    <col min="4866" max="4866" width="11.33203125" style="335" customWidth="1"/>
    <col min="4867" max="4867" width="10.33203125" style="335" customWidth="1"/>
    <col min="4868" max="4868" width="12" style="335" customWidth="1"/>
    <col min="4869" max="5107" width="9.33203125" style="335"/>
    <col min="5108" max="5108" width="4.83203125" style="335" customWidth="1"/>
    <col min="5109" max="5109" width="27.33203125" style="335" customWidth="1"/>
    <col min="5110" max="5111" width="15.5" style="335" customWidth="1"/>
    <col min="5112" max="5112" width="13.6640625" style="335" customWidth="1"/>
    <col min="5113" max="5113" width="12.33203125" style="335" customWidth="1"/>
    <col min="5114" max="5114" width="13" style="335" bestFit="1" customWidth="1"/>
    <col min="5115" max="5115" width="11.33203125" style="335" customWidth="1"/>
    <col min="5116" max="5116" width="12.33203125" style="335" customWidth="1"/>
    <col min="5117" max="5117" width="10.33203125" style="335" customWidth="1"/>
    <col min="5118" max="5118" width="10.1640625" style="335" customWidth="1"/>
    <col min="5119" max="5119" width="13" style="335" customWidth="1"/>
    <col min="5120" max="5120" width="12.5" style="335" customWidth="1"/>
    <col min="5121" max="5121" width="11.6640625" style="335" customWidth="1"/>
    <col min="5122" max="5122" width="11.33203125" style="335" customWidth="1"/>
    <col min="5123" max="5123" width="10.33203125" style="335" customWidth="1"/>
    <col min="5124" max="5124" width="12" style="335" customWidth="1"/>
    <col min="5125" max="5363" width="9.33203125" style="335"/>
    <col min="5364" max="5364" width="4.83203125" style="335" customWidth="1"/>
    <col min="5365" max="5365" width="27.33203125" style="335" customWidth="1"/>
    <col min="5366" max="5367" width="15.5" style="335" customWidth="1"/>
    <col min="5368" max="5368" width="13.6640625" style="335" customWidth="1"/>
    <col min="5369" max="5369" width="12.33203125" style="335" customWidth="1"/>
    <col min="5370" max="5370" width="13" style="335" bestFit="1" customWidth="1"/>
    <col min="5371" max="5371" width="11.33203125" style="335" customWidth="1"/>
    <col min="5372" max="5372" width="12.33203125" style="335" customWidth="1"/>
    <col min="5373" max="5373" width="10.33203125" style="335" customWidth="1"/>
    <col min="5374" max="5374" width="10.1640625" style="335" customWidth="1"/>
    <col min="5375" max="5375" width="13" style="335" customWidth="1"/>
    <col min="5376" max="5376" width="12.5" style="335" customWidth="1"/>
    <col min="5377" max="5377" width="11.6640625" style="335" customWidth="1"/>
    <col min="5378" max="5378" width="11.33203125" style="335" customWidth="1"/>
    <col min="5379" max="5379" width="10.33203125" style="335" customWidth="1"/>
    <col min="5380" max="5380" width="12" style="335" customWidth="1"/>
    <col min="5381" max="5619" width="9.33203125" style="335"/>
    <col min="5620" max="5620" width="4.83203125" style="335" customWidth="1"/>
    <col min="5621" max="5621" width="27.33203125" style="335" customWidth="1"/>
    <col min="5622" max="5623" width="15.5" style="335" customWidth="1"/>
    <col min="5624" max="5624" width="13.6640625" style="335" customWidth="1"/>
    <col min="5625" max="5625" width="12.33203125" style="335" customWidth="1"/>
    <col min="5626" max="5626" width="13" style="335" bestFit="1" customWidth="1"/>
    <col min="5627" max="5627" width="11.33203125" style="335" customWidth="1"/>
    <col min="5628" max="5628" width="12.33203125" style="335" customWidth="1"/>
    <col min="5629" max="5629" width="10.33203125" style="335" customWidth="1"/>
    <col min="5630" max="5630" width="10.1640625" style="335" customWidth="1"/>
    <col min="5631" max="5631" width="13" style="335" customWidth="1"/>
    <col min="5632" max="5632" width="12.5" style="335" customWidth="1"/>
    <col min="5633" max="5633" width="11.6640625" style="335" customWidth="1"/>
    <col min="5634" max="5634" width="11.33203125" style="335" customWidth="1"/>
    <col min="5635" max="5635" width="10.33203125" style="335" customWidth="1"/>
    <col min="5636" max="5636" width="12" style="335" customWidth="1"/>
    <col min="5637" max="5875" width="9.33203125" style="335"/>
    <col min="5876" max="5876" width="4.83203125" style="335" customWidth="1"/>
    <col min="5877" max="5877" width="27.33203125" style="335" customWidth="1"/>
    <col min="5878" max="5879" width="15.5" style="335" customWidth="1"/>
    <col min="5880" max="5880" width="13.6640625" style="335" customWidth="1"/>
    <col min="5881" max="5881" width="12.33203125" style="335" customWidth="1"/>
    <col min="5882" max="5882" width="13" style="335" bestFit="1" customWidth="1"/>
    <col min="5883" max="5883" width="11.33203125" style="335" customWidth="1"/>
    <col min="5884" max="5884" width="12.33203125" style="335" customWidth="1"/>
    <col min="5885" max="5885" width="10.33203125" style="335" customWidth="1"/>
    <col min="5886" max="5886" width="10.1640625" style="335" customWidth="1"/>
    <col min="5887" max="5887" width="13" style="335" customWidth="1"/>
    <col min="5888" max="5888" width="12.5" style="335" customWidth="1"/>
    <col min="5889" max="5889" width="11.6640625" style="335" customWidth="1"/>
    <col min="5890" max="5890" width="11.33203125" style="335" customWidth="1"/>
    <col min="5891" max="5891" width="10.33203125" style="335" customWidth="1"/>
    <col min="5892" max="5892" width="12" style="335" customWidth="1"/>
    <col min="5893" max="6131" width="9.33203125" style="335"/>
    <col min="6132" max="6132" width="4.83203125" style="335" customWidth="1"/>
    <col min="6133" max="6133" width="27.33203125" style="335" customWidth="1"/>
    <col min="6134" max="6135" width="15.5" style="335" customWidth="1"/>
    <col min="6136" max="6136" width="13.6640625" style="335" customWidth="1"/>
    <col min="6137" max="6137" width="12.33203125" style="335" customWidth="1"/>
    <col min="6138" max="6138" width="13" style="335" bestFit="1" customWidth="1"/>
    <col min="6139" max="6139" width="11.33203125" style="335" customWidth="1"/>
    <col min="6140" max="6140" width="12.33203125" style="335" customWidth="1"/>
    <col min="6141" max="6141" width="10.33203125" style="335" customWidth="1"/>
    <col min="6142" max="6142" width="10.1640625" style="335" customWidth="1"/>
    <col min="6143" max="6143" width="13" style="335" customWidth="1"/>
    <col min="6144" max="6144" width="12.5" style="335" customWidth="1"/>
    <col min="6145" max="6145" width="11.6640625" style="335" customWidth="1"/>
    <col min="6146" max="6146" width="11.33203125" style="335" customWidth="1"/>
    <col min="6147" max="6147" width="10.33203125" style="335" customWidth="1"/>
    <col min="6148" max="6148" width="12" style="335" customWidth="1"/>
    <col min="6149" max="6387" width="9.33203125" style="335"/>
    <col min="6388" max="6388" width="4.83203125" style="335" customWidth="1"/>
    <col min="6389" max="6389" width="27.33203125" style="335" customWidth="1"/>
    <col min="6390" max="6391" width="15.5" style="335" customWidth="1"/>
    <col min="6392" max="6392" width="13.6640625" style="335" customWidth="1"/>
    <col min="6393" max="6393" width="12.33203125" style="335" customWidth="1"/>
    <col min="6394" max="6394" width="13" style="335" bestFit="1" customWidth="1"/>
    <col min="6395" max="6395" width="11.33203125" style="335" customWidth="1"/>
    <col min="6396" max="6396" width="12.33203125" style="335" customWidth="1"/>
    <col min="6397" max="6397" width="10.33203125" style="335" customWidth="1"/>
    <col min="6398" max="6398" width="10.1640625" style="335" customWidth="1"/>
    <col min="6399" max="6399" width="13" style="335" customWidth="1"/>
    <col min="6400" max="6400" width="12.5" style="335" customWidth="1"/>
    <col min="6401" max="6401" width="11.6640625" style="335" customWidth="1"/>
    <col min="6402" max="6402" width="11.33203125" style="335" customWidth="1"/>
    <col min="6403" max="6403" width="10.33203125" style="335" customWidth="1"/>
    <col min="6404" max="6404" width="12" style="335" customWidth="1"/>
    <col min="6405" max="6643" width="9.33203125" style="335"/>
    <col min="6644" max="6644" width="4.83203125" style="335" customWidth="1"/>
    <col min="6645" max="6645" width="27.33203125" style="335" customWidth="1"/>
    <col min="6646" max="6647" width="15.5" style="335" customWidth="1"/>
    <col min="6648" max="6648" width="13.6640625" style="335" customWidth="1"/>
    <col min="6649" max="6649" width="12.33203125" style="335" customWidth="1"/>
    <col min="6650" max="6650" width="13" style="335" bestFit="1" customWidth="1"/>
    <col min="6651" max="6651" width="11.33203125" style="335" customWidth="1"/>
    <col min="6652" max="6652" width="12.33203125" style="335" customWidth="1"/>
    <col min="6653" max="6653" width="10.33203125" style="335" customWidth="1"/>
    <col min="6654" max="6654" width="10.1640625" style="335" customWidth="1"/>
    <col min="6655" max="6655" width="13" style="335" customWidth="1"/>
    <col min="6656" max="6656" width="12.5" style="335" customWidth="1"/>
    <col min="6657" max="6657" width="11.6640625" style="335" customWidth="1"/>
    <col min="6658" max="6658" width="11.33203125" style="335" customWidth="1"/>
    <col min="6659" max="6659" width="10.33203125" style="335" customWidth="1"/>
    <col min="6660" max="6660" width="12" style="335" customWidth="1"/>
    <col min="6661" max="6899" width="9.33203125" style="335"/>
    <col min="6900" max="6900" width="4.83203125" style="335" customWidth="1"/>
    <col min="6901" max="6901" width="27.33203125" style="335" customWidth="1"/>
    <col min="6902" max="6903" width="15.5" style="335" customWidth="1"/>
    <col min="6904" max="6904" width="13.6640625" style="335" customWidth="1"/>
    <col min="6905" max="6905" width="12.33203125" style="335" customWidth="1"/>
    <col min="6906" max="6906" width="13" style="335" bestFit="1" customWidth="1"/>
    <col min="6907" max="6907" width="11.33203125" style="335" customWidth="1"/>
    <col min="6908" max="6908" width="12.33203125" style="335" customWidth="1"/>
    <col min="6909" max="6909" width="10.33203125" style="335" customWidth="1"/>
    <col min="6910" max="6910" width="10.1640625" style="335" customWidth="1"/>
    <col min="6911" max="6911" width="13" style="335" customWidth="1"/>
    <col min="6912" max="6912" width="12.5" style="335" customWidth="1"/>
    <col min="6913" max="6913" width="11.6640625" style="335" customWidth="1"/>
    <col min="6914" max="6914" width="11.33203125" style="335" customWidth="1"/>
    <col min="6915" max="6915" width="10.33203125" style="335" customWidth="1"/>
    <col min="6916" max="6916" width="12" style="335" customWidth="1"/>
    <col min="6917" max="7155" width="9.33203125" style="335"/>
    <col min="7156" max="7156" width="4.83203125" style="335" customWidth="1"/>
    <col min="7157" max="7157" width="27.33203125" style="335" customWidth="1"/>
    <col min="7158" max="7159" width="15.5" style="335" customWidth="1"/>
    <col min="7160" max="7160" width="13.6640625" style="335" customWidth="1"/>
    <col min="7161" max="7161" width="12.33203125" style="335" customWidth="1"/>
    <col min="7162" max="7162" width="13" style="335" bestFit="1" customWidth="1"/>
    <col min="7163" max="7163" width="11.33203125" style="335" customWidth="1"/>
    <col min="7164" max="7164" width="12.33203125" style="335" customWidth="1"/>
    <col min="7165" max="7165" width="10.33203125" style="335" customWidth="1"/>
    <col min="7166" max="7166" width="10.1640625" style="335" customWidth="1"/>
    <col min="7167" max="7167" width="13" style="335" customWidth="1"/>
    <col min="7168" max="7168" width="12.5" style="335" customWidth="1"/>
    <col min="7169" max="7169" width="11.6640625" style="335" customWidth="1"/>
    <col min="7170" max="7170" width="11.33203125" style="335" customWidth="1"/>
    <col min="7171" max="7171" width="10.33203125" style="335" customWidth="1"/>
    <col min="7172" max="7172" width="12" style="335" customWidth="1"/>
    <col min="7173" max="7411" width="9.33203125" style="335"/>
    <col min="7412" max="7412" width="4.83203125" style="335" customWidth="1"/>
    <col min="7413" max="7413" width="27.33203125" style="335" customWidth="1"/>
    <col min="7414" max="7415" width="15.5" style="335" customWidth="1"/>
    <col min="7416" max="7416" width="13.6640625" style="335" customWidth="1"/>
    <col min="7417" max="7417" width="12.33203125" style="335" customWidth="1"/>
    <col min="7418" max="7418" width="13" style="335" bestFit="1" customWidth="1"/>
    <col min="7419" max="7419" width="11.33203125" style="335" customWidth="1"/>
    <col min="7420" max="7420" width="12.33203125" style="335" customWidth="1"/>
    <col min="7421" max="7421" width="10.33203125" style="335" customWidth="1"/>
    <col min="7422" max="7422" width="10.1640625" style="335" customWidth="1"/>
    <col min="7423" max="7423" width="13" style="335" customWidth="1"/>
    <col min="7424" max="7424" width="12.5" style="335" customWidth="1"/>
    <col min="7425" max="7425" width="11.6640625" style="335" customWidth="1"/>
    <col min="7426" max="7426" width="11.33203125" style="335" customWidth="1"/>
    <col min="7427" max="7427" width="10.33203125" style="335" customWidth="1"/>
    <col min="7428" max="7428" width="12" style="335" customWidth="1"/>
    <col min="7429" max="7667" width="9.33203125" style="335"/>
    <col min="7668" max="7668" width="4.83203125" style="335" customWidth="1"/>
    <col min="7669" max="7669" width="27.33203125" style="335" customWidth="1"/>
    <col min="7670" max="7671" width="15.5" style="335" customWidth="1"/>
    <col min="7672" max="7672" width="13.6640625" style="335" customWidth="1"/>
    <col min="7673" max="7673" width="12.33203125" style="335" customWidth="1"/>
    <col min="7674" max="7674" width="13" style="335" bestFit="1" customWidth="1"/>
    <col min="7675" max="7675" width="11.33203125" style="335" customWidth="1"/>
    <col min="7676" max="7676" width="12.33203125" style="335" customWidth="1"/>
    <col min="7677" max="7677" width="10.33203125" style="335" customWidth="1"/>
    <col min="7678" max="7678" width="10.1640625" style="335" customWidth="1"/>
    <col min="7679" max="7679" width="13" style="335" customWidth="1"/>
    <col min="7680" max="7680" width="12.5" style="335" customWidth="1"/>
    <col min="7681" max="7681" width="11.6640625" style="335" customWidth="1"/>
    <col min="7682" max="7682" width="11.33203125" style="335" customWidth="1"/>
    <col min="7683" max="7683" width="10.33203125" style="335" customWidth="1"/>
    <col min="7684" max="7684" width="12" style="335" customWidth="1"/>
    <col min="7685" max="7923" width="9.33203125" style="335"/>
    <col min="7924" max="7924" width="4.83203125" style="335" customWidth="1"/>
    <col min="7925" max="7925" width="27.33203125" style="335" customWidth="1"/>
    <col min="7926" max="7927" width="15.5" style="335" customWidth="1"/>
    <col min="7928" max="7928" width="13.6640625" style="335" customWidth="1"/>
    <col min="7929" max="7929" width="12.33203125" style="335" customWidth="1"/>
    <col min="7930" max="7930" width="13" style="335" bestFit="1" customWidth="1"/>
    <col min="7931" max="7931" width="11.33203125" style="335" customWidth="1"/>
    <col min="7932" max="7932" width="12.33203125" style="335" customWidth="1"/>
    <col min="7933" max="7933" width="10.33203125" style="335" customWidth="1"/>
    <col min="7934" max="7934" width="10.1640625" style="335" customWidth="1"/>
    <col min="7935" max="7935" width="13" style="335" customWidth="1"/>
    <col min="7936" max="7936" width="12.5" style="335" customWidth="1"/>
    <col min="7937" max="7937" width="11.6640625" style="335" customWidth="1"/>
    <col min="7938" max="7938" width="11.33203125" style="335" customWidth="1"/>
    <col min="7939" max="7939" width="10.33203125" style="335" customWidth="1"/>
    <col min="7940" max="7940" width="12" style="335" customWidth="1"/>
    <col min="7941" max="8179" width="9.33203125" style="335"/>
    <col min="8180" max="8180" width="4.83203125" style="335" customWidth="1"/>
    <col min="8181" max="8181" width="27.33203125" style="335" customWidth="1"/>
    <col min="8182" max="8183" width="15.5" style="335" customWidth="1"/>
    <col min="8184" max="8184" width="13.6640625" style="335" customWidth="1"/>
    <col min="8185" max="8185" width="12.33203125" style="335" customWidth="1"/>
    <col min="8186" max="8186" width="13" style="335" bestFit="1" customWidth="1"/>
    <col min="8187" max="8187" width="11.33203125" style="335" customWidth="1"/>
    <col min="8188" max="8188" width="12.33203125" style="335" customWidth="1"/>
    <col min="8189" max="8189" width="10.33203125" style="335" customWidth="1"/>
    <col min="8190" max="8190" width="10.1640625" style="335" customWidth="1"/>
    <col min="8191" max="8191" width="13" style="335" customWidth="1"/>
    <col min="8192" max="8192" width="12.5" style="335" customWidth="1"/>
    <col min="8193" max="8193" width="11.6640625" style="335" customWidth="1"/>
    <col min="8194" max="8194" width="11.33203125" style="335" customWidth="1"/>
    <col min="8195" max="8195" width="10.33203125" style="335" customWidth="1"/>
    <col min="8196" max="8196" width="12" style="335" customWidth="1"/>
    <col min="8197" max="8435" width="9.33203125" style="335"/>
    <col min="8436" max="8436" width="4.83203125" style="335" customWidth="1"/>
    <col min="8437" max="8437" width="27.33203125" style="335" customWidth="1"/>
    <col min="8438" max="8439" width="15.5" style="335" customWidth="1"/>
    <col min="8440" max="8440" width="13.6640625" style="335" customWidth="1"/>
    <col min="8441" max="8441" width="12.33203125" style="335" customWidth="1"/>
    <col min="8442" max="8442" width="13" style="335" bestFit="1" customWidth="1"/>
    <col min="8443" max="8443" width="11.33203125" style="335" customWidth="1"/>
    <col min="8444" max="8444" width="12.33203125" style="335" customWidth="1"/>
    <col min="8445" max="8445" width="10.33203125" style="335" customWidth="1"/>
    <col min="8446" max="8446" width="10.1640625" style="335" customWidth="1"/>
    <col min="8447" max="8447" width="13" style="335" customWidth="1"/>
    <col min="8448" max="8448" width="12.5" style="335" customWidth="1"/>
    <col min="8449" max="8449" width="11.6640625" style="335" customWidth="1"/>
    <col min="8450" max="8450" width="11.33203125" style="335" customWidth="1"/>
    <col min="8451" max="8451" width="10.33203125" style="335" customWidth="1"/>
    <col min="8452" max="8452" width="12" style="335" customWidth="1"/>
    <col min="8453" max="8691" width="9.33203125" style="335"/>
    <col min="8692" max="8692" width="4.83203125" style="335" customWidth="1"/>
    <col min="8693" max="8693" width="27.33203125" style="335" customWidth="1"/>
    <col min="8694" max="8695" width="15.5" style="335" customWidth="1"/>
    <col min="8696" max="8696" width="13.6640625" style="335" customWidth="1"/>
    <col min="8697" max="8697" width="12.33203125" style="335" customWidth="1"/>
    <col min="8698" max="8698" width="13" style="335" bestFit="1" customWidth="1"/>
    <col min="8699" max="8699" width="11.33203125" style="335" customWidth="1"/>
    <col min="8700" max="8700" width="12.33203125" style="335" customWidth="1"/>
    <col min="8701" max="8701" width="10.33203125" style="335" customWidth="1"/>
    <col min="8702" max="8702" width="10.1640625" style="335" customWidth="1"/>
    <col min="8703" max="8703" width="13" style="335" customWidth="1"/>
    <col min="8704" max="8704" width="12.5" style="335" customWidth="1"/>
    <col min="8705" max="8705" width="11.6640625" style="335" customWidth="1"/>
    <col min="8706" max="8706" width="11.33203125" style="335" customWidth="1"/>
    <col min="8707" max="8707" width="10.33203125" style="335" customWidth="1"/>
    <col min="8708" max="8708" width="12" style="335" customWidth="1"/>
    <col min="8709" max="8947" width="9.33203125" style="335"/>
    <col min="8948" max="8948" width="4.83203125" style="335" customWidth="1"/>
    <col min="8949" max="8949" width="27.33203125" style="335" customWidth="1"/>
    <col min="8950" max="8951" width="15.5" style="335" customWidth="1"/>
    <col min="8952" max="8952" width="13.6640625" style="335" customWidth="1"/>
    <col min="8953" max="8953" width="12.33203125" style="335" customWidth="1"/>
    <col min="8954" max="8954" width="13" style="335" bestFit="1" customWidth="1"/>
    <col min="8955" max="8955" width="11.33203125" style="335" customWidth="1"/>
    <col min="8956" max="8956" width="12.33203125" style="335" customWidth="1"/>
    <col min="8957" max="8957" width="10.33203125" style="335" customWidth="1"/>
    <col min="8958" max="8958" width="10.1640625" style="335" customWidth="1"/>
    <col min="8959" max="8959" width="13" style="335" customWidth="1"/>
    <col min="8960" max="8960" width="12.5" style="335" customWidth="1"/>
    <col min="8961" max="8961" width="11.6640625" style="335" customWidth="1"/>
    <col min="8962" max="8962" width="11.33203125" style="335" customWidth="1"/>
    <col min="8963" max="8963" width="10.33203125" style="335" customWidth="1"/>
    <col min="8964" max="8964" width="12" style="335" customWidth="1"/>
    <col min="8965" max="9203" width="9.33203125" style="335"/>
    <col min="9204" max="9204" width="4.83203125" style="335" customWidth="1"/>
    <col min="9205" max="9205" width="27.33203125" style="335" customWidth="1"/>
    <col min="9206" max="9207" width="15.5" style="335" customWidth="1"/>
    <col min="9208" max="9208" width="13.6640625" style="335" customWidth="1"/>
    <col min="9209" max="9209" width="12.33203125" style="335" customWidth="1"/>
    <col min="9210" max="9210" width="13" style="335" bestFit="1" customWidth="1"/>
    <col min="9211" max="9211" width="11.33203125" style="335" customWidth="1"/>
    <col min="9212" max="9212" width="12.33203125" style="335" customWidth="1"/>
    <col min="9213" max="9213" width="10.33203125" style="335" customWidth="1"/>
    <col min="9214" max="9214" width="10.1640625" style="335" customWidth="1"/>
    <col min="9215" max="9215" width="13" style="335" customWidth="1"/>
    <col min="9216" max="9216" width="12.5" style="335" customWidth="1"/>
    <col min="9217" max="9217" width="11.6640625" style="335" customWidth="1"/>
    <col min="9218" max="9218" width="11.33203125" style="335" customWidth="1"/>
    <col min="9219" max="9219" width="10.33203125" style="335" customWidth="1"/>
    <col min="9220" max="9220" width="12" style="335" customWidth="1"/>
    <col min="9221" max="9459" width="9.33203125" style="335"/>
    <col min="9460" max="9460" width="4.83203125" style="335" customWidth="1"/>
    <col min="9461" max="9461" width="27.33203125" style="335" customWidth="1"/>
    <col min="9462" max="9463" width="15.5" style="335" customWidth="1"/>
    <col min="9464" max="9464" width="13.6640625" style="335" customWidth="1"/>
    <col min="9465" max="9465" width="12.33203125" style="335" customWidth="1"/>
    <col min="9466" max="9466" width="13" style="335" bestFit="1" customWidth="1"/>
    <col min="9467" max="9467" width="11.33203125" style="335" customWidth="1"/>
    <col min="9468" max="9468" width="12.33203125" style="335" customWidth="1"/>
    <col min="9469" max="9469" width="10.33203125" style="335" customWidth="1"/>
    <col min="9470" max="9470" width="10.1640625" style="335" customWidth="1"/>
    <col min="9471" max="9471" width="13" style="335" customWidth="1"/>
    <col min="9472" max="9472" width="12.5" style="335" customWidth="1"/>
    <col min="9473" max="9473" width="11.6640625" style="335" customWidth="1"/>
    <col min="9474" max="9474" width="11.33203125" style="335" customWidth="1"/>
    <col min="9475" max="9475" width="10.33203125" style="335" customWidth="1"/>
    <col min="9476" max="9476" width="12" style="335" customWidth="1"/>
    <col min="9477" max="9715" width="9.33203125" style="335"/>
    <col min="9716" max="9716" width="4.83203125" style="335" customWidth="1"/>
    <col min="9717" max="9717" width="27.33203125" style="335" customWidth="1"/>
    <col min="9718" max="9719" width="15.5" style="335" customWidth="1"/>
    <col min="9720" max="9720" width="13.6640625" style="335" customWidth="1"/>
    <col min="9721" max="9721" width="12.33203125" style="335" customWidth="1"/>
    <col min="9722" max="9722" width="13" style="335" bestFit="1" customWidth="1"/>
    <col min="9723" max="9723" width="11.33203125" style="335" customWidth="1"/>
    <col min="9724" max="9724" width="12.33203125" style="335" customWidth="1"/>
    <col min="9725" max="9725" width="10.33203125" style="335" customWidth="1"/>
    <col min="9726" max="9726" width="10.1640625" style="335" customWidth="1"/>
    <col min="9727" max="9727" width="13" style="335" customWidth="1"/>
    <col min="9728" max="9728" width="12.5" style="335" customWidth="1"/>
    <col min="9729" max="9729" width="11.6640625" style="335" customWidth="1"/>
    <col min="9730" max="9730" width="11.33203125" style="335" customWidth="1"/>
    <col min="9731" max="9731" width="10.33203125" style="335" customWidth="1"/>
    <col min="9732" max="9732" width="12" style="335" customWidth="1"/>
    <col min="9733" max="9971" width="9.33203125" style="335"/>
    <col min="9972" max="9972" width="4.83203125" style="335" customWidth="1"/>
    <col min="9973" max="9973" width="27.33203125" style="335" customWidth="1"/>
    <col min="9974" max="9975" width="15.5" style="335" customWidth="1"/>
    <col min="9976" max="9976" width="13.6640625" style="335" customWidth="1"/>
    <col min="9977" max="9977" width="12.33203125" style="335" customWidth="1"/>
    <col min="9978" max="9978" width="13" style="335" bestFit="1" customWidth="1"/>
    <col min="9979" max="9979" width="11.33203125" style="335" customWidth="1"/>
    <col min="9980" max="9980" width="12.33203125" style="335" customWidth="1"/>
    <col min="9981" max="9981" width="10.33203125" style="335" customWidth="1"/>
    <col min="9982" max="9982" width="10.1640625" style="335" customWidth="1"/>
    <col min="9983" max="9983" width="13" style="335" customWidth="1"/>
    <col min="9984" max="9984" width="12.5" style="335" customWidth="1"/>
    <col min="9985" max="9985" width="11.6640625" style="335" customWidth="1"/>
    <col min="9986" max="9986" width="11.33203125" style="335" customWidth="1"/>
    <col min="9987" max="9987" width="10.33203125" style="335" customWidth="1"/>
    <col min="9988" max="9988" width="12" style="335" customWidth="1"/>
    <col min="9989" max="10227" width="9.33203125" style="335"/>
    <col min="10228" max="10228" width="4.83203125" style="335" customWidth="1"/>
    <col min="10229" max="10229" width="27.33203125" style="335" customWidth="1"/>
    <col min="10230" max="10231" width="15.5" style="335" customWidth="1"/>
    <col min="10232" max="10232" width="13.6640625" style="335" customWidth="1"/>
    <col min="10233" max="10233" width="12.33203125" style="335" customWidth="1"/>
    <col min="10234" max="10234" width="13" style="335" bestFit="1" customWidth="1"/>
    <col min="10235" max="10235" width="11.33203125" style="335" customWidth="1"/>
    <col min="10236" max="10236" width="12.33203125" style="335" customWidth="1"/>
    <col min="10237" max="10237" width="10.33203125" style="335" customWidth="1"/>
    <col min="10238" max="10238" width="10.1640625" style="335" customWidth="1"/>
    <col min="10239" max="10239" width="13" style="335" customWidth="1"/>
    <col min="10240" max="10240" width="12.5" style="335" customWidth="1"/>
    <col min="10241" max="10241" width="11.6640625" style="335" customWidth="1"/>
    <col min="10242" max="10242" width="11.33203125" style="335" customWidth="1"/>
    <col min="10243" max="10243" width="10.33203125" style="335" customWidth="1"/>
    <col min="10244" max="10244" width="12" style="335" customWidth="1"/>
    <col min="10245" max="10483" width="9.33203125" style="335"/>
    <col min="10484" max="10484" width="4.83203125" style="335" customWidth="1"/>
    <col min="10485" max="10485" width="27.33203125" style="335" customWidth="1"/>
    <col min="10486" max="10487" width="15.5" style="335" customWidth="1"/>
    <col min="10488" max="10488" width="13.6640625" style="335" customWidth="1"/>
    <col min="10489" max="10489" width="12.33203125" style="335" customWidth="1"/>
    <col min="10490" max="10490" width="13" style="335" bestFit="1" customWidth="1"/>
    <col min="10491" max="10491" width="11.33203125" style="335" customWidth="1"/>
    <col min="10492" max="10492" width="12.33203125" style="335" customWidth="1"/>
    <col min="10493" max="10493" width="10.33203125" style="335" customWidth="1"/>
    <col min="10494" max="10494" width="10.1640625" style="335" customWidth="1"/>
    <col min="10495" max="10495" width="13" style="335" customWidth="1"/>
    <col min="10496" max="10496" width="12.5" style="335" customWidth="1"/>
    <col min="10497" max="10497" width="11.6640625" style="335" customWidth="1"/>
    <col min="10498" max="10498" width="11.33203125" style="335" customWidth="1"/>
    <col min="10499" max="10499" width="10.33203125" style="335" customWidth="1"/>
    <col min="10500" max="10500" width="12" style="335" customWidth="1"/>
    <col min="10501" max="10739" width="9.33203125" style="335"/>
    <col min="10740" max="10740" width="4.83203125" style="335" customWidth="1"/>
    <col min="10741" max="10741" width="27.33203125" style="335" customWidth="1"/>
    <col min="10742" max="10743" width="15.5" style="335" customWidth="1"/>
    <col min="10744" max="10744" width="13.6640625" style="335" customWidth="1"/>
    <col min="10745" max="10745" width="12.33203125" style="335" customWidth="1"/>
    <col min="10746" max="10746" width="13" style="335" bestFit="1" customWidth="1"/>
    <col min="10747" max="10747" width="11.33203125" style="335" customWidth="1"/>
    <col min="10748" max="10748" width="12.33203125" style="335" customWidth="1"/>
    <col min="10749" max="10749" width="10.33203125" style="335" customWidth="1"/>
    <col min="10750" max="10750" width="10.1640625" style="335" customWidth="1"/>
    <col min="10751" max="10751" width="13" style="335" customWidth="1"/>
    <col min="10752" max="10752" width="12.5" style="335" customWidth="1"/>
    <col min="10753" max="10753" width="11.6640625" style="335" customWidth="1"/>
    <col min="10754" max="10754" width="11.33203125" style="335" customWidth="1"/>
    <col min="10755" max="10755" width="10.33203125" style="335" customWidth="1"/>
    <col min="10756" max="10756" width="12" style="335" customWidth="1"/>
    <col min="10757" max="10995" width="9.33203125" style="335"/>
    <col min="10996" max="10996" width="4.83203125" style="335" customWidth="1"/>
    <col min="10997" max="10997" width="27.33203125" style="335" customWidth="1"/>
    <col min="10998" max="10999" width="15.5" style="335" customWidth="1"/>
    <col min="11000" max="11000" width="13.6640625" style="335" customWidth="1"/>
    <col min="11001" max="11001" width="12.33203125" style="335" customWidth="1"/>
    <col min="11002" max="11002" width="13" style="335" bestFit="1" customWidth="1"/>
    <col min="11003" max="11003" width="11.33203125" style="335" customWidth="1"/>
    <col min="11004" max="11004" width="12.33203125" style="335" customWidth="1"/>
    <col min="11005" max="11005" width="10.33203125" style="335" customWidth="1"/>
    <col min="11006" max="11006" width="10.1640625" style="335" customWidth="1"/>
    <col min="11007" max="11007" width="13" style="335" customWidth="1"/>
    <col min="11008" max="11008" width="12.5" style="335" customWidth="1"/>
    <col min="11009" max="11009" width="11.6640625" style="335" customWidth="1"/>
    <col min="11010" max="11010" width="11.33203125" style="335" customWidth="1"/>
    <col min="11011" max="11011" width="10.33203125" style="335" customWidth="1"/>
    <col min="11012" max="11012" width="12" style="335" customWidth="1"/>
    <col min="11013" max="11251" width="9.33203125" style="335"/>
    <col min="11252" max="11252" width="4.83203125" style="335" customWidth="1"/>
    <col min="11253" max="11253" width="27.33203125" style="335" customWidth="1"/>
    <col min="11254" max="11255" width="15.5" style="335" customWidth="1"/>
    <col min="11256" max="11256" width="13.6640625" style="335" customWidth="1"/>
    <col min="11257" max="11257" width="12.33203125" style="335" customWidth="1"/>
    <col min="11258" max="11258" width="13" style="335" bestFit="1" customWidth="1"/>
    <col min="11259" max="11259" width="11.33203125" style="335" customWidth="1"/>
    <col min="11260" max="11260" width="12.33203125" style="335" customWidth="1"/>
    <col min="11261" max="11261" width="10.33203125" style="335" customWidth="1"/>
    <col min="11262" max="11262" width="10.1640625" style="335" customWidth="1"/>
    <col min="11263" max="11263" width="13" style="335" customWidth="1"/>
    <col min="11264" max="11264" width="12.5" style="335" customWidth="1"/>
    <col min="11265" max="11265" width="11.6640625" style="335" customWidth="1"/>
    <col min="11266" max="11266" width="11.33203125" style="335" customWidth="1"/>
    <col min="11267" max="11267" width="10.33203125" style="335" customWidth="1"/>
    <col min="11268" max="11268" width="12" style="335" customWidth="1"/>
    <col min="11269" max="11507" width="9.33203125" style="335"/>
    <col min="11508" max="11508" width="4.83203125" style="335" customWidth="1"/>
    <col min="11509" max="11509" width="27.33203125" style="335" customWidth="1"/>
    <col min="11510" max="11511" width="15.5" style="335" customWidth="1"/>
    <col min="11512" max="11512" width="13.6640625" style="335" customWidth="1"/>
    <col min="11513" max="11513" width="12.33203125" style="335" customWidth="1"/>
    <col min="11514" max="11514" width="13" style="335" bestFit="1" customWidth="1"/>
    <col min="11515" max="11515" width="11.33203125" style="335" customWidth="1"/>
    <col min="11516" max="11516" width="12.33203125" style="335" customWidth="1"/>
    <col min="11517" max="11517" width="10.33203125" style="335" customWidth="1"/>
    <col min="11518" max="11518" width="10.1640625" style="335" customWidth="1"/>
    <col min="11519" max="11519" width="13" style="335" customWidth="1"/>
    <col min="11520" max="11520" width="12.5" style="335" customWidth="1"/>
    <col min="11521" max="11521" width="11.6640625" style="335" customWidth="1"/>
    <col min="11522" max="11522" width="11.33203125" style="335" customWidth="1"/>
    <col min="11523" max="11523" width="10.33203125" style="335" customWidth="1"/>
    <col min="11524" max="11524" width="12" style="335" customWidth="1"/>
    <col min="11525" max="11763" width="9.33203125" style="335"/>
    <col min="11764" max="11764" width="4.83203125" style="335" customWidth="1"/>
    <col min="11765" max="11765" width="27.33203125" style="335" customWidth="1"/>
    <col min="11766" max="11767" width="15.5" style="335" customWidth="1"/>
    <col min="11768" max="11768" width="13.6640625" style="335" customWidth="1"/>
    <col min="11769" max="11769" width="12.33203125" style="335" customWidth="1"/>
    <col min="11770" max="11770" width="13" style="335" bestFit="1" customWidth="1"/>
    <col min="11771" max="11771" width="11.33203125" style="335" customWidth="1"/>
    <col min="11772" max="11772" width="12.33203125" style="335" customWidth="1"/>
    <col min="11773" max="11773" width="10.33203125" style="335" customWidth="1"/>
    <col min="11774" max="11774" width="10.1640625" style="335" customWidth="1"/>
    <col min="11775" max="11775" width="13" style="335" customWidth="1"/>
    <col min="11776" max="11776" width="12.5" style="335" customWidth="1"/>
    <col min="11777" max="11777" width="11.6640625" style="335" customWidth="1"/>
    <col min="11778" max="11778" width="11.33203125" style="335" customWidth="1"/>
    <col min="11779" max="11779" width="10.33203125" style="335" customWidth="1"/>
    <col min="11780" max="11780" width="12" style="335" customWidth="1"/>
    <col min="11781" max="12019" width="9.33203125" style="335"/>
    <col min="12020" max="12020" width="4.83203125" style="335" customWidth="1"/>
    <col min="12021" max="12021" width="27.33203125" style="335" customWidth="1"/>
    <col min="12022" max="12023" width="15.5" style="335" customWidth="1"/>
    <col min="12024" max="12024" width="13.6640625" style="335" customWidth="1"/>
    <col min="12025" max="12025" width="12.33203125" style="335" customWidth="1"/>
    <col min="12026" max="12026" width="13" style="335" bestFit="1" customWidth="1"/>
    <col min="12027" max="12027" width="11.33203125" style="335" customWidth="1"/>
    <col min="12028" max="12028" width="12.33203125" style="335" customWidth="1"/>
    <col min="12029" max="12029" width="10.33203125" style="335" customWidth="1"/>
    <col min="12030" max="12030" width="10.1640625" style="335" customWidth="1"/>
    <col min="12031" max="12031" width="13" style="335" customWidth="1"/>
    <col min="12032" max="12032" width="12.5" style="335" customWidth="1"/>
    <col min="12033" max="12033" width="11.6640625" style="335" customWidth="1"/>
    <col min="12034" max="12034" width="11.33203125" style="335" customWidth="1"/>
    <col min="12035" max="12035" width="10.33203125" style="335" customWidth="1"/>
    <col min="12036" max="12036" width="12" style="335" customWidth="1"/>
    <col min="12037" max="12275" width="9.33203125" style="335"/>
    <col min="12276" max="12276" width="4.83203125" style="335" customWidth="1"/>
    <col min="12277" max="12277" width="27.33203125" style="335" customWidth="1"/>
    <col min="12278" max="12279" width="15.5" style="335" customWidth="1"/>
    <col min="12280" max="12280" width="13.6640625" style="335" customWidth="1"/>
    <col min="12281" max="12281" width="12.33203125" style="335" customWidth="1"/>
    <col min="12282" max="12282" width="13" style="335" bestFit="1" customWidth="1"/>
    <col min="12283" max="12283" width="11.33203125" style="335" customWidth="1"/>
    <col min="12284" max="12284" width="12.33203125" style="335" customWidth="1"/>
    <col min="12285" max="12285" width="10.33203125" style="335" customWidth="1"/>
    <col min="12286" max="12286" width="10.1640625" style="335" customWidth="1"/>
    <col min="12287" max="12287" width="13" style="335" customWidth="1"/>
    <col min="12288" max="12288" width="12.5" style="335" customWidth="1"/>
    <col min="12289" max="12289" width="11.6640625" style="335" customWidth="1"/>
    <col min="12290" max="12290" width="11.33203125" style="335" customWidth="1"/>
    <col min="12291" max="12291" width="10.33203125" style="335" customWidth="1"/>
    <col min="12292" max="12292" width="12" style="335" customWidth="1"/>
    <col min="12293" max="12531" width="9.33203125" style="335"/>
    <col min="12532" max="12532" width="4.83203125" style="335" customWidth="1"/>
    <col min="12533" max="12533" width="27.33203125" style="335" customWidth="1"/>
    <col min="12534" max="12535" width="15.5" style="335" customWidth="1"/>
    <col min="12536" max="12536" width="13.6640625" style="335" customWidth="1"/>
    <col min="12537" max="12537" width="12.33203125" style="335" customWidth="1"/>
    <col min="12538" max="12538" width="13" style="335" bestFit="1" customWidth="1"/>
    <col min="12539" max="12539" width="11.33203125" style="335" customWidth="1"/>
    <col min="12540" max="12540" width="12.33203125" style="335" customWidth="1"/>
    <col min="12541" max="12541" width="10.33203125" style="335" customWidth="1"/>
    <col min="12542" max="12542" width="10.1640625" style="335" customWidth="1"/>
    <col min="12543" max="12543" width="13" style="335" customWidth="1"/>
    <col min="12544" max="12544" width="12.5" style="335" customWidth="1"/>
    <col min="12545" max="12545" width="11.6640625" style="335" customWidth="1"/>
    <col min="12546" max="12546" width="11.33203125" style="335" customWidth="1"/>
    <col min="12547" max="12547" width="10.33203125" style="335" customWidth="1"/>
    <col min="12548" max="12548" width="12" style="335" customWidth="1"/>
    <col min="12549" max="12787" width="9.33203125" style="335"/>
    <col min="12788" max="12788" width="4.83203125" style="335" customWidth="1"/>
    <col min="12789" max="12789" width="27.33203125" style="335" customWidth="1"/>
    <col min="12790" max="12791" width="15.5" style="335" customWidth="1"/>
    <col min="12792" max="12792" width="13.6640625" style="335" customWidth="1"/>
    <col min="12793" max="12793" width="12.33203125" style="335" customWidth="1"/>
    <col min="12794" max="12794" width="13" style="335" bestFit="1" customWidth="1"/>
    <col min="12795" max="12795" width="11.33203125" style="335" customWidth="1"/>
    <col min="12796" max="12796" width="12.33203125" style="335" customWidth="1"/>
    <col min="12797" max="12797" width="10.33203125" style="335" customWidth="1"/>
    <col min="12798" max="12798" width="10.1640625" style="335" customWidth="1"/>
    <col min="12799" max="12799" width="13" style="335" customWidth="1"/>
    <col min="12800" max="12800" width="12.5" style="335" customWidth="1"/>
    <col min="12801" max="12801" width="11.6640625" style="335" customWidth="1"/>
    <col min="12802" max="12802" width="11.33203125" style="335" customWidth="1"/>
    <col min="12803" max="12803" width="10.33203125" style="335" customWidth="1"/>
    <col min="12804" max="12804" width="12" style="335" customWidth="1"/>
    <col min="12805" max="13043" width="9.33203125" style="335"/>
    <col min="13044" max="13044" width="4.83203125" style="335" customWidth="1"/>
    <col min="13045" max="13045" width="27.33203125" style="335" customWidth="1"/>
    <col min="13046" max="13047" width="15.5" style="335" customWidth="1"/>
    <col min="13048" max="13048" width="13.6640625" style="335" customWidth="1"/>
    <col min="13049" max="13049" width="12.33203125" style="335" customWidth="1"/>
    <col min="13050" max="13050" width="13" style="335" bestFit="1" customWidth="1"/>
    <col min="13051" max="13051" width="11.33203125" style="335" customWidth="1"/>
    <col min="13052" max="13052" width="12.33203125" style="335" customWidth="1"/>
    <col min="13053" max="13053" width="10.33203125" style="335" customWidth="1"/>
    <col min="13054" max="13054" width="10.1640625" style="335" customWidth="1"/>
    <col min="13055" max="13055" width="13" style="335" customWidth="1"/>
    <col min="13056" max="13056" width="12.5" style="335" customWidth="1"/>
    <col min="13057" max="13057" width="11.6640625" style="335" customWidth="1"/>
    <col min="13058" max="13058" width="11.33203125" style="335" customWidth="1"/>
    <col min="13059" max="13059" width="10.33203125" style="335" customWidth="1"/>
    <col min="13060" max="13060" width="12" style="335" customWidth="1"/>
    <col min="13061" max="13299" width="9.33203125" style="335"/>
    <col min="13300" max="13300" width="4.83203125" style="335" customWidth="1"/>
    <col min="13301" max="13301" width="27.33203125" style="335" customWidth="1"/>
    <col min="13302" max="13303" width="15.5" style="335" customWidth="1"/>
    <col min="13304" max="13304" width="13.6640625" style="335" customWidth="1"/>
    <col min="13305" max="13305" width="12.33203125" style="335" customWidth="1"/>
    <col min="13306" max="13306" width="13" style="335" bestFit="1" customWidth="1"/>
    <col min="13307" max="13307" width="11.33203125" style="335" customWidth="1"/>
    <col min="13308" max="13308" width="12.33203125" style="335" customWidth="1"/>
    <col min="13309" max="13309" width="10.33203125" style="335" customWidth="1"/>
    <col min="13310" max="13310" width="10.1640625" style="335" customWidth="1"/>
    <col min="13311" max="13311" width="13" style="335" customWidth="1"/>
    <col min="13312" max="13312" width="12.5" style="335" customWidth="1"/>
    <col min="13313" max="13313" width="11.6640625" style="335" customWidth="1"/>
    <col min="13314" max="13314" width="11.33203125" style="335" customWidth="1"/>
    <col min="13315" max="13315" width="10.33203125" style="335" customWidth="1"/>
    <col min="13316" max="13316" width="12" style="335" customWidth="1"/>
    <col min="13317" max="13555" width="9.33203125" style="335"/>
    <col min="13556" max="13556" width="4.83203125" style="335" customWidth="1"/>
    <col min="13557" max="13557" width="27.33203125" style="335" customWidth="1"/>
    <col min="13558" max="13559" width="15.5" style="335" customWidth="1"/>
    <col min="13560" max="13560" width="13.6640625" style="335" customWidth="1"/>
    <col min="13561" max="13561" width="12.33203125" style="335" customWidth="1"/>
    <col min="13562" max="13562" width="13" style="335" bestFit="1" customWidth="1"/>
    <col min="13563" max="13563" width="11.33203125" style="335" customWidth="1"/>
    <col min="13564" max="13564" width="12.33203125" style="335" customWidth="1"/>
    <col min="13565" max="13565" width="10.33203125" style="335" customWidth="1"/>
    <col min="13566" max="13566" width="10.1640625" style="335" customWidth="1"/>
    <col min="13567" max="13567" width="13" style="335" customWidth="1"/>
    <col min="13568" max="13568" width="12.5" style="335" customWidth="1"/>
    <col min="13569" max="13569" width="11.6640625" style="335" customWidth="1"/>
    <col min="13570" max="13570" width="11.33203125" style="335" customWidth="1"/>
    <col min="13571" max="13571" width="10.33203125" style="335" customWidth="1"/>
    <col min="13572" max="13572" width="12" style="335" customWidth="1"/>
    <col min="13573" max="13811" width="9.33203125" style="335"/>
    <col min="13812" max="13812" width="4.83203125" style="335" customWidth="1"/>
    <col min="13813" max="13813" width="27.33203125" style="335" customWidth="1"/>
    <col min="13814" max="13815" width="15.5" style="335" customWidth="1"/>
    <col min="13816" max="13816" width="13.6640625" style="335" customWidth="1"/>
    <col min="13817" max="13817" width="12.33203125" style="335" customWidth="1"/>
    <col min="13818" max="13818" width="13" style="335" bestFit="1" customWidth="1"/>
    <col min="13819" max="13819" width="11.33203125" style="335" customWidth="1"/>
    <col min="13820" max="13820" width="12.33203125" style="335" customWidth="1"/>
    <col min="13821" max="13821" width="10.33203125" style="335" customWidth="1"/>
    <col min="13822" max="13822" width="10.1640625" style="335" customWidth="1"/>
    <col min="13823" max="13823" width="13" style="335" customWidth="1"/>
    <col min="13824" max="13824" width="12.5" style="335" customWidth="1"/>
    <col min="13825" max="13825" width="11.6640625" style="335" customWidth="1"/>
    <col min="13826" max="13826" width="11.33203125" style="335" customWidth="1"/>
    <col min="13827" max="13827" width="10.33203125" style="335" customWidth="1"/>
    <col min="13828" max="13828" width="12" style="335" customWidth="1"/>
    <col min="13829" max="14067" width="9.33203125" style="335"/>
    <col min="14068" max="14068" width="4.83203125" style="335" customWidth="1"/>
    <col min="14069" max="14069" width="27.33203125" style="335" customWidth="1"/>
    <col min="14070" max="14071" width="15.5" style="335" customWidth="1"/>
    <col min="14072" max="14072" width="13.6640625" style="335" customWidth="1"/>
    <col min="14073" max="14073" width="12.33203125" style="335" customWidth="1"/>
    <col min="14074" max="14074" width="13" style="335" bestFit="1" customWidth="1"/>
    <col min="14075" max="14075" width="11.33203125" style="335" customWidth="1"/>
    <col min="14076" max="14076" width="12.33203125" style="335" customWidth="1"/>
    <col min="14077" max="14077" width="10.33203125" style="335" customWidth="1"/>
    <col min="14078" max="14078" width="10.1640625" style="335" customWidth="1"/>
    <col min="14079" max="14079" width="13" style="335" customWidth="1"/>
    <col min="14080" max="14080" width="12.5" style="335" customWidth="1"/>
    <col min="14081" max="14081" width="11.6640625" style="335" customWidth="1"/>
    <col min="14082" max="14082" width="11.33203125" style="335" customWidth="1"/>
    <col min="14083" max="14083" width="10.33203125" style="335" customWidth="1"/>
    <col min="14084" max="14084" width="12" style="335" customWidth="1"/>
    <col min="14085" max="14323" width="9.33203125" style="335"/>
    <col min="14324" max="14324" width="4.83203125" style="335" customWidth="1"/>
    <col min="14325" max="14325" width="27.33203125" style="335" customWidth="1"/>
    <col min="14326" max="14327" width="15.5" style="335" customWidth="1"/>
    <col min="14328" max="14328" width="13.6640625" style="335" customWidth="1"/>
    <col min="14329" max="14329" width="12.33203125" style="335" customWidth="1"/>
    <col min="14330" max="14330" width="13" style="335" bestFit="1" customWidth="1"/>
    <col min="14331" max="14331" width="11.33203125" style="335" customWidth="1"/>
    <col min="14332" max="14332" width="12.33203125" style="335" customWidth="1"/>
    <col min="14333" max="14333" width="10.33203125" style="335" customWidth="1"/>
    <col min="14334" max="14334" width="10.1640625" style="335" customWidth="1"/>
    <col min="14335" max="14335" width="13" style="335" customWidth="1"/>
    <col min="14336" max="14336" width="12.5" style="335" customWidth="1"/>
    <col min="14337" max="14337" width="11.6640625" style="335" customWidth="1"/>
    <col min="14338" max="14338" width="11.33203125" style="335" customWidth="1"/>
    <col min="14339" max="14339" width="10.33203125" style="335" customWidth="1"/>
    <col min="14340" max="14340" width="12" style="335" customWidth="1"/>
    <col min="14341" max="14579" width="9.33203125" style="335"/>
    <col min="14580" max="14580" width="4.83203125" style="335" customWidth="1"/>
    <col min="14581" max="14581" width="27.33203125" style="335" customWidth="1"/>
    <col min="14582" max="14583" width="15.5" style="335" customWidth="1"/>
    <col min="14584" max="14584" width="13.6640625" style="335" customWidth="1"/>
    <col min="14585" max="14585" width="12.33203125" style="335" customWidth="1"/>
    <col min="14586" max="14586" width="13" style="335" bestFit="1" customWidth="1"/>
    <col min="14587" max="14587" width="11.33203125" style="335" customWidth="1"/>
    <col min="14588" max="14588" width="12.33203125" style="335" customWidth="1"/>
    <col min="14589" max="14589" width="10.33203125" style="335" customWidth="1"/>
    <col min="14590" max="14590" width="10.1640625" style="335" customWidth="1"/>
    <col min="14591" max="14591" width="13" style="335" customWidth="1"/>
    <col min="14592" max="14592" width="12.5" style="335" customWidth="1"/>
    <col min="14593" max="14593" width="11.6640625" style="335" customWidth="1"/>
    <col min="14594" max="14594" width="11.33203125" style="335" customWidth="1"/>
    <col min="14595" max="14595" width="10.33203125" style="335" customWidth="1"/>
    <col min="14596" max="14596" width="12" style="335" customWidth="1"/>
    <col min="14597" max="14835" width="9.33203125" style="335"/>
    <col min="14836" max="14836" width="4.83203125" style="335" customWidth="1"/>
    <col min="14837" max="14837" width="27.33203125" style="335" customWidth="1"/>
    <col min="14838" max="14839" width="15.5" style="335" customWidth="1"/>
    <col min="14840" max="14840" width="13.6640625" style="335" customWidth="1"/>
    <col min="14841" max="14841" width="12.33203125" style="335" customWidth="1"/>
    <col min="14842" max="14842" width="13" style="335" bestFit="1" customWidth="1"/>
    <col min="14843" max="14843" width="11.33203125" style="335" customWidth="1"/>
    <col min="14844" max="14844" width="12.33203125" style="335" customWidth="1"/>
    <col min="14845" max="14845" width="10.33203125" style="335" customWidth="1"/>
    <col min="14846" max="14846" width="10.1640625" style="335" customWidth="1"/>
    <col min="14847" max="14847" width="13" style="335" customWidth="1"/>
    <col min="14848" max="14848" width="12.5" style="335" customWidth="1"/>
    <col min="14849" max="14849" width="11.6640625" style="335" customWidth="1"/>
    <col min="14850" max="14850" width="11.33203125" style="335" customWidth="1"/>
    <col min="14851" max="14851" width="10.33203125" style="335" customWidth="1"/>
    <col min="14852" max="14852" width="12" style="335" customWidth="1"/>
    <col min="14853" max="15091" width="9.33203125" style="335"/>
    <col min="15092" max="15092" width="4.83203125" style="335" customWidth="1"/>
    <col min="15093" max="15093" width="27.33203125" style="335" customWidth="1"/>
    <col min="15094" max="15095" width="15.5" style="335" customWidth="1"/>
    <col min="15096" max="15096" width="13.6640625" style="335" customWidth="1"/>
    <col min="15097" max="15097" width="12.33203125" style="335" customWidth="1"/>
    <col min="15098" max="15098" width="13" style="335" bestFit="1" customWidth="1"/>
    <col min="15099" max="15099" width="11.33203125" style="335" customWidth="1"/>
    <col min="15100" max="15100" width="12.33203125" style="335" customWidth="1"/>
    <col min="15101" max="15101" width="10.33203125" style="335" customWidth="1"/>
    <col min="15102" max="15102" width="10.1640625" style="335" customWidth="1"/>
    <col min="15103" max="15103" width="13" style="335" customWidth="1"/>
    <col min="15104" max="15104" width="12.5" style="335" customWidth="1"/>
    <col min="15105" max="15105" width="11.6640625" style="335" customWidth="1"/>
    <col min="15106" max="15106" width="11.33203125" style="335" customWidth="1"/>
    <col min="15107" max="15107" width="10.33203125" style="335" customWidth="1"/>
    <col min="15108" max="15108" width="12" style="335" customWidth="1"/>
    <col min="15109" max="15347" width="9.33203125" style="335"/>
    <col min="15348" max="15348" width="4.83203125" style="335" customWidth="1"/>
    <col min="15349" max="15349" width="27.33203125" style="335" customWidth="1"/>
    <col min="15350" max="15351" width="15.5" style="335" customWidth="1"/>
    <col min="15352" max="15352" width="13.6640625" style="335" customWidth="1"/>
    <col min="15353" max="15353" width="12.33203125" style="335" customWidth="1"/>
    <col min="15354" max="15354" width="13" style="335" bestFit="1" customWidth="1"/>
    <col min="15355" max="15355" width="11.33203125" style="335" customWidth="1"/>
    <col min="15356" max="15356" width="12.33203125" style="335" customWidth="1"/>
    <col min="15357" max="15357" width="10.33203125" style="335" customWidth="1"/>
    <col min="15358" max="15358" width="10.1640625" style="335" customWidth="1"/>
    <col min="15359" max="15359" width="13" style="335" customWidth="1"/>
    <col min="15360" max="15360" width="12.5" style="335" customWidth="1"/>
    <col min="15361" max="15361" width="11.6640625" style="335" customWidth="1"/>
    <col min="15362" max="15362" width="11.33203125" style="335" customWidth="1"/>
    <col min="15363" max="15363" width="10.33203125" style="335" customWidth="1"/>
    <col min="15364" max="15364" width="12" style="335" customWidth="1"/>
    <col min="15365" max="15603" width="9.33203125" style="335"/>
    <col min="15604" max="15604" width="4.83203125" style="335" customWidth="1"/>
    <col min="15605" max="15605" width="27.33203125" style="335" customWidth="1"/>
    <col min="15606" max="15607" width="15.5" style="335" customWidth="1"/>
    <col min="15608" max="15608" width="13.6640625" style="335" customWidth="1"/>
    <col min="15609" max="15609" width="12.33203125" style="335" customWidth="1"/>
    <col min="15610" max="15610" width="13" style="335" bestFit="1" customWidth="1"/>
    <col min="15611" max="15611" width="11.33203125" style="335" customWidth="1"/>
    <col min="15612" max="15612" width="12.33203125" style="335" customWidth="1"/>
    <col min="15613" max="15613" width="10.33203125" style="335" customWidth="1"/>
    <col min="15614" max="15614" width="10.1640625" style="335" customWidth="1"/>
    <col min="15615" max="15615" width="13" style="335" customWidth="1"/>
    <col min="15616" max="15616" width="12.5" style="335" customWidth="1"/>
    <col min="15617" max="15617" width="11.6640625" style="335" customWidth="1"/>
    <col min="15618" max="15618" width="11.33203125" style="335" customWidth="1"/>
    <col min="15619" max="15619" width="10.33203125" style="335" customWidth="1"/>
    <col min="15620" max="15620" width="12" style="335" customWidth="1"/>
    <col min="15621" max="15859" width="9.33203125" style="335"/>
    <col min="15860" max="15860" width="4.83203125" style="335" customWidth="1"/>
    <col min="15861" max="15861" width="27.33203125" style="335" customWidth="1"/>
    <col min="15862" max="15863" width="15.5" style="335" customWidth="1"/>
    <col min="15864" max="15864" width="13.6640625" style="335" customWidth="1"/>
    <col min="15865" max="15865" width="12.33203125" style="335" customWidth="1"/>
    <col min="15866" max="15866" width="13" style="335" bestFit="1" customWidth="1"/>
    <col min="15867" max="15867" width="11.33203125" style="335" customWidth="1"/>
    <col min="15868" max="15868" width="12.33203125" style="335" customWidth="1"/>
    <col min="15869" max="15869" width="10.33203125" style="335" customWidth="1"/>
    <col min="15870" max="15870" width="10.1640625" style="335" customWidth="1"/>
    <col min="15871" max="15871" width="13" style="335" customWidth="1"/>
    <col min="15872" max="15872" width="12.5" style="335" customWidth="1"/>
    <col min="15873" max="15873" width="11.6640625" style="335" customWidth="1"/>
    <col min="15874" max="15874" width="11.33203125" style="335" customWidth="1"/>
    <col min="15875" max="15875" width="10.33203125" style="335" customWidth="1"/>
    <col min="15876" max="15876" width="12" style="335" customWidth="1"/>
    <col min="15877" max="16115" width="9.33203125" style="335"/>
    <col min="16116" max="16116" width="4.83203125" style="335" customWidth="1"/>
    <col min="16117" max="16117" width="27.33203125" style="335" customWidth="1"/>
    <col min="16118" max="16119" width="15.5" style="335" customWidth="1"/>
    <col min="16120" max="16120" width="13.6640625" style="335" customWidth="1"/>
    <col min="16121" max="16121" width="12.33203125" style="335" customWidth="1"/>
    <col min="16122" max="16122" width="13" style="335" bestFit="1" customWidth="1"/>
    <col min="16123" max="16123" width="11.33203125" style="335" customWidth="1"/>
    <col min="16124" max="16124" width="12.33203125" style="335" customWidth="1"/>
    <col min="16125" max="16125" width="10.33203125" style="335" customWidth="1"/>
    <col min="16126" max="16126" width="10.1640625" style="335" customWidth="1"/>
    <col min="16127" max="16127" width="13" style="335" customWidth="1"/>
    <col min="16128" max="16128" width="12.5" style="335" customWidth="1"/>
    <col min="16129" max="16129" width="11.6640625" style="335" customWidth="1"/>
    <col min="16130" max="16130" width="11.33203125" style="335" customWidth="1"/>
    <col min="16131" max="16131" width="10.33203125" style="335" customWidth="1"/>
    <col min="16132" max="16132" width="12" style="335" customWidth="1"/>
    <col min="16133" max="16384" width="9.33203125" style="335"/>
  </cols>
  <sheetData>
    <row r="1" spans="1:11" ht="11.25" customHeight="1"/>
    <row r="2" spans="1:11" ht="35.25" customHeight="1">
      <c r="A2" s="422" t="s">
        <v>442</v>
      </c>
      <c r="B2" s="422"/>
      <c r="C2" s="422"/>
      <c r="D2" s="422"/>
      <c r="E2" s="422"/>
      <c r="F2" s="422"/>
      <c r="G2" s="422"/>
      <c r="H2" s="422"/>
      <c r="I2" s="422"/>
      <c r="K2" s="337"/>
    </row>
    <row r="3" spans="1:11" ht="9.75" customHeight="1">
      <c r="A3" s="338"/>
      <c r="B3" s="338"/>
      <c r="C3" s="338"/>
      <c r="D3" s="338"/>
      <c r="E3" s="338"/>
      <c r="F3" s="338"/>
      <c r="G3" s="338"/>
      <c r="H3" s="338"/>
    </row>
    <row r="4" spans="1:11" s="339" customFormat="1" ht="19.5" customHeight="1">
      <c r="A4" s="423" t="s">
        <v>70</v>
      </c>
      <c r="B4" s="425" t="s">
        <v>443</v>
      </c>
      <c r="C4" s="425" t="s">
        <v>78</v>
      </c>
      <c r="D4" s="425" t="s">
        <v>444</v>
      </c>
      <c r="E4" s="426" t="s">
        <v>445</v>
      </c>
      <c r="F4" s="426"/>
      <c r="G4" s="426"/>
      <c r="H4" s="425" t="s">
        <v>446</v>
      </c>
      <c r="I4" s="425" t="s">
        <v>447</v>
      </c>
    </row>
    <row r="5" spans="1:11" ht="51" customHeight="1">
      <c r="A5" s="424"/>
      <c r="B5" s="425"/>
      <c r="C5" s="425"/>
      <c r="D5" s="425"/>
      <c r="E5" s="340" t="s">
        <v>448</v>
      </c>
      <c r="F5" s="340" t="s">
        <v>449</v>
      </c>
      <c r="G5" s="340" t="s">
        <v>450</v>
      </c>
      <c r="H5" s="425"/>
      <c r="I5" s="425"/>
    </row>
    <row r="6" spans="1:11" s="31" customFormat="1" ht="14.25" customHeight="1">
      <c r="A6" s="341">
        <v>1</v>
      </c>
      <c r="B6" s="341">
        <v>2</v>
      </c>
      <c r="C6" s="341">
        <v>3</v>
      </c>
      <c r="D6" s="341">
        <v>4</v>
      </c>
      <c r="E6" s="341">
        <v>5</v>
      </c>
      <c r="F6" s="341">
        <v>6</v>
      </c>
      <c r="G6" s="341">
        <v>7</v>
      </c>
      <c r="H6" s="341">
        <v>8</v>
      </c>
      <c r="I6" s="341">
        <v>9</v>
      </c>
    </row>
    <row r="7" spans="1:11" s="343" customFormat="1" ht="36" customHeight="1">
      <c r="A7" s="427" t="s">
        <v>71</v>
      </c>
      <c r="B7" s="342" t="s">
        <v>451</v>
      </c>
      <c r="C7" s="429" t="s">
        <v>452</v>
      </c>
      <c r="D7" s="429"/>
      <c r="E7" s="429"/>
      <c r="F7" s="429"/>
      <c r="G7" s="429"/>
      <c r="H7" s="429"/>
      <c r="I7" s="429"/>
    </row>
    <row r="8" spans="1:11" s="343" customFormat="1" ht="51" customHeight="1">
      <c r="A8" s="428"/>
      <c r="B8" s="342" t="s">
        <v>101</v>
      </c>
      <c r="C8" s="429"/>
      <c r="D8" s="429"/>
      <c r="E8" s="429"/>
      <c r="F8" s="429"/>
      <c r="G8" s="429"/>
      <c r="H8" s="429"/>
      <c r="I8" s="429"/>
    </row>
    <row r="9" spans="1:11" s="343" customFormat="1" ht="18.95" customHeight="1">
      <c r="A9" s="428"/>
      <c r="B9" s="344" t="s">
        <v>453</v>
      </c>
      <c r="C9" s="430">
        <v>71095</v>
      </c>
      <c r="D9" s="345">
        <f>SUM(E9:I9)</f>
        <v>61236</v>
      </c>
      <c r="E9" s="346">
        <v>61236</v>
      </c>
      <c r="F9" s="346">
        <v>0</v>
      </c>
      <c r="G9" s="346">
        <v>0</v>
      </c>
      <c r="H9" s="346">
        <v>0</v>
      </c>
      <c r="I9" s="346">
        <v>0</v>
      </c>
    </row>
    <row r="10" spans="1:11" s="350" customFormat="1" ht="18.95" customHeight="1">
      <c r="A10" s="428"/>
      <c r="B10" s="347" t="s">
        <v>454</v>
      </c>
      <c r="C10" s="431"/>
      <c r="D10" s="348">
        <f>SUM(E10:I10)</f>
        <v>215077</v>
      </c>
      <c r="E10" s="349">
        <f>273680-58603</f>
        <v>215077</v>
      </c>
      <c r="F10" s="349">
        <v>0</v>
      </c>
      <c r="G10" s="349">
        <v>0</v>
      </c>
      <c r="H10" s="349">
        <v>0</v>
      </c>
      <c r="I10" s="349">
        <v>0</v>
      </c>
    </row>
    <row r="11" spans="1:11" s="339" customFormat="1" ht="18.95" customHeight="1">
      <c r="A11" s="427" t="s">
        <v>72</v>
      </c>
      <c r="B11" s="351" t="s">
        <v>455</v>
      </c>
      <c r="C11" s="432" t="s">
        <v>456</v>
      </c>
      <c r="D11" s="432"/>
      <c r="E11" s="432"/>
      <c r="F11" s="432"/>
      <c r="G11" s="432"/>
      <c r="H11" s="432"/>
      <c r="I11" s="432"/>
    </row>
    <row r="12" spans="1:11" s="339" customFormat="1" ht="45.75" customHeight="1">
      <c r="A12" s="428"/>
      <c r="B12" s="351" t="s">
        <v>457</v>
      </c>
      <c r="C12" s="432"/>
      <c r="D12" s="432"/>
      <c r="E12" s="432"/>
      <c r="F12" s="432"/>
      <c r="G12" s="432"/>
      <c r="H12" s="432"/>
      <c r="I12" s="432"/>
    </row>
    <row r="13" spans="1:11" s="339" customFormat="1" ht="18.95" customHeight="1">
      <c r="A13" s="428"/>
      <c r="B13" s="351" t="s">
        <v>458</v>
      </c>
      <c r="C13" s="432"/>
      <c r="D13" s="432"/>
      <c r="E13" s="432"/>
      <c r="F13" s="432"/>
      <c r="G13" s="432"/>
      <c r="H13" s="432"/>
      <c r="I13" s="432"/>
    </row>
    <row r="14" spans="1:11" s="339" customFormat="1" ht="18.95" customHeight="1">
      <c r="A14" s="428"/>
      <c r="B14" s="352" t="s">
        <v>459</v>
      </c>
      <c r="C14" s="433" t="s">
        <v>460</v>
      </c>
      <c r="D14" s="353">
        <f>SUM(E14:I14)</f>
        <v>350830.49</v>
      </c>
      <c r="E14" s="354">
        <v>97228.78</v>
      </c>
      <c r="F14" s="354">
        <v>0</v>
      </c>
      <c r="G14" s="354">
        <v>0</v>
      </c>
      <c r="H14" s="354">
        <v>0</v>
      </c>
      <c r="I14" s="354">
        <v>253601.71</v>
      </c>
    </row>
    <row r="15" spans="1:11" s="358" customFormat="1" ht="18.95" customHeight="1">
      <c r="A15" s="428"/>
      <c r="B15" s="355" t="s">
        <v>454</v>
      </c>
      <c r="C15" s="434"/>
      <c r="D15" s="356">
        <f>SUM(E15:I15)</f>
        <v>220615</v>
      </c>
      <c r="E15" s="357">
        <v>17061</v>
      </c>
      <c r="F15" s="357">
        <v>0</v>
      </c>
      <c r="G15" s="357">
        <v>0</v>
      </c>
      <c r="H15" s="357">
        <v>0</v>
      </c>
      <c r="I15" s="357">
        <v>203554</v>
      </c>
    </row>
    <row r="16" spans="1:11" s="339" customFormat="1" ht="21.75" customHeight="1">
      <c r="A16" s="432" t="s">
        <v>73</v>
      </c>
      <c r="B16" s="351" t="s">
        <v>455</v>
      </c>
      <c r="C16" s="432" t="s">
        <v>461</v>
      </c>
      <c r="D16" s="432"/>
      <c r="E16" s="432"/>
      <c r="F16" s="432"/>
      <c r="G16" s="432"/>
      <c r="H16" s="432"/>
      <c r="I16" s="432"/>
    </row>
    <row r="17" spans="1:9" s="339" customFormat="1" ht="25.5" customHeight="1">
      <c r="A17" s="432"/>
      <c r="B17" s="351" t="s">
        <v>462</v>
      </c>
      <c r="C17" s="432"/>
      <c r="D17" s="432"/>
      <c r="E17" s="432"/>
      <c r="F17" s="432"/>
      <c r="G17" s="432"/>
      <c r="H17" s="432"/>
      <c r="I17" s="432"/>
    </row>
    <row r="18" spans="1:9" s="339" customFormat="1" ht="18.95" customHeight="1">
      <c r="A18" s="432"/>
      <c r="B18" s="351" t="s">
        <v>463</v>
      </c>
      <c r="C18" s="432"/>
      <c r="D18" s="432"/>
      <c r="E18" s="432"/>
      <c r="F18" s="432"/>
      <c r="G18" s="432"/>
      <c r="H18" s="432"/>
      <c r="I18" s="432"/>
    </row>
    <row r="19" spans="1:9" s="363" customFormat="1" ht="18.95" customHeight="1">
      <c r="A19" s="432"/>
      <c r="B19" s="359" t="s">
        <v>459</v>
      </c>
      <c r="C19" s="360">
        <v>80130</v>
      </c>
      <c r="D19" s="361">
        <f>SUM(E19:I19)</f>
        <v>665050.23</v>
      </c>
      <c r="E19" s="362">
        <v>0</v>
      </c>
      <c r="F19" s="362">
        <v>0</v>
      </c>
      <c r="G19" s="362">
        <v>0</v>
      </c>
      <c r="H19" s="362">
        <v>0</v>
      </c>
      <c r="I19" s="362">
        <v>665050.23</v>
      </c>
    </row>
    <row r="20" spans="1:9" s="358" customFormat="1" ht="18.95" customHeight="1">
      <c r="A20" s="432"/>
      <c r="B20" s="364" t="s">
        <v>454</v>
      </c>
      <c r="C20" s="365">
        <v>80115</v>
      </c>
      <c r="D20" s="366">
        <f>SUM(E20:I20)</f>
        <v>165712</v>
      </c>
      <c r="E20" s="367">
        <v>0</v>
      </c>
      <c r="F20" s="367">
        <v>0</v>
      </c>
      <c r="G20" s="367">
        <v>0</v>
      </c>
      <c r="H20" s="367">
        <v>0</v>
      </c>
      <c r="I20" s="367">
        <v>165712</v>
      </c>
    </row>
    <row r="21" spans="1:9" s="339" customFormat="1" ht="18.95" customHeight="1">
      <c r="A21" s="432" t="s">
        <v>74</v>
      </c>
      <c r="B21" s="351" t="s">
        <v>455</v>
      </c>
      <c r="C21" s="432" t="s">
        <v>464</v>
      </c>
      <c r="D21" s="432"/>
      <c r="E21" s="432"/>
      <c r="F21" s="432"/>
      <c r="G21" s="432"/>
      <c r="H21" s="432"/>
      <c r="I21" s="432"/>
    </row>
    <row r="22" spans="1:9" s="339" customFormat="1" ht="18.95" customHeight="1">
      <c r="A22" s="432"/>
      <c r="B22" s="351" t="s">
        <v>462</v>
      </c>
      <c r="C22" s="432"/>
      <c r="D22" s="432"/>
      <c r="E22" s="432"/>
      <c r="F22" s="432"/>
      <c r="G22" s="432"/>
      <c r="H22" s="432"/>
      <c r="I22" s="432"/>
    </row>
    <row r="23" spans="1:9" s="339" customFormat="1" ht="35.25" customHeight="1">
      <c r="A23" s="432"/>
      <c r="B23" s="351" t="s">
        <v>465</v>
      </c>
      <c r="C23" s="432"/>
      <c r="D23" s="432"/>
      <c r="E23" s="432"/>
      <c r="F23" s="432"/>
      <c r="G23" s="432"/>
      <c r="H23" s="432"/>
      <c r="I23" s="432"/>
    </row>
    <row r="24" spans="1:9" s="363" customFormat="1" ht="18.95" customHeight="1">
      <c r="A24" s="432"/>
      <c r="B24" s="359" t="s">
        <v>453</v>
      </c>
      <c r="C24" s="360">
        <v>80130</v>
      </c>
      <c r="D24" s="361">
        <f>SUM(E24:I24)</f>
        <v>26480.16</v>
      </c>
      <c r="E24" s="362">
        <v>0</v>
      </c>
      <c r="F24" s="362">
        <v>0</v>
      </c>
      <c r="G24" s="362">
        <v>0</v>
      </c>
      <c r="H24" s="362">
        <v>0</v>
      </c>
      <c r="I24" s="362">
        <v>26480.16</v>
      </c>
    </row>
    <row r="25" spans="1:9" s="358" customFormat="1" ht="18.95" customHeight="1">
      <c r="A25" s="432"/>
      <c r="B25" s="364" t="s">
        <v>454</v>
      </c>
      <c r="C25" s="365">
        <v>80115</v>
      </c>
      <c r="D25" s="366">
        <f>SUM(E25:I25)</f>
        <v>6621</v>
      </c>
      <c r="E25" s="367">
        <v>0</v>
      </c>
      <c r="F25" s="367">
        <v>0</v>
      </c>
      <c r="G25" s="367">
        <v>0</v>
      </c>
      <c r="H25" s="367">
        <v>0</v>
      </c>
      <c r="I25" s="367">
        <v>6621</v>
      </c>
    </row>
    <row r="26" spans="1:9" s="339" customFormat="1" ht="18.95" customHeight="1">
      <c r="A26" s="435" t="s">
        <v>75</v>
      </c>
      <c r="B26" s="351" t="s">
        <v>455</v>
      </c>
      <c r="C26" s="432" t="s">
        <v>456</v>
      </c>
      <c r="D26" s="432"/>
      <c r="E26" s="432"/>
      <c r="F26" s="432"/>
      <c r="G26" s="432"/>
      <c r="H26" s="432"/>
      <c r="I26" s="432"/>
    </row>
    <row r="27" spans="1:9" s="339" customFormat="1" ht="34.5" customHeight="1">
      <c r="A27" s="436"/>
      <c r="B27" s="351" t="s">
        <v>457</v>
      </c>
      <c r="C27" s="432"/>
      <c r="D27" s="432"/>
      <c r="E27" s="432"/>
      <c r="F27" s="432"/>
      <c r="G27" s="432"/>
      <c r="H27" s="432"/>
      <c r="I27" s="432"/>
    </row>
    <row r="28" spans="1:9" s="339" customFormat="1" ht="18.95" customHeight="1">
      <c r="A28" s="436"/>
      <c r="B28" s="351" t="s">
        <v>466</v>
      </c>
      <c r="C28" s="432"/>
      <c r="D28" s="432"/>
      <c r="E28" s="432"/>
      <c r="F28" s="432"/>
      <c r="G28" s="432"/>
      <c r="H28" s="432"/>
      <c r="I28" s="432"/>
    </row>
    <row r="29" spans="1:9" s="339" customFormat="1" ht="18.95" customHeight="1">
      <c r="A29" s="436"/>
      <c r="B29" s="359" t="s">
        <v>453</v>
      </c>
      <c r="C29" s="437">
        <v>85295</v>
      </c>
      <c r="D29" s="361">
        <f>SUM(E29:I29)</f>
        <v>15465.87</v>
      </c>
      <c r="E29" s="362">
        <v>0</v>
      </c>
      <c r="F29" s="362">
        <v>0</v>
      </c>
      <c r="G29" s="362">
        <v>0</v>
      </c>
      <c r="H29" s="362">
        <v>0</v>
      </c>
      <c r="I29" s="362">
        <v>15465.87</v>
      </c>
    </row>
    <row r="30" spans="1:9" s="358" customFormat="1" ht="18.95" customHeight="1">
      <c r="A30" s="436"/>
      <c r="B30" s="364" t="s">
        <v>454</v>
      </c>
      <c r="C30" s="437"/>
      <c r="D30" s="366">
        <f>SUM(E30:I30)</f>
        <v>259588</v>
      </c>
      <c r="E30" s="367">
        <v>0</v>
      </c>
      <c r="F30" s="367">
        <v>0</v>
      </c>
      <c r="G30" s="367">
        <v>0</v>
      </c>
      <c r="H30" s="367">
        <v>0</v>
      </c>
      <c r="I30" s="367">
        <v>259588</v>
      </c>
    </row>
    <row r="31" spans="1:9" s="339" customFormat="1" ht="18.95" customHeight="1">
      <c r="A31" s="435" t="s">
        <v>76</v>
      </c>
      <c r="B31" s="351" t="s">
        <v>455</v>
      </c>
      <c r="C31" s="432" t="s">
        <v>461</v>
      </c>
      <c r="D31" s="432"/>
      <c r="E31" s="432"/>
      <c r="F31" s="432"/>
      <c r="G31" s="432"/>
      <c r="H31" s="432"/>
      <c r="I31" s="432"/>
    </row>
    <row r="32" spans="1:9" s="339" customFormat="1" ht="18.95" customHeight="1">
      <c r="A32" s="436"/>
      <c r="B32" s="351" t="s">
        <v>462</v>
      </c>
      <c r="C32" s="432"/>
      <c r="D32" s="432"/>
      <c r="E32" s="432"/>
      <c r="F32" s="432"/>
      <c r="G32" s="432"/>
      <c r="H32" s="432"/>
      <c r="I32" s="432"/>
    </row>
    <row r="33" spans="1:9" s="339" customFormat="1" ht="30.75" customHeight="1">
      <c r="A33" s="436"/>
      <c r="B33" s="351" t="s">
        <v>467</v>
      </c>
      <c r="C33" s="432"/>
      <c r="D33" s="432"/>
      <c r="E33" s="432"/>
      <c r="F33" s="432"/>
      <c r="G33" s="432"/>
      <c r="H33" s="432"/>
      <c r="I33" s="432"/>
    </row>
    <row r="34" spans="1:9" s="358" customFormat="1" ht="18.95" customHeight="1">
      <c r="A34" s="436"/>
      <c r="B34" s="364" t="s">
        <v>454</v>
      </c>
      <c r="C34" s="365">
        <v>80115</v>
      </c>
      <c r="D34" s="366">
        <f>SUM(E34:I34)</f>
        <v>516739</v>
      </c>
      <c r="E34" s="367">
        <v>0</v>
      </c>
      <c r="F34" s="367">
        <v>0</v>
      </c>
      <c r="G34" s="367">
        <v>0</v>
      </c>
      <c r="H34" s="367">
        <v>0</v>
      </c>
      <c r="I34" s="367">
        <v>516739</v>
      </c>
    </row>
    <row r="35" spans="1:9" s="343" customFormat="1" ht="18.95" customHeight="1">
      <c r="A35" s="435" t="s">
        <v>126</v>
      </c>
      <c r="B35" s="342" t="s">
        <v>455</v>
      </c>
      <c r="C35" s="429" t="s">
        <v>456</v>
      </c>
      <c r="D35" s="429"/>
      <c r="E35" s="429"/>
      <c r="F35" s="429"/>
      <c r="G35" s="429"/>
      <c r="H35" s="429"/>
      <c r="I35" s="429"/>
    </row>
    <row r="36" spans="1:9" s="343" customFormat="1" ht="42.75" customHeight="1">
      <c r="A36" s="436"/>
      <c r="B36" s="342" t="s">
        <v>457</v>
      </c>
      <c r="C36" s="429"/>
      <c r="D36" s="429"/>
      <c r="E36" s="429"/>
      <c r="F36" s="429"/>
      <c r="G36" s="429"/>
      <c r="H36" s="429"/>
      <c r="I36" s="429"/>
    </row>
    <row r="37" spans="1:9" s="343" customFormat="1" ht="69" customHeight="1">
      <c r="A37" s="436"/>
      <c r="B37" s="342" t="s">
        <v>468</v>
      </c>
      <c r="C37" s="429"/>
      <c r="D37" s="429"/>
      <c r="E37" s="429"/>
      <c r="F37" s="429"/>
      <c r="G37" s="429"/>
      <c r="H37" s="429"/>
      <c r="I37" s="429"/>
    </row>
    <row r="38" spans="1:9" s="350" customFormat="1" ht="18.95" customHeight="1">
      <c r="A38" s="436"/>
      <c r="B38" s="368" t="s">
        <v>454</v>
      </c>
      <c r="C38" s="369">
        <v>85295</v>
      </c>
      <c r="D38" s="370">
        <f>SUM(E38:I38)</f>
        <v>414548</v>
      </c>
      <c r="E38" s="371">
        <v>70591</v>
      </c>
      <c r="F38" s="371">
        <v>0</v>
      </c>
      <c r="G38" s="371">
        <v>0</v>
      </c>
      <c r="H38" s="371">
        <f>130376-83418</f>
        <v>46958</v>
      </c>
      <c r="I38" s="371">
        <f>824407-527408</f>
        <v>296999</v>
      </c>
    </row>
    <row r="39" spans="1:9" s="373" customFormat="1" ht="23.25" customHeight="1">
      <c r="A39" s="426" t="s">
        <v>469</v>
      </c>
      <c r="B39" s="426"/>
      <c r="C39" s="426"/>
      <c r="D39" s="372">
        <f>SUM(D10,D15,D20,D25,D30,D34,D38)</f>
        <v>1798900</v>
      </c>
      <c r="E39" s="372">
        <f t="shared" ref="E39:I39" si="0">SUM(E10,E15,E20,E25,E30,E34,E38)</f>
        <v>302729</v>
      </c>
      <c r="F39" s="372">
        <f t="shared" si="0"/>
        <v>0</v>
      </c>
      <c r="G39" s="372">
        <f t="shared" si="0"/>
        <v>0</v>
      </c>
      <c r="H39" s="372">
        <f t="shared" si="0"/>
        <v>46958</v>
      </c>
      <c r="I39" s="372">
        <f t="shared" si="0"/>
        <v>1449213</v>
      </c>
    </row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 algorithmName="SHA-512" hashValue="aqGOdXLqMOF5baIZ3cuPnzUScY9MGsfIJsbF9tluc1tYmafeW16AFAaDY2mJK9TJtHphQWUME+688zWQzJIY6A==" saltValue="fAgBaf4CpEl0MhhHifGbwQ==" spinCount="100000" sheet="1" objects="1" scenarios="1" formatColumns="0" formatRows="0"/>
  <mergeCells count="26">
    <mergeCell ref="A31:A34"/>
    <mergeCell ref="C31:I33"/>
    <mergeCell ref="A35:A38"/>
    <mergeCell ref="C35:I37"/>
    <mergeCell ref="A39:C39"/>
    <mergeCell ref="A16:A20"/>
    <mergeCell ref="C16:I18"/>
    <mergeCell ref="A21:A25"/>
    <mergeCell ref="C21:I23"/>
    <mergeCell ref="A26:A30"/>
    <mergeCell ref="C26:I28"/>
    <mergeCell ref="C29:C30"/>
    <mergeCell ref="A7:A10"/>
    <mergeCell ref="C7:I8"/>
    <mergeCell ref="C9:C10"/>
    <mergeCell ref="A11:A15"/>
    <mergeCell ref="C11:I13"/>
    <mergeCell ref="C14:C15"/>
    <mergeCell ref="A2:I2"/>
    <mergeCell ref="A4:A5"/>
    <mergeCell ref="B4:B5"/>
    <mergeCell ref="C4:C5"/>
    <mergeCell ref="D4:D5"/>
    <mergeCell ref="E4:G4"/>
    <mergeCell ref="H4:H5"/>
    <mergeCell ref="I4:I5"/>
  </mergeCells>
  <pageMargins left="0.56999999999999995" right="0.15748031496062992" top="1.52" bottom="1.58" header="0.79" footer="0.5"/>
  <pageSetup paperSize="9" scale="80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14"/>
  <sheetViews>
    <sheetView topLeftCell="A105" workbookViewId="0">
      <selection activeCell="B105" sqref="A105:XFD105"/>
    </sheetView>
  </sheetViews>
  <sheetFormatPr defaultColWidth="9.33203125" defaultRowHeight="12"/>
  <cols>
    <col min="1" max="1" width="6.33203125" style="32" customWidth="1"/>
    <col min="2" max="2" width="9.5" style="32" customWidth="1"/>
    <col min="3" max="3" width="10.1640625" style="33" customWidth="1"/>
    <col min="4" max="4" width="61.5" style="34" customWidth="1"/>
    <col min="5" max="6" width="17" style="35" customWidth="1"/>
    <col min="7" max="7" width="13" style="36" customWidth="1"/>
    <col min="8" max="16384" width="9.33203125" style="36"/>
  </cols>
  <sheetData>
    <row r="1" spans="1:6" ht="12.75" customHeight="1"/>
    <row r="2" spans="1:6" ht="44.25" customHeight="1">
      <c r="A2" s="438" t="s">
        <v>356</v>
      </c>
      <c r="B2" s="438"/>
      <c r="C2" s="438"/>
      <c r="D2" s="438"/>
      <c r="E2" s="438"/>
      <c r="F2" s="438"/>
    </row>
    <row r="3" spans="1:6" ht="9.75" customHeight="1"/>
    <row r="4" spans="1:6" s="33" customFormat="1" ht="25.5" customHeight="1">
      <c r="A4" s="62" t="s">
        <v>0</v>
      </c>
      <c r="B4" s="62" t="s">
        <v>1</v>
      </c>
      <c r="C4" s="204" t="s">
        <v>91</v>
      </c>
      <c r="D4" s="63" t="s">
        <v>92</v>
      </c>
      <c r="E4" s="64" t="s">
        <v>93</v>
      </c>
      <c r="F4" s="64" t="s">
        <v>94</v>
      </c>
    </row>
    <row r="5" spans="1:6" s="37" customFormat="1" ht="17.25" customHeight="1">
      <c r="A5" s="66" t="s">
        <v>2</v>
      </c>
      <c r="B5" s="66"/>
      <c r="C5" s="67"/>
      <c r="D5" s="68" t="s">
        <v>24</v>
      </c>
      <c r="E5" s="69">
        <f>SUM(E6)</f>
        <v>63280</v>
      </c>
      <c r="F5" s="69">
        <f>SUM(F6)</f>
        <v>63280</v>
      </c>
    </row>
    <row r="6" spans="1:6" s="37" customFormat="1" ht="17.25" customHeight="1">
      <c r="A6" s="53"/>
      <c r="B6" s="53" t="s">
        <v>3</v>
      </c>
      <c r="C6" s="54"/>
      <c r="D6" s="55" t="s">
        <v>4</v>
      </c>
      <c r="E6" s="56">
        <f>SUM(E7)</f>
        <v>63280</v>
      </c>
      <c r="F6" s="56">
        <f>SUM(F8)</f>
        <v>63280</v>
      </c>
    </row>
    <row r="7" spans="1:6" s="37" customFormat="1" ht="42" customHeight="1">
      <c r="A7" s="38"/>
      <c r="B7" s="38"/>
      <c r="C7" s="39">
        <v>2110</v>
      </c>
      <c r="D7" s="40" t="s">
        <v>5</v>
      </c>
      <c r="E7" s="41">
        <f>11000+52280</f>
        <v>63280</v>
      </c>
      <c r="F7" s="41"/>
    </row>
    <row r="8" spans="1:6" s="37" customFormat="1" ht="15.75" customHeight="1">
      <c r="A8" s="38"/>
      <c r="B8" s="38"/>
      <c r="C8" s="39">
        <v>4300</v>
      </c>
      <c r="D8" s="40" t="s">
        <v>25</v>
      </c>
      <c r="E8" s="41"/>
      <c r="F8" s="41">
        <f>11000+52280</f>
        <v>63280</v>
      </c>
    </row>
    <row r="9" spans="1:6" s="199" customFormat="1" ht="17.25" customHeight="1">
      <c r="A9" s="66">
        <v>700</v>
      </c>
      <c r="B9" s="66"/>
      <c r="C9" s="67"/>
      <c r="D9" s="68" t="s">
        <v>44</v>
      </c>
      <c r="E9" s="69">
        <f>SUM(E10)</f>
        <v>293874</v>
      </c>
      <c r="F9" s="69">
        <f>SUM(F10)</f>
        <v>293874</v>
      </c>
    </row>
    <row r="10" spans="1:6" s="37" customFormat="1" ht="17.25" customHeight="1">
      <c r="A10" s="53"/>
      <c r="B10" s="53">
        <v>70005</v>
      </c>
      <c r="C10" s="54"/>
      <c r="D10" s="55" t="s">
        <v>45</v>
      </c>
      <c r="E10" s="56">
        <f>SUM(E11)</f>
        <v>293874</v>
      </c>
      <c r="F10" s="56">
        <f>SUM(F11:F26)</f>
        <v>293874</v>
      </c>
    </row>
    <row r="11" spans="1:6" s="37" customFormat="1" ht="42.75" customHeight="1">
      <c r="A11" s="38"/>
      <c r="B11" s="38"/>
      <c r="C11" s="39">
        <v>2110</v>
      </c>
      <c r="D11" s="40" t="s">
        <v>5</v>
      </c>
      <c r="E11" s="41">
        <f>280000+13874</f>
        <v>293874</v>
      </c>
      <c r="F11" s="41"/>
    </row>
    <row r="12" spans="1:6" s="85" customFormat="1" ht="15.75" customHeight="1">
      <c r="A12" s="82"/>
      <c r="B12" s="82"/>
      <c r="C12" s="83">
        <v>4010</v>
      </c>
      <c r="D12" s="88" t="s">
        <v>32</v>
      </c>
      <c r="E12" s="84"/>
      <c r="F12" s="84">
        <v>43900</v>
      </c>
    </row>
    <row r="13" spans="1:6" s="85" customFormat="1" ht="15.75" customHeight="1">
      <c r="A13" s="82"/>
      <c r="B13" s="82"/>
      <c r="C13" s="83">
        <v>4110</v>
      </c>
      <c r="D13" s="88" t="s">
        <v>34</v>
      </c>
      <c r="E13" s="84"/>
      <c r="F13" s="84">
        <v>7540</v>
      </c>
    </row>
    <row r="14" spans="1:6" s="85" customFormat="1" ht="15.75" customHeight="1">
      <c r="A14" s="82"/>
      <c r="B14" s="82"/>
      <c r="C14" s="83">
        <v>4120</v>
      </c>
      <c r="D14" s="88" t="s">
        <v>35</v>
      </c>
      <c r="E14" s="84"/>
      <c r="F14" s="84">
        <v>1070</v>
      </c>
    </row>
    <row r="15" spans="1:6" s="85" customFormat="1" ht="15.75" customHeight="1">
      <c r="A15" s="82"/>
      <c r="B15" s="82"/>
      <c r="C15" s="83">
        <v>4170</v>
      </c>
      <c r="D15" s="88" t="s">
        <v>36</v>
      </c>
      <c r="E15" s="84"/>
      <c r="F15" s="84">
        <v>0</v>
      </c>
    </row>
    <row r="16" spans="1:6" s="85" customFormat="1" ht="15.75" customHeight="1">
      <c r="A16" s="82"/>
      <c r="B16" s="82"/>
      <c r="C16" s="83">
        <v>4210</v>
      </c>
      <c r="D16" s="88" t="s">
        <v>26</v>
      </c>
      <c r="E16" s="84"/>
      <c r="F16" s="84">
        <f>435-147</f>
        <v>288</v>
      </c>
    </row>
    <row r="17" spans="1:6" s="85" customFormat="1" ht="15.75" customHeight="1">
      <c r="A17" s="82"/>
      <c r="B17" s="82"/>
      <c r="C17" s="83">
        <v>4260</v>
      </c>
      <c r="D17" s="88" t="s">
        <v>37</v>
      </c>
      <c r="E17" s="84"/>
      <c r="F17" s="84">
        <f>10000-10000</f>
        <v>0</v>
      </c>
    </row>
    <row r="18" spans="1:6" s="85" customFormat="1" ht="15.75" customHeight="1">
      <c r="A18" s="82"/>
      <c r="B18" s="82"/>
      <c r="C18" s="83">
        <v>4270</v>
      </c>
      <c r="D18" s="88" t="s">
        <v>38</v>
      </c>
      <c r="E18" s="84"/>
      <c r="F18" s="84">
        <f>25000-10000+6719</f>
        <v>21719</v>
      </c>
    </row>
    <row r="19" spans="1:6" s="85" customFormat="1" ht="15.75" customHeight="1">
      <c r="A19" s="82"/>
      <c r="B19" s="82"/>
      <c r="C19" s="83">
        <v>4300</v>
      </c>
      <c r="D19" s="88" t="s">
        <v>25</v>
      </c>
      <c r="E19" s="84"/>
      <c r="F19" s="84">
        <v>79765</v>
      </c>
    </row>
    <row r="20" spans="1:6" s="85" customFormat="1" ht="24" customHeight="1">
      <c r="A20" s="82"/>
      <c r="B20" s="82"/>
      <c r="C20" s="83">
        <v>4390</v>
      </c>
      <c r="D20" s="88" t="s">
        <v>46</v>
      </c>
      <c r="E20" s="84"/>
      <c r="F20" s="84">
        <v>65000</v>
      </c>
    </row>
    <row r="21" spans="1:6" s="85" customFormat="1" ht="15.75" customHeight="1">
      <c r="A21" s="82"/>
      <c r="B21" s="82"/>
      <c r="C21" s="83">
        <v>4430</v>
      </c>
      <c r="D21" s="88" t="s">
        <v>40</v>
      </c>
      <c r="E21" s="84"/>
      <c r="F21" s="84">
        <f>4100-4100</f>
        <v>0</v>
      </c>
    </row>
    <row r="22" spans="1:6" s="85" customFormat="1" ht="15.75" customHeight="1">
      <c r="A22" s="82"/>
      <c r="B22" s="82"/>
      <c r="C22" s="83">
        <v>4480</v>
      </c>
      <c r="D22" s="88" t="s">
        <v>42</v>
      </c>
      <c r="E22" s="84"/>
      <c r="F22" s="84">
        <v>32000</v>
      </c>
    </row>
    <row r="23" spans="1:6" s="85" customFormat="1" ht="23.25" customHeight="1">
      <c r="A23" s="82"/>
      <c r="B23" s="82"/>
      <c r="C23" s="83">
        <v>4520</v>
      </c>
      <c r="D23" s="88" t="s">
        <v>43</v>
      </c>
      <c r="E23" s="84"/>
      <c r="F23" s="84">
        <f>10000-2472</f>
        <v>7528</v>
      </c>
    </row>
    <row r="24" spans="1:6" s="85" customFormat="1" ht="15.75" customHeight="1">
      <c r="A24" s="82"/>
      <c r="B24" s="82"/>
      <c r="C24" s="83">
        <v>4580</v>
      </c>
      <c r="D24" s="88" t="s">
        <v>47</v>
      </c>
      <c r="E24" s="84"/>
      <c r="F24" s="84">
        <v>3955</v>
      </c>
    </row>
    <row r="25" spans="1:6" s="85" customFormat="1" ht="15.75" customHeight="1">
      <c r="A25" s="82"/>
      <c r="B25" s="82"/>
      <c r="C25" s="83">
        <v>4590</v>
      </c>
      <c r="D25" s="88" t="s">
        <v>48</v>
      </c>
      <c r="E25" s="84"/>
      <c r="F25" s="84">
        <v>19109</v>
      </c>
    </row>
    <row r="26" spans="1:6" s="85" customFormat="1" ht="15.75" customHeight="1">
      <c r="A26" s="82"/>
      <c r="B26" s="82"/>
      <c r="C26" s="83">
        <v>4610</v>
      </c>
      <c r="D26" s="88" t="s">
        <v>49</v>
      </c>
      <c r="E26" s="84"/>
      <c r="F26" s="84">
        <f>17000-5000</f>
        <v>12000</v>
      </c>
    </row>
    <row r="27" spans="1:6" s="199" customFormat="1" ht="17.25" customHeight="1">
      <c r="A27" s="66">
        <v>710</v>
      </c>
      <c r="B27" s="66"/>
      <c r="C27" s="67"/>
      <c r="D27" s="68" t="s">
        <v>50</v>
      </c>
      <c r="E27" s="69">
        <f>SUM(E28,E34)</f>
        <v>1190055</v>
      </c>
      <c r="F27" s="69">
        <f>SUM(F28,F34)</f>
        <v>1190055</v>
      </c>
    </row>
    <row r="28" spans="1:6" s="37" customFormat="1" ht="17.25" customHeight="1">
      <c r="A28" s="53"/>
      <c r="B28" s="53" t="s">
        <v>102</v>
      </c>
      <c r="C28" s="54"/>
      <c r="D28" s="194" t="s">
        <v>100</v>
      </c>
      <c r="E28" s="56">
        <f>SUM(E29)</f>
        <v>318199</v>
      </c>
      <c r="F28" s="56">
        <f>SUM(F30:F33)</f>
        <v>318199</v>
      </c>
    </row>
    <row r="29" spans="1:6" s="37" customFormat="1" ht="42.75" customHeight="1">
      <c r="A29" s="38"/>
      <c r="B29" s="38"/>
      <c r="C29" s="39">
        <v>2110</v>
      </c>
      <c r="D29" s="40" t="s">
        <v>5</v>
      </c>
      <c r="E29" s="41">
        <v>318199</v>
      </c>
      <c r="F29" s="41"/>
    </row>
    <row r="30" spans="1:6" s="85" customFormat="1" ht="15.75" customHeight="1">
      <c r="A30" s="82"/>
      <c r="B30" s="82"/>
      <c r="C30" s="83">
        <v>4010</v>
      </c>
      <c r="D30" s="88" t="s">
        <v>32</v>
      </c>
      <c r="E30" s="84"/>
      <c r="F30" s="84">
        <v>198160</v>
      </c>
    </row>
    <row r="31" spans="1:6" s="85" customFormat="1" ht="15.75" customHeight="1">
      <c r="A31" s="82"/>
      <c r="B31" s="82"/>
      <c r="C31" s="83">
        <v>4110</v>
      </c>
      <c r="D31" s="88" t="s">
        <v>34</v>
      </c>
      <c r="E31" s="84"/>
      <c r="F31" s="84">
        <v>34100</v>
      </c>
    </row>
    <row r="32" spans="1:6" s="85" customFormat="1" ht="15.75" customHeight="1">
      <c r="A32" s="82"/>
      <c r="B32" s="82"/>
      <c r="C32" s="83">
        <v>4120</v>
      </c>
      <c r="D32" s="88" t="s">
        <v>35</v>
      </c>
      <c r="E32" s="84"/>
      <c r="F32" s="84">
        <v>4860</v>
      </c>
    </row>
    <row r="33" spans="1:6" s="85" customFormat="1" ht="15.75" customHeight="1">
      <c r="A33" s="82"/>
      <c r="B33" s="82"/>
      <c r="C33" s="83">
        <v>4300</v>
      </c>
      <c r="D33" s="88" t="s">
        <v>25</v>
      </c>
      <c r="E33" s="84"/>
      <c r="F33" s="84">
        <v>81079</v>
      </c>
    </row>
    <row r="34" spans="1:6" s="37" customFormat="1" ht="17.25" customHeight="1">
      <c r="A34" s="53"/>
      <c r="B34" s="53">
        <v>71015</v>
      </c>
      <c r="C34" s="54"/>
      <c r="D34" s="55" t="s">
        <v>52</v>
      </c>
      <c r="E34" s="56">
        <f>SUM(E35:E35)</f>
        <v>871856</v>
      </c>
      <c r="F34" s="56">
        <f>SUM(F36:F55)</f>
        <v>871856</v>
      </c>
    </row>
    <row r="35" spans="1:6" s="37" customFormat="1" ht="42.75" customHeight="1">
      <c r="A35" s="38"/>
      <c r="B35" s="38"/>
      <c r="C35" s="39">
        <v>2110</v>
      </c>
      <c r="D35" s="40" t="s">
        <v>5</v>
      </c>
      <c r="E35" s="41">
        <f>778000+27856+66000</f>
        <v>871856</v>
      </c>
      <c r="F35" s="41"/>
    </row>
    <row r="36" spans="1:6" s="37" customFormat="1" ht="15.75" customHeight="1">
      <c r="A36" s="38"/>
      <c r="B36" s="38"/>
      <c r="C36" s="39">
        <v>3020</v>
      </c>
      <c r="D36" s="40" t="s">
        <v>31</v>
      </c>
      <c r="E36" s="41"/>
      <c r="F36" s="41">
        <v>0</v>
      </c>
    </row>
    <row r="37" spans="1:6" s="37" customFormat="1" ht="15.75" customHeight="1">
      <c r="A37" s="38"/>
      <c r="B37" s="38"/>
      <c r="C37" s="39">
        <v>4010</v>
      </c>
      <c r="D37" s="40" t="s">
        <v>32</v>
      </c>
      <c r="E37" s="41"/>
      <c r="F37" s="41">
        <v>128831</v>
      </c>
    </row>
    <row r="38" spans="1:6" s="37" customFormat="1" ht="15.75" customHeight="1">
      <c r="A38" s="38"/>
      <c r="B38" s="38"/>
      <c r="C38" s="39">
        <v>4020</v>
      </c>
      <c r="D38" s="40" t="s">
        <v>53</v>
      </c>
      <c r="E38" s="41"/>
      <c r="F38" s="41">
        <v>400310</v>
      </c>
    </row>
    <row r="39" spans="1:6" s="37" customFormat="1" ht="15.75" customHeight="1">
      <c r="A39" s="38"/>
      <c r="B39" s="38"/>
      <c r="C39" s="39">
        <v>4040</v>
      </c>
      <c r="D39" s="40" t="s">
        <v>33</v>
      </c>
      <c r="E39" s="41"/>
      <c r="F39" s="41">
        <f>41602-285</f>
        <v>41317</v>
      </c>
    </row>
    <row r="40" spans="1:6" s="37" customFormat="1" ht="15.75" customHeight="1">
      <c r="A40" s="38"/>
      <c r="B40" s="38"/>
      <c r="C40" s="39">
        <v>4110</v>
      </c>
      <c r="D40" s="40" t="s">
        <v>34</v>
      </c>
      <c r="E40" s="41"/>
      <c r="F40" s="41">
        <v>93713</v>
      </c>
    </row>
    <row r="41" spans="1:6" s="37" customFormat="1" ht="15.75" customHeight="1">
      <c r="A41" s="38"/>
      <c r="B41" s="38"/>
      <c r="C41" s="39">
        <v>4120</v>
      </c>
      <c r="D41" s="40" t="s">
        <v>35</v>
      </c>
      <c r="E41" s="41"/>
      <c r="F41" s="41">
        <v>9436</v>
      </c>
    </row>
    <row r="42" spans="1:6" s="37" customFormat="1" ht="15.75" customHeight="1">
      <c r="A42" s="38"/>
      <c r="B42" s="38"/>
      <c r="C42" s="39">
        <v>4170</v>
      </c>
      <c r="D42" s="40" t="s">
        <v>36</v>
      </c>
      <c r="E42" s="41"/>
      <c r="F42" s="41">
        <v>7533</v>
      </c>
    </row>
    <row r="43" spans="1:6" s="37" customFormat="1" ht="15.75" customHeight="1">
      <c r="A43" s="38"/>
      <c r="B43" s="38"/>
      <c r="C43" s="39">
        <v>4210</v>
      </c>
      <c r="D43" s="40" t="s">
        <v>26</v>
      </c>
      <c r="E43" s="41"/>
      <c r="F43" s="41">
        <v>47965</v>
      </c>
    </row>
    <row r="44" spans="1:6" s="37" customFormat="1" ht="15.75" customHeight="1">
      <c r="A44" s="38"/>
      <c r="B44" s="38"/>
      <c r="C44" s="39">
        <v>4260</v>
      </c>
      <c r="D44" s="40" t="s">
        <v>37</v>
      </c>
      <c r="E44" s="41"/>
      <c r="F44" s="41">
        <f>15721-1500-1000</f>
        <v>13221</v>
      </c>
    </row>
    <row r="45" spans="1:6" s="37" customFormat="1" ht="15.75" customHeight="1">
      <c r="A45" s="38"/>
      <c r="B45" s="38"/>
      <c r="C45" s="39">
        <v>4270</v>
      </c>
      <c r="D45" s="40" t="s">
        <v>38</v>
      </c>
      <c r="E45" s="41"/>
      <c r="F45" s="41">
        <v>21301</v>
      </c>
    </row>
    <row r="46" spans="1:6" s="37" customFormat="1" ht="15.75" customHeight="1">
      <c r="A46" s="38"/>
      <c r="B46" s="38"/>
      <c r="C46" s="39">
        <v>4280</v>
      </c>
      <c r="D46" s="40" t="s">
        <v>51</v>
      </c>
      <c r="E46" s="41"/>
      <c r="F46" s="41">
        <v>480</v>
      </c>
    </row>
    <row r="47" spans="1:6" s="37" customFormat="1" ht="15.75" customHeight="1">
      <c r="A47" s="38"/>
      <c r="B47" s="38"/>
      <c r="C47" s="39">
        <v>4300</v>
      </c>
      <c r="D47" s="40" t="s">
        <v>25</v>
      </c>
      <c r="E47" s="41"/>
      <c r="F47" s="41">
        <v>62728</v>
      </c>
    </row>
    <row r="48" spans="1:6" s="37" customFormat="1" ht="15.75" customHeight="1">
      <c r="A48" s="38"/>
      <c r="B48" s="38"/>
      <c r="C48" s="39">
        <v>4360</v>
      </c>
      <c r="D48" s="40" t="s">
        <v>95</v>
      </c>
      <c r="E48" s="41"/>
      <c r="F48" s="41">
        <f>4152-1000</f>
        <v>3152</v>
      </c>
    </row>
    <row r="49" spans="1:6" s="37" customFormat="1" ht="15.75" customHeight="1">
      <c r="A49" s="38"/>
      <c r="B49" s="38"/>
      <c r="C49" s="39">
        <v>4410</v>
      </c>
      <c r="D49" s="40" t="s">
        <v>39</v>
      </c>
      <c r="E49" s="41"/>
      <c r="F49" s="41">
        <v>2416</v>
      </c>
    </row>
    <row r="50" spans="1:6" s="37" customFormat="1" ht="15.75" customHeight="1">
      <c r="A50" s="38"/>
      <c r="B50" s="38"/>
      <c r="C50" s="39">
        <v>4430</v>
      </c>
      <c r="D50" s="40" t="s">
        <v>40</v>
      </c>
      <c r="E50" s="41"/>
      <c r="F50" s="41">
        <v>4405</v>
      </c>
    </row>
    <row r="51" spans="1:6" s="37" customFormat="1" ht="15.75" customHeight="1">
      <c r="A51" s="38"/>
      <c r="B51" s="38"/>
      <c r="C51" s="39">
        <v>4440</v>
      </c>
      <c r="D51" s="40" t="s">
        <v>41</v>
      </c>
      <c r="E51" s="41"/>
      <c r="F51" s="41">
        <v>12351</v>
      </c>
    </row>
    <row r="52" spans="1:6" s="37" customFormat="1" ht="15.75" customHeight="1">
      <c r="A52" s="38"/>
      <c r="B52" s="38"/>
      <c r="C52" s="39">
        <v>4480</v>
      </c>
      <c r="D52" s="40" t="s">
        <v>42</v>
      </c>
      <c r="E52" s="41"/>
      <c r="F52" s="41">
        <f>1231+146</f>
        <v>1377</v>
      </c>
    </row>
    <row r="53" spans="1:6" s="37" customFormat="1" ht="15.75" customHeight="1">
      <c r="A53" s="38"/>
      <c r="B53" s="38"/>
      <c r="C53" s="39">
        <v>4550</v>
      </c>
      <c r="D53" s="40" t="s">
        <v>54</v>
      </c>
      <c r="E53" s="41"/>
      <c r="F53" s="41">
        <v>2640</v>
      </c>
    </row>
    <row r="54" spans="1:6" s="37" customFormat="1" ht="15.75" customHeight="1">
      <c r="A54" s="38"/>
      <c r="B54" s="38"/>
      <c r="C54" s="39">
        <v>4610</v>
      </c>
      <c r="D54" s="40" t="s">
        <v>49</v>
      </c>
      <c r="E54" s="41"/>
      <c r="F54" s="41">
        <v>18351</v>
      </c>
    </row>
    <row r="55" spans="1:6" s="37" customFormat="1" ht="27.75" customHeight="1">
      <c r="A55" s="38"/>
      <c r="B55" s="38"/>
      <c r="C55" s="39">
        <v>4700</v>
      </c>
      <c r="D55" s="40" t="s">
        <v>96</v>
      </c>
      <c r="E55" s="41"/>
      <c r="F55" s="41">
        <f>1000-671</f>
        <v>329</v>
      </c>
    </row>
    <row r="56" spans="1:6" s="199" customFormat="1" ht="16.5" customHeight="1">
      <c r="A56" s="66">
        <v>750</v>
      </c>
      <c r="B56" s="66"/>
      <c r="C56" s="67"/>
      <c r="D56" s="68" t="s">
        <v>55</v>
      </c>
      <c r="E56" s="69">
        <f>SUM(E57,E62)</f>
        <v>62446</v>
      </c>
      <c r="F56" s="69">
        <f>SUM(F57,F62)</f>
        <v>62446</v>
      </c>
    </row>
    <row r="57" spans="1:6" s="178" customFormat="1" ht="17.25" customHeight="1">
      <c r="A57" s="53"/>
      <c r="B57" s="53">
        <v>75011</v>
      </c>
      <c r="C57" s="54"/>
      <c r="D57" s="55" t="s">
        <v>56</v>
      </c>
      <c r="E57" s="56">
        <f>SUM(E58)</f>
        <v>39841</v>
      </c>
      <c r="F57" s="56">
        <f>SUM(F59:F61)</f>
        <v>39841</v>
      </c>
    </row>
    <row r="58" spans="1:6" s="178" customFormat="1" ht="42.75" customHeight="1">
      <c r="A58" s="174"/>
      <c r="B58" s="174"/>
      <c r="C58" s="175">
        <v>2110</v>
      </c>
      <c r="D58" s="176" t="s">
        <v>5</v>
      </c>
      <c r="E58" s="177">
        <v>39841</v>
      </c>
      <c r="F58" s="177"/>
    </row>
    <row r="59" spans="1:6" s="183" customFormat="1" ht="15.75" customHeight="1">
      <c r="A59" s="179"/>
      <c r="B59" s="179"/>
      <c r="C59" s="180">
        <v>4010</v>
      </c>
      <c r="D59" s="181" t="s">
        <v>32</v>
      </c>
      <c r="E59" s="182"/>
      <c r="F59" s="182">
        <v>33300</v>
      </c>
    </row>
    <row r="60" spans="1:6" s="183" customFormat="1" ht="15.75" customHeight="1">
      <c r="A60" s="179"/>
      <c r="B60" s="179"/>
      <c r="C60" s="180">
        <v>4110</v>
      </c>
      <c r="D60" s="181" t="s">
        <v>34</v>
      </c>
      <c r="E60" s="182"/>
      <c r="F60" s="182">
        <v>5723</v>
      </c>
    </row>
    <row r="61" spans="1:6" s="183" customFormat="1" ht="15.75" customHeight="1">
      <c r="A61" s="179"/>
      <c r="B61" s="179"/>
      <c r="C61" s="180">
        <v>4120</v>
      </c>
      <c r="D61" s="181" t="s">
        <v>35</v>
      </c>
      <c r="E61" s="182"/>
      <c r="F61" s="182">
        <v>818</v>
      </c>
    </row>
    <row r="62" spans="1:6" s="37" customFormat="1" ht="17.25" customHeight="1">
      <c r="A62" s="53"/>
      <c r="B62" s="53">
        <v>75045</v>
      </c>
      <c r="C62" s="54"/>
      <c r="D62" s="55" t="s">
        <v>10</v>
      </c>
      <c r="E62" s="56">
        <f>SUM(E63)</f>
        <v>22605</v>
      </c>
      <c r="F62" s="56">
        <f>SUM(F64:F68)</f>
        <v>22605</v>
      </c>
    </row>
    <row r="63" spans="1:6" s="37" customFormat="1" ht="42.75" customHeight="1">
      <c r="A63" s="38"/>
      <c r="B63" s="38"/>
      <c r="C63" s="39">
        <v>2110</v>
      </c>
      <c r="D63" s="40" t="s">
        <v>5</v>
      </c>
      <c r="E63" s="41">
        <f>25000-2395</f>
        <v>22605</v>
      </c>
      <c r="F63" s="177"/>
    </row>
    <row r="64" spans="1:6" s="193" customFormat="1" ht="15.75" customHeight="1">
      <c r="A64" s="82"/>
      <c r="B64" s="82"/>
      <c r="C64" s="83">
        <v>4110</v>
      </c>
      <c r="D64" s="88" t="s">
        <v>34</v>
      </c>
      <c r="E64" s="84"/>
      <c r="F64" s="182">
        <v>1599</v>
      </c>
    </row>
    <row r="65" spans="1:134" s="193" customFormat="1" ht="15.75" customHeight="1">
      <c r="A65" s="82"/>
      <c r="B65" s="82"/>
      <c r="C65" s="83">
        <v>4120</v>
      </c>
      <c r="D65" s="88" t="s">
        <v>35</v>
      </c>
      <c r="E65" s="84"/>
      <c r="F65" s="182">
        <v>200</v>
      </c>
    </row>
    <row r="66" spans="1:134" s="85" customFormat="1" ht="15.75" customHeight="1">
      <c r="A66" s="82"/>
      <c r="B66" s="82"/>
      <c r="C66" s="83">
        <v>4170</v>
      </c>
      <c r="D66" s="88" t="s">
        <v>36</v>
      </c>
      <c r="E66" s="84"/>
      <c r="F66" s="182">
        <f>22800-2281</f>
        <v>20519</v>
      </c>
    </row>
    <row r="67" spans="1:134" s="85" customFormat="1" ht="15.75" customHeight="1">
      <c r="A67" s="82"/>
      <c r="B67" s="82"/>
      <c r="C67" s="83">
        <v>4210</v>
      </c>
      <c r="D67" s="88" t="s">
        <v>26</v>
      </c>
      <c r="E67" s="84"/>
      <c r="F67" s="182">
        <f>351-64</f>
        <v>287</v>
      </c>
    </row>
    <row r="68" spans="1:134" s="85" customFormat="1" ht="15.75" customHeight="1">
      <c r="A68" s="82"/>
      <c r="B68" s="82"/>
      <c r="C68" s="83">
        <v>4300</v>
      </c>
      <c r="D68" s="88" t="s">
        <v>25</v>
      </c>
      <c r="E68" s="84"/>
      <c r="F68" s="182">
        <f>50-50</f>
        <v>0</v>
      </c>
    </row>
    <row r="69" spans="1:134" s="222" customFormat="1" ht="34.5" customHeight="1">
      <c r="A69" s="223" t="s">
        <v>395</v>
      </c>
      <c r="B69" s="223"/>
      <c r="C69" s="224"/>
      <c r="D69" s="225" t="s">
        <v>396</v>
      </c>
      <c r="E69" s="226">
        <f>SUM(E70)</f>
        <v>74047</v>
      </c>
      <c r="F69" s="226">
        <f>SUM(F70)</f>
        <v>74047</v>
      </c>
    </row>
    <row r="70" spans="1:134" s="183" customFormat="1" ht="43.5" customHeight="1">
      <c r="A70" s="167"/>
      <c r="B70" s="167" t="s">
        <v>397</v>
      </c>
      <c r="C70" s="168"/>
      <c r="D70" s="55" t="s">
        <v>398</v>
      </c>
      <c r="E70" s="170">
        <f>E71</f>
        <v>74047</v>
      </c>
      <c r="F70" s="170">
        <f>SUM(F72:F78)</f>
        <v>74047</v>
      </c>
    </row>
    <row r="71" spans="1:134" s="183" customFormat="1" ht="43.5" customHeight="1">
      <c r="A71" s="179"/>
      <c r="B71" s="179"/>
      <c r="C71" s="180">
        <v>2110</v>
      </c>
      <c r="D71" s="176" t="s">
        <v>5</v>
      </c>
      <c r="E71" s="182">
        <f>68397+5650</f>
        <v>74047</v>
      </c>
      <c r="F71" s="182"/>
    </row>
    <row r="72" spans="1:134" s="183" customFormat="1" ht="18" customHeight="1">
      <c r="A72" s="179"/>
      <c r="B72" s="179"/>
      <c r="C72" s="180">
        <v>3030</v>
      </c>
      <c r="D72" s="176" t="s">
        <v>428</v>
      </c>
      <c r="E72" s="182"/>
      <c r="F72" s="182">
        <v>5650</v>
      </c>
    </row>
    <row r="73" spans="1:134" s="183" customFormat="1" ht="15.75" customHeight="1">
      <c r="A73" s="179"/>
      <c r="B73" s="179"/>
      <c r="C73" s="180">
        <v>4110</v>
      </c>
      <c r="D73" s="181" t="s">
        <v>34</v>
      </c>
      <c r="E73" s="182"/>
      <c r="F73" s="182">
        <v>3954</v>
      </c>
    </row>
    <row r="74" spans="1:134" s="183" customFormat="1" ht="15.75" customHeight="1">
      <c r="A74" s="179"/>
      <c r="B74" s="179"/>
      <c r="C74" s="180">
        <v>4120</v>
      </c>
      <c r="D74" s="181" t="s">
        <v>35</v>
      </c>
      <c r="E74" s="182"/>
      <c r="F74" s="182">
        <v>564</v>
      </c>
    </row>
    <row r="75" spans="1:134" s="183" customFormat="1" ht="15.75" customHeight="1">
      <c r="A75" s="179"/>
      <c r="B75" s="179"/>
      <c r="C75" s="180">
        <v>4170</v>
      </c>
      <c r="D75" s="40" t="s">
        <v>36</v>
      </c>
      <c r="E75" s="182"/>
      <c r="F75" s="182">
        <v>23000</v>
      </c>
    </row>
    <row r="76" spans="1:134" s="183" customFormat="1" ht="15.75" customHeight="1">
      <c r="A76" s="179"/>
      <c r="B76" s="179"/>
      <c r="C76" s="180">
        <v>4210</v>
      </c>
      <c r="D76" s="40" t="s">
        <v>26</v>
      </c>
      <c r="E76" s="182"/>
      <c r="F76" s="182">
        <v>20834</v>
      </c>
    </row>
    <row r="77" spans="1:134" s="183" customFormat="1" ht="15.75" customHeight="1">
      <c r="A77" s="179"/>
      <c r="B77" s="179"/>
      <c r="C77" s="180">
        <v>4300</v>
      </c>
      <c r="D77" s="40" t="s">
        <v>25</v>
      </c>
      <c r="E77" s="182"/>
      <c r="F77" s="182">
        <v>19545</v>
      </c>
    </row>
    <row r="78" spans="1:134" s="85" customFormat="1" ht="15.75" customHeight="1">
      <c r="A78" s="82"/>
      <c r="B78" s="82"/>
      <c r="C78" s="83">
        <v>4410</v>
      </c>
      <c r="D78" s="40" t="s">
        <v>39</v>
      </c>
      <c r="E78" s="84"/>
      <c r="F78" s="182">
        <v>500</v>
      </c>
    </row>
    <row r="79" spans="1:134" s="203" customFormat="1" ht="15.75" customHeight="1">
      <c r="A79" s="223" t="s">
        <v>344</v>
      </c>
      <c r="B79" s="223"/>
      <c r="C79" s="224"/>
      <c r="D79" s="225" t="s">
        <v>347</v>
      </c>
      <c r="E79" s="226">
        <f>SUM(E80)</f>
        <v>68673</v>
      </c>
      <c r="F79" s="226">
        <f>SUM(F80)</f>
        <v>68673</v>
      </c>
    </row>
    <row r="80" spans="1:134" s="202" customFormat="1" ht="15.75" customHeight="1">
      <c r="A80" s="167"/>
      <c r="B80" s="167" t="s">
        <v>345</v>
      </c>
      <c r="C80" s="168"/>
      <c r="D80" s="169" t="s">
        <v>6</v>
      </c>
      <c r="E80" s="170">
        <f>SUM(E81:E82)</f>
        <v>68673</v>
      </c>
      <c r="F80" s="170">
        <f>SUM(F83:F84)</f>
        <v>68673</v>
      </c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</row>
    <row r="81" spans="1:134" s="183" customFormat="1" ht="38.25" customHeight="1">
      <c r="A81" s="179"/>
      <c r="B81" s="179"/>
      <c r="C81" s="180">
        <v>2110</v>
      </c>
      <c r="D81" s="176" t="s">
        <v>5</v>
      </c>
      <c r="E81" s="182">
        <f>54500-1300</f>
        <v>53200</v>
      </c>
      <c r="F81" s="182"/>
    </row>
    <row r="82" spans="1:134" s="183" customFormat="1" ht="36">
      <c r="A82" s="179"/>
      <c r="B82" s="179"/>
      <c r="C82" s="180">
        <v>6410</v>
      </c>
      <c r="D82" s="181" t="s">
        <v>346</v>
      </c>
      <c r="E82" s="182">
        <v>15473</v>
      </c>
      <c r="F82" s="182"/>
    </row>
    <row r="83" spans="1:134" s="183" customFormat="1" ht="15.75" customHeight="1">
      <c r="A83" s="179"/>
      <c r="B83" s="179"/>
      <c r="C83" s="180">
        <v>4210</v>
      </c>
      <c r="D83" s="181" t="s">
        <v>26</v>
      </c>
      <c r="E83" s="182"/>
      <c r="F83" s="182">
        <f>54500-1300</f>
        <v>53200</v>
      </c>
    </row>
    <row r="84" spans="1:134" s="183" customFormat="1" ht="15.75" customHeight="1">
      <c r="A84" s="179"/>
      <c r="B84" s="179"/>
      <c r="C84" s="180">
        <v>6060</v>
      </c>
      <c r="D84" s="201" t="s">
        <v>355</v>
      </c>
      <c r="E84" s="182"/>
      <c r="F84" s="182">
        <v>15473</v>
      </c>
    </row>
    <row r="85" spans="1:134" s="199" customFormat="1" ht="18" customHeight="1">
      <c r="A85" s="66">
        <v>754</v>
      </c>
      <c r="B85" s="66"/>
      <c r="C85" s="67"/>
      <c r="D85" s="68" t="s">
        <v>11</v>
      </c>
      <c r="E85" s="69">
        <f>SUM(E86,E116,E119)</f>
        <v>7063024</v>
      </c>
      <c r="F85" s="69">
        <f>SUM(F86,F116,F119)</f>
        <v>7063024</v>
      </c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</row>
    <row r="86" spans="1:134" s="192" customFormat="1" ht="17.25" customHeight="1">
      <c r="A86" s="53"/>
      <c r="B86" s="53">
        <v>75411</v>
      </c>
      <c r="C86" s="54"/>
      <c r="D86" s="55" t="s">
        <v>12</v>
      </c>
      <c r="E86" s="56">
        <f>SUM(E87,J89)</f>
        <v>7015324</v>
      </c>
      <c r="F86" s="56">
        <f>SUM(F88:F115)</f>
        <v>7015324</v>
      </c>
    </row>
    <row r="87" spans="1:134" s="37" customFormat="1" ht="38.25" customHeight="1">
      <c r="A87" s="38"/>
      <c r="B87" s="38"/>
      <c r="C87" s="39">
        <v>2110</v>
      </c>
      <c r="D87" s="40" t="s">
        <v>5</v>
      </c>
      <c r="E87" s="41">
        <f>6633262+5960+191899+41079+143124</f>
        <v>7015324</v>
      </c>
      <c r="F87" s="41"/>
    </row>
    <row r="88" spans="1:134" s="37" customFormat="1" ht="25.5" customHeight="1">
      <c r="A88" s="38"/>
      <c r="B88" s="38"/>
      <c r="C88" s="39">
        <v>3070</v>
      </c>
      <c r="D88" s="40" t="s">
        <v>57</v>
      </c>
      <c r="E88" s="41"/>
      <c r="F88" s="41">
        <v>339601</v>
      </c>
    </row>
    <row r="89" spans="1:134" s="37" customFormat="1" ht="15.75" customHeight="1">
      <c r="A89" s="38"/>
      <c r="B89" s="38"/>
      <c r="C89" s="39">
        <v>4010</v>
      </c>
      <c r="D89" s="40" t="s">
        <v>32</v>
      </c>
      <c r="E89" s="41"/>
      <c r="F89" s="41">
        <v>53955</v>
      </c>
    </row>
    <row r="90" spans="1:134" s="37" customFormat="1" ht="15.75" customHeight="1">
      <c r="A90" s="38"/>
      <c r="B90" s="38"/>
      <c r="C90" s="39">
        <v>4020</v>
      </c>
      <c r="D90" s="40" t="s">
        <v>53</v>
      </c>
      <c r="E90" s="41"/>
      <c r="F90" s="41">
        <v>97743</v>
      </c>
    </row>
    <row r="91" spans="1:134" s="37" customFormat="1" ht="15.75" customHeight="1">
      <c r="A91" s="38"/>
      <c r="B91" s="38"/>
      <c r="C91" s="39">
        <v>4040</v>
      </c>
      <c r="D91" s="40" t="s">
        <v>33</v>
      </c>
      <c r="E91" s="41"/>
      <c r="F91" s="41">
        <v>6741</v>
      </c>
    </row>
    <row r="92" spans="1:134" s="37" customFormat="1" ht="15.75" customHeight="1">
      <c r="A92" s="38"/>
      <c r="B92" s="38"/>
      <c r="C92" s="39">
        <v>4050</v>
      </c>
      <c r="D92" s="40" t="s">
        <v>58</v>
      </c>
      <c r="E92" s="41"/>
      <c r="F92" s="41">
        <v>4452644</v>
      </c>
    </row>
    <row r="93" spans="1:134" s="37" customFormat="1" ht="29.25" customHeight="1">
      <c r="A93" s="38"/>
      <c r="B93" s="38"/>
      <c r="C93" s="39">
        <v>4060</v>
      </c>
      <c r="D93" s="40" t="s">
        <v>109</v>
      </c>
      <c r="E93" s="41"/>
      <c r="F93" s="41">
        <v>216261</v>
      </c>
    </row>
    <row r="94" spans="1:134" s="37" customFormat="1" ht="29.25" customHeight="1">
      <c r="A94" s="38"/>
      <c r="B94" s="38"/>
      <c r="C94" s="39">
        <v>4070</v>
      </c>
      <c r="D94" s="40" t="s">
        <v>59</v>
      </c>
      <c r="E94" s="41"/>
      <c r="F94" s="41">
        <v>361387</v>
      </c>
    </row>
    <row r="95" spans="1:134" s="37" customFormat="1" ht="29.25" customHeight="1">
      <c r="A95" s="38"/>
      <c r="B95" s="38"/>
      <c r="C95" s="39">
        <v>4080</v>
      </c>
      <c r="D95" s="40" t="s">
        <v>129</v>
      </c>
      <c r="E95" s="41"/>
      <c r="F95" s="41">
        <v>77535</v>
      </c>
    </row>
    <row r="96" spans="1:134" s="37" customFormat="1" ht="15.75" customHeight="1">
      <c r="A96" s="38"/>
      <c r="B96" s="38"/>
      <c r="C96" s="39">
        <v>4110</v>
      </c>
      <c r="D96" s="40" t="s">
        <v>34</v>
      </c>
      <c r="E96" s="41"/>
      <c r="F96" s="41">
        <v>28178</v>
      </c>
    </row>
    <row r="97" spans="1:6" s="37" customFormat="1" ht="15.75" customHeight="1">
      <c r="A97" s="38"/>
      <c r="B97" s="38"/>
      <c r="C97" s="39">
        <v>4120</v>
      </c>
      <c r="D97" s="40" t="s">
        <v>35</v>
      </c>
      <c r="E97" s="41"/>
      <c r="F97" s="41">
        <v>3840</v>
      </c>
    </row>
    <row r="98" spans="1:6" s="37" customFormat="1" ht="15.75" customHeight="1">
      <c r="A98" s="38"/>
      <c r="B98" s="38"/>
      <c r="C98" s="39">
        <v>4170</v>
      </c>
      <c r="D98" s="40" t="s">
        <v>36</v>
      </c>
      <c r="E98" s="41"/>
      <c r="F98" s="41">
        <v>5831</v>
      </c>
    </row>
    <row r="99" spans="1:6" s="37" customFormat="1" ht="29.25" customHeight="1">
      <c r="A99" s="38"/>
      <c r="B99" s="38"/>
      <c r="C99" s="39">
        <v>4180</v>
      </c>
      <c r="D99" s="40" t="s">
        <v>110</v>
      </c>
      <c r="E99" s="41"/>
      <c r="F99" s="41">
        <v>581899</v>
      </c>
    </row>
    <row r="100" spans="1:6" s="37" customFormat="1" ht="15.75" customHeight="1">
      <c r="A100" s="38"/>
      <c r="B100" s="38"/>
      <c r="C100" s="39">
        <v>4210</v>
      </c>
      <c r="D100" s="40" t="s">
        <v>26</v>
      </c>
      <c r="E100" s="41"/>
      <c r="F100" s="41">
        <v>365915</v>
      </c>
    </row>
    <row r="101" spans="1:6" s="37" customFormat="1" ht="15.75" customHeight="1">
      <c r="A101" s="38"/>
      <c r="B101" s="38"/>
      <c r="C101" s="39">
        <v>4220</v>
      </c>
      <c r="D101" s="40" t="s">
        <v>60</v>
      </c>
      <c r="E101" s="41"/>
      <c r="F101" s="41">
        <v>16188</v>
      </c>
    </row>
    <row r="102" spans="1:6" s="37" customFormat="1" ht="15.75" customHeight="1">
      <c r="A102" s="38"/>
      <c r="B102" s="38"/>
      <c r="C102" s="39">
        <v>4230</v>
      </c>
      <c r="D102" s="40" t="s">
        <v>61</v>
      </c>
      <c r="E102" s="41"/>
      <c r="F102" s="41">
        <v>6441</v>
      </c>
    </row>
    <row r="103" spans="1:6" s="37" customFormat="1" ht="15.75" customHeight="1">
      <c r="A103" s="38"/>
      <c r="B103" s="38"/>
      <c r="C103" s="39">
        <v>4250</v>
      </c>
      <c r="D103" s="40" t="s">
        <v>62</v>
      </c>
      <c r="E103" s="41"/>
      <c r="F103" s="41">
        <v>16000</v>
      </c>
    </row>
    <row r="104" spans="1:6" s="37" customFormat="1" ht="15.75" customHeight="1">
      <c r="A104" s="38"/>
      <c r="B104" s="38"/>
      <c r="C104" s="39">
        <v>4260</v>
      </c>
      <c r="D104" s="40" t="s">
        <v>37</v>
      </c>
      <c r="E104" s="41"/>
      <c r="F104" s="41">
        <v>71121</v>
      </c>
    </row>
    <row r="105" spans="1:6" s="37" customFormat="1" ht="15.75" customHeight="1">
      <c r="A105" s="38"/>
      <c r="B105" s="38"/>
      <c r="C105" s="39">
        <v>4270</v>
      </c>
      <c r="D105" s="40" t="s">
        <v>38</v>
      </c>
      <c r="E105" s="41"/>
      <c r="F105" s="41">
        <f>62477+30000+52000</f>
        <v>144477</v>
      </c>
    </row>
    <row r="106" spans="1:6" s="37" customFormat="1" ht="15.75" customHeight="1">
      <c r="A106" s="38"/>
      <c r="B106" s="38"/>
      <c r="C106" s="39">
        <v>4280</v>
      </c>
      <c r="D106" s="40" t="s">
        <v>51</v>
      </c>
      <c r="E106" s="41"/>
      <c r="F106" s="41">
        <v>29274</v>
      </c>
    </row>
    <row r="107" spans="1:6" s="37" customFormat="1" ht="15.75" customHeight="1">
      <c r="A107" s="38"/>
      <c r="B107" s="38"/>
      <c r="C107" s="39">
        <v>4300</v>
      </c>
      <c r="D107" s="40" t="s">
        <v>25</v>
      </c>
      <c r="E107" s="41"/>
      <c r="F107" s="41">
        <v>76000</v>
      </c>
    </row>
    <row r="108" spans="1:6" s="37" customFormat="1" ht="15.75" customHeight="1">
      <c r="A108" s="38"/>
      <c r="B108" s="38"/>
      <c r="C108" s="39">
        <v>4360</v>
      </c>
      <c r="D108" s="40" t="s">
        <v>95</v>
      </c>
      <c r="E108" s="41"/>
      <c r="F108" s="41">
        <v>8737</v>
      </c>
    </row>
    <row r="109" spans="1:6" s="37" customFormat="1" ht="15.75" customHeight="1">
      <c r="A109" s="38"/>
      <c r="B109" s="38"/>
      <c r="C109" s="39">
        <v>4410</v>
      </c>
      <c r="D109" s="40" t="s">
        <v>39</v>
      </c>
      <c r="E109" s="41"/>
      <c r="F109" s="41">
        <v>15045</v>
      </c>
    </row>
    <row r="110" spans="1:6" s="37" customFormat="1" ht="15.75" customHeight="1">
      <c r="A110" s="38"/>
      <c r="B110" s="38"/>
      <c r="C110" s="39">
        <v>4420</v>
      </c>
      <c r="D110" s="40" t="s">
        <v>417</v>
      </c>
      <c r="E110" s="41"/>
      <c r="F110" s="41">
        <v>750</v>
      </c>
    </row>
    <row r="111" spans="1:6" s="37" customFormat="1" ht="15.75" customHeight="1">
      <c r="A111" s="38"/>
      <c r="B111" s="38"/>
      <c r="C111" s="39">
        <v>4430</v>
      </c>
      <c r="D111" s="40" t="s">
        <v>40</v>
      </c>
      <c r="E111" s="41"/>
      <c r="F111" s="41">
        <v>4231</v>
      </c>
    </row>
    <row r="112" spans="1:6" s="37" customFormat="1" ht="15.75" customHeight="1">
      <c r="A112" s="38"/>
      <c r="B112" s="38"/>
      <c r="C112" s="39">
        <v>4440</v>
      </c>
      <c r="D112" s="40" t="s">
        <v>41</v>
      </c>
      <c r="E112" s="41"/>
      <c r="F112" s="41">
        <v>2965</v>
      </c>
    </row>
    <row r="113" spans="1:6" s="37" customFormat="1" ht="15.75" customHeight="1">
      <c r="A113" s="38"/>
      <c r="B113" s="38"/>
      <c r="C113" s="39">
        <v>4480</v>
      </c>
      <c r="D113" s="40" t="s">
        <v>42</v>
      </c>
      <c r="E113" s="41"/>
      <c r="F113" s="41">
        <v>24325</v>
      </c>
    </row>
    <row r="114" spans="1:6" s="37" customFormat="1" ht="15.75" customHeight="1">
      <c r="A114" s="38"/>
      <c r="B114" s="38"/>
      <c r="C114" s="39">
        <v>4550</v>
      </c>
      <c r="D114" s="40" t="s">
        <v>54</v>
      </c>
      <c r="E114" s="41"/>
      <c r="F114" s="41">
        <v>300</v>
      </c>
    </row>
    <row r="115" spans="1:6" s="37" customFormat="1" ht="28.5" customHeight="1">
      <c r="A115" s="38"/>
      <c r="B115" s="38"/>
      <c r="C115" s="39">
        <v>4700</v>
      </c>
      <c r="D115" s="40" t="s">
        <v>96</v>
      </c>
      <c r="E115" s="41"/>
      <c r="F115" s="41">
        <v>7940</v>
      </c>
    </row>
    <row r="116" spans="1:6" s="37" customFormat="1" ht="18.75" customHeight="1">
      <c r="A116" s="53"/>
      <c r="B116" s="53" t="s">
        <v>390</v>
      </c>
      <c r="C116" s="54">
        <v>75414</v>
      </c>
      <c r="D116" s="55" t="s">
        <v>391</v>
      </c>
      <c r="E116" s="56">
        <f>SUM(E117)</f>
        <v>32000</v>
      </c>
      <c r="F116" s="56">
        <f>SUM(F118:F118)</f>
        <v>32000</v>
      </c>
    </row>
    <row r="117" spans="1:6" s="37" customFormat="1" ht="40.5" customHeight="1">
      <c r="A117" s="38"/>
      <c r="B117" s="38"/>
      <c r="C117" s="39">
        <v>2110</v>
      </c>
      <c r="D117" s="40" t="s">
        <v>5</v>
      </c>
      <c r="E117" s="41">
        <v>32000</v>
      </c>
      <c r="F117" s="41"/>
    </row>
    <row r="118" spans="1:6" s="37" customFormat="1" ht="15.75" customHeight="1">
      <c r="A118" s="38"/>
      <c r="B118" s="38"/>
      <c r="C118" s="39">
        <v>4300</v>
      </c>
      <c r="D118" s="40" t="s">
        <v>25</v>
      </c>
      <c r="E118" s="41"/>
      <c r="F118" s="41">
        <v>32000</v>
      </c>
    </row>
    <row r="119" spans="1:6" s="37" customFormat="1" ht="15.75" customHeight="1">
      <c r="A119" s="53"/>
      <c r="B119" s="53" t="s">
        <v>390</v>
      </c>
      <c r="C119" s="54">
        <v>75478</v>
      </c>
      <c r="D119" s="55" t="s">
        <v>427</v>
      </c>
      <c r="E119" s="56">
        <f>SUM(E120)</f>
        <v>15700</v>
      </c>
      <c r="F119" s="56">
        <f>SUM(F121)</f>
        <v>15700</v>
      </c>
    </row>
    <row r="120" spans="1:6" s="37" customFormat="1" ht="41.25" customHeight="1">
      <c r="A120" s="38"/>
      <c r="B120" s="38"/>
      <c r="C120" s="39">
        <v>2110</v>
      </c>
      <c r="D120" s="40" t="s">
        <v>5</v>
      </c>
      <c r="E120" s="177">
        <v>15700</v>
      </c>
      <c r="F120" s="41"/>
    </row>
    <row r="121" spans="1:6" s="37" customFormat="1" ht="18" customHeight="1">
      <c r="A121" s="38"/>
      <c r="B121" s="38"/>
      <c r="C121" s="39">
        <v>4210</v>
      </c>
      <c r="D121" s="40" t="s">
        <v>26</v>
      </c>
      <c r="E121" s="41"/>
      <c r="F121" s="41">
        <v>15700</v>
      </c>
    </row>
    <row r="122" spans="1:6" s="199" customFormat="1" ht="17.25" customHeight="1">
      <c r="A122" s="66" t="s">
        <v>114</v>
      </c>
      <c r="B122" s="66"/>
      <c r="C122" s="67"/>
      <c r="D122" s="68" t="s">
        <v>111</v>
      </c>
      <c r="E122" s="69">
        <f>AVERAGE(E123)</f>
        <v>313020</v>
      </c>
      <c r="F122" s="69">
        <f>AVERAGE(F123)</f>
        <v>313020</v>
      </c>
    </row>
    <row r="123" spans="1:6" s="37" customFormat="1" ht="17.25" customHeight="1">
      <c r="A123" s="53"/>
      <c r="B123" s="53" t="s">
        <v>113</v>
      </c>
      <c r="C123" s="54"/>
      <c r="D123" s="55" t="s">
        <v>112</v>
      </c>
      <c r="E123" s="56">
        <f>SUM(E124)</f>
        <v>313020</v>
      </c>
      <c r="F123" s="56">
        <f>SUM(F125:F131)</f>
        <v>313020</v>
      </c>
    </row>
    <row r="124" spans="1:6" s="37" customFormat="1" ht="47.25" customHeight="1">
      <c r="A124" s="38"/>
      <c r="B124" s="38"/>
      <c r="C124" s="39">
        <v>2110</v>
      </c>
      <c r="D124" s="40" t="s">
        <v>5</v>
      </c>
      <c r="E124" s="41">
        <v>313020</v>
      </c>
      <c r="F124" s="41"/>
    </row>
    <row r="125" spans="1:6" s="85" customFormat="1" ht="60" customHeight="1">
      <c r="A125" s="82"/>
      <c r="B125" s="82"/>
      <c r="C125" s="89">
        <v>2360</v>
      </c>
      <c r="D125" s="61" t="s">
        <v>115</v>
      </c>
      <c r="E125" s="90"/>
      <c r="F125" s="84">
        <v>182178</v>
      </c>
    </row>
    <row r="126" spans="1:6" s="85" customFormat="1" ht="15.75" customHeight="1">
      <c r="A126" s="82"/>
      <c r="B126" s="82"/>
      <c r="C126" s="89">
        <v>4010</v>
      </c>
      <c r="D126" s="88" t="s">
        <v>32</v>
      </c>
      <c r="E126" s="90"/>
      <c r="F126" s="84">
        <v>4200</v>
      </c>
    </row>
    <row r="127" spans="1:6" s="85" customFormat="1" ht="15.75" customHeight="1">
      <c r="A127" s="82"/>
      <c r="B127" s="82"/>
      <c r="C127" s="89">
        <v>4110</v>
      </c>
      <c r="D127" s="88" t="s">
        <v>34</v>
      </c>
      <c r="E127" s="90"/>
      <c r="F127" s="84">
        <v>719</v>
      </c>
    </row>
    <row r="128" spans="1:6" s="85" customFormat="1" ht="15.75" customHeight="1">
      <c r="A128" s="82"/>
      <c r="B128" s="82"/>
      <c r="C128" s="89">
        <v>4120</v>
      </c>
      <c r="D128" s="88" t="s">
        <v>35</v>
      </c>
      <c r="E128" s="90"/>
      <c r="F128" s="84">
        <v>103</v>
      </c>
    </row>
    <row r="129" spans="1:9" s="85" customFormat="1" ht="15.75" customHeight="1">
      <c r="A129" s="82"/>
      <c r="B129" s="82"/>
      <c r="C129" s="89">
        <v>4170</v>
      </c>
      <c r="D129" s="88" t="s">
        <v>36</v>
      </c>
      <c r="E129" s="90"/>
      <c r="F129" s="84">
        <v>0</v>
      </c>
    </row>
    <row r="130" spans="1:9" s="85" customFormat="1" ht="15.75" customHeight="1">
      <c r="A130" s="82"/>
      <c r="B130" s="82"/>
      <c r="C130" s="83">
        <v>4210</v>
      </c>
      <c r="D130" s="284" t="s">
        <v>26</v>
      </c>
      <c r="E130" s="84"/>
      <c r="F130" s="84">
        <f>4368-1150</f>
        <v>3218</v>
      </c>
    </row>
    <row r="131" spans="1:9" s="85" customFormat="1" ht="15.75" customHeight="1">
      <c r="A131" s="82"/>
      <c r="B131" s="82"/>
      <c r="C131" s="83">
        <v>4300</v>
      </c>
      <c r="D131" s="88" t="s">
        <v>25</v>
      </c>
      <c r="E131" s="84"/>
      <c r="F131" s="84">
        <v>122602</v>
      </c>
    </row>
    <row r="132" spans="1:9" s="203" customFormat="1" ht="15.75" customHeight="1">
      <c r="A132" s="223" t="s">
        <v>399</v>
      </c>
      <c r="B132" s="223"/>
      <c r="C132" s="224"/>
      <c r="D132" s="225" t="s">
        <v>316</v>
      </c>
      <c r="E132" s="226">
        <f>SUM(E133)</f>
        <v>45044</v>
      </c>
      <c r="F132" s="226">
        <f>SUM(F133)</f>
        <v>45044</v>
      </c>
    </row>
    <row r="133" spans="1:9" s="85" customFormat="1" ht="40.5" customHeight="1">
      <c r="A133" s="167"/>
      <c r="B133" s="167" t="s">
        <v>400</v>
      </c>
      <c r="C133" s="168"/>
      <c r="D133" s="169" t="s">
        <v>401</v>
      </c>
      <c r="E133" s="170">
        <f>SUM(E134)</f>
        <v>45044</v>
      </c>
      <c r="F133" s="170">
        <f>SUM(F135:F136)</f>
        <v>45044</v>
      </c>
    </row>
    <row r="134" spans="1:9" s="85" customFormat="1" ht="43.5" customHeight="1">
      <c r="A134" s="179"/>
      <c r="B134" s="179"/>
      <c r="C134" s="180">
        <v>2110</v>
      </c>
      <c r="D134" s="60" t="s">
        <v>5</v>
      </c>
      <c r="E134" s="182">
        <f>47336-2292</f>
        <v>45044</v>
      </c>
      <c r="F134" s="182"/>
    </row>
    <row r="135" spans="1:9" s="85" customFormat="1" ht="43.5" customHeight="1">
      <c r="A135" s="179"/>
      <c r="B135" s="179"/>
      <c r="C135" s="180">
        <v>2830</v>
      </c>
      <c r="D135" s="181" t="s">
        <v>402</v>
      </c>
      <c r="E135" s="182"/>
      <c r="F135" s="182">
        <v>5478</v>
      </c>
    </row>
    <row r="136" spans="1:9" s="85" customFormat="1" ht="15.75" customHeight="1">
      <c r="A136" s="179"/>
      <c r="B136" s="179"/>
      <c r="C136" s="180">
        <v>4240</v>
      </c>
      <c r="D136" s="181" t="s">
        <v>403</v>
      </c>
      <c r="E136" s="182"/>
      <c r="F136" s="182">
        <f>39306+260</f>
        <v>39566</v>
      </c>
    </row>
    <row r="137" spans="1:9" s="199" customFormat="1" ht="17.25" customHeight="1">
      <c r="A137" s="66">
        <v>851</v>
      </c>
      <c r="B137" s="66"/>
      <c r="C137" s="67"/>
      <c r="D137" s="68" t="s">
        <v>13</v>
      </c>
      <c r="E137" s="69">
        <f>SUM(E138)</f>
        <v>1409491</v>
      </c>
      <c r="F137" s="69">
        <f>SUM(F138)</f>
        <v>1409491</v>
      </c>
    </row>
    <row r="138" spans="1:9" s="178" customFormat="1" ht="33.75" customHeight="1">
      <c r="A138" s="53"/>
      <c r="B138" s="53">
        <v>85156</v>
      </c>
      <c r="C138" s="54"/>
      <c r="D138" s="55" t="s">
        <v>14</v>
      </c>
      <c r="E138" s="56">
        <f>SUM(E139)</f>
        <v>1409491</v>
      </c>
      <c r="F138" s="56">
        <f>SUM(F140)</f>
        <v>1409491</v>
      </c>
    </row>
    <row r="139" spans="1:9" s="178" customFormat="1" ht="42.75" customHeight="1">
      <c r="A139" s="174"/>
      <c r="B139" s="174"/>
      <c r="C139" s="175">
        <v>2110</v>
      </c>
      <c r="D139" s="176" t="s">
        <v>5</v>
      </c>
      <c r="E139" s="177">
        <f>1598409-50000-65701+5758-78975</f>
        <v>1409491</v>
      </c>
      <c r="F139" s="177"/>
    </row>
    <row r="140" spans="1:9" s="178" customFormat="1" ht="15.75" customHeight="1">
      <c r="A140" s="174"/>
      <c r="B140" s="174"/>
      <c r="C140" s="175">
        <v>4130</v>
      </c>
      <c r="D140" s="176" t="s">
        <v>63</v>
      </c>
      <c r="E140" s="177"/>
      <c r="F140" s="177">
        <f>1598409-50000-65701+5758-78975</f>
        <v>1409491</v>
      </c>
    </row>
    <row r="141" spans="1:9" s="199" customFormat="1" ht="17.25" customHeight="1">
      <c r="A141" s="66" t="s">
        <v>99</v>
      </c>
      <c r="B141" s="66"/>
      <c r="C141" s="67"/>
      <c r="D141" s="68" t="s">
        <v>64</v>
      </c>
      <c r="E141" s="69">
        <f>SUM(E142,E163,E166)</f>
        <v>730010</v>
      </c>
      <c r="F141" s="69">
        <f>SUM(F142,F163,F166)</f>
        <v>730010</v>
      </c>
      <c r="I141" s="200"/>
    </row>
    <row r="142" spans="1:9" s="37" customFormat="1" ht="17.25" customHeight="1">
      <c r="A142" s="53"/>
      <c r="B142" s="53">
        <v>85203</v>
      </c>
      <c r="C142" s="54"/>
      <c r="D142" s="55" t="s">
        <v>16</v>
      </c>
      <c r="E142" s="56">
        <f>SUM(E143,)</f>
        <v>714860</v>
      </c>
      <c r="F142" s="56">
        <f>SUM(F144:F162)</f>
        <v>714860</v>
      </c>
    </row>
    <row r="143" spans="1:9" s="37" customFormat="1" ht="43.5" customHeight="1">
      <c r="A143" s="38"/>
      <c r="B143" s="38"/>
      <c r="C143" s="39">
        <v>2110</v>
      </c>
      <c r="D143" s="40" t="s">
        <v>5</v>
      </c>
      <c r="E143" s="41">
        <f>696420+15440+2830+170</f>
        <v>714860</v>
      </c>
      <c r="F143" s="41"/>
    </row>
    <row r="144" spans="1:9" s="37" customFormat="1" ht="15.75" customHeight="1">
      <c r="A144" s="38"/>
      <c r="B144" s="38"/>
      <c r="C144" s="83">
        <v>3020</v>
      </c>
      <c r="D144" s="40" t="s">
        <v>31</v>
      </c>
      <c r="E144" s="84"/>
      <c r="F144" s="84">
        <v>368</v>
      </c>
    </row>
    <row r="145" spans="1:6" s="85" customFormat="1" ht="15.75" customHeight="1">
      <c r="A145" s="82"/>
      <c r="B145" s="82"/>
      <c r="C145" s="83">
        <v>4010</v>
      </c>
      <c r="D145" s="88" t="s">
        <v>32</v>
      </c>
      <c r="E145" s="84"/>
      <c r="F145" s="84">
        <v>369950</v>
      </c>
    </row>
    <row r="146" spans="1:6" s="193" customFormat="1" ht="15.75" customHeight="1">
      <c r="A146" s="82"/>
      <c r="B146" s="82"/>
      <c r="C146" s="83">
        <v>4040</v>
      </c>
      <c r="D146" s="88" t="s">
        <v>33</v>
      </c>
      <c r="E146" s="84"/>
      <c r="F146" s="84">
        <v>22522</v>
      </c>
    </row>
    <row r="147" spans="1:6" s="85" customFormat="1" ht="15.75" customHeight="1">
      <c r="A147" s="82"/>
      <c r="B147" s="82"/>
      <c r="C147" s="83">
        <v>4110</v>
      </c>
      <c r="D147" s="88" t="s">
        <v>34</v>
      </c>
      <c r="E147" s="84"/>
      <c r="F147" s="84">
        <v>67872</v>
      </c>
    </row>
    <row r="148" spans="1:6" s="85" customFormat="1" ht="15.75" customHeight="1">
      <c r="A148" s="82"/>
      <c r="B148" s="82"/>
      <c r="C148" s="83">
        <v>4120</v>
      </c>
      <c r="D148" s="88" t="s">
        <v>35</v>
      </c>
      <c r="E148" s="84"/>
      <c r="F148" s="84">
        <v>5580</v>
      </c>
    </row>
    <row r="149" spans="1:6" s="85" customFormat="1" ht="15.75" customHeight="1">
      <c r="A149" s="82"/>
      <c r="B149" s="82"/>
      <c r="C149" s="83">
        <v>4170</v>
      </c>
      <c r="D149" s="88" t="s">
        <v>36</v>
      </c>
      <c r="E149" s="84"/>
      <c r="F149" s="84">
        <v>990</v>
      </c>
    </row>
    <row r="150" spans="1:6" s="193" customFormat="1" ht="15.75" customHeight="1">
      <c r="A150" s="82"/>
      <c r="B150" s="82"/>
      <c r="C150" s="83">
        <v>4210</v>
      </c>
      <c r="D150" s="88" t="s">
        <v>26</v>
      </c>
      <c r="E150" s="84"/>
      <c r="F150" s="84">
        <v>65330</v>
      </c>
    </row>
    <row r="151" spans="1:6" s="85" customFormat="1" ht="15.75" customHeight="1">
      <c r="A151" s="82"/>
      <c r="B151" s="82"/>
      <c r="C151" s="83">
        <v>4220</v>
      </c>
      <c r="D151" s="88" t="s">
        <v>60</v>
      </c>
      <c r="E151" s="84"/>
      <c r="F151" s="84">
        <v>17800</v>
      </c>
    </row>
    <row r="152" spans="1:6" s="85" customFormat="1" ht="15.75" customHeight="1">
      <c r="A152" s="82"/>
      <c r="B152" s="82"/>
      <c r="C152" s="83">
        <v>4260</v>
      </c>
      <c r="D152" s="88" t="s">
        <v>37</v>
      </c>
      <c r="E152" s="84"/>
      <c r="F152" s="84">
        <v>5400</v>
      </c>
    </row>
    <row r="153" spans="1:6" s="85" customFormat="1" ht="15.75" customHeight="1">
      <c r="A153" s="82"/>
      <c r="B153" s="82"/>
      <c r="C153" s="83">
        <v>4270</v>
      </c>
      <c r="D153" s="88" t="s">
        <v>38</v>
      </c>
      <c r="E153" s="84"/>
      <c r="F153" s="84">
        <v>22394</v>
      </c>
    </row>
    <row r="154" spans="1:6" s="85" customFormat="1" ht="15.75" customHeight="1">
      <c r="A154" s="82"/>
      <c r="B154" s="82"/>
      <c r="C154" s="83">
        <v>4280</v>
      </c>
      <c r="D154" s="88" t="s">
        <v>51</v>
      </c>
      <c r="E154" s="84"/>
      <c r="F154" s="84">
        <v>270</v>
      </c>
    </row>
    <row r="155" spans="1:6" s="85" customFormat="1" ht="15.75" customHeight="1">
      <c r="A155" s="82"/>
      <c r="B155" s="82"/>
      <c r="C155" s="83">
        <v>4300</v>
      </c>
      <c r="D155" s="88" t="s">
        <v>25</v>
      </c>
      <c r="E155" s="84"/>
      <c r="F155" s="84">
        <v>102253</v>
      </c>
    </row>
    <row r="156" spans="1:6" s="85" customFormat="1" ht="15.75" customHeight="1">
      <c r="A156" s="82"/>
      <c r="B156" s="82"/>
      <c r="C156" s="83">
        <v>4360</v>
      </c>
      <c r="D156" s="88" t="s">
        <v>95</v>
      </c>
      <c r="E156" s="84"/>
      <c r="F156" s="84">
        <v>2950</v>
      </c>
    </row>
    <row r="157" spans="1:6" s="85" customFormat="1" ht="15.75" customHeight="1">
      <c r="A157" s="82"/>
      <c r="B157" s="82"/>
      <c r="C157" s="83">
        <v>4410</v>
      </c>
      <c r="D157" s="88" t="s">
        <v>39</v>
      </c>
      <c r="E157" s="84"/>
      <c r="F157" s="84">
        <v>1740</v>
      </c>
    </row>
    <row r="158" spans="1:6" s="85" customFormat="1" ht="15.75" customHeight="1">
      <c r="A158" s="82"/>
      <c r="B158" s="82"/>
      <c r="C158" s="83">
        <v>4430</v>
      </c>
      <c r="D158" s="88" t="s">
        <v>40</v>
      </c>
      <c r="E158" s="84"/>
      <c r="F158" s="84">
        <v>900</v>
      </c>
    </row>
    <row r="159" spans="1:6" s="85" customFormat="1" ht="15.75" customHeight="1">
      <c r="A159" s="82"/>
      <c r="B159" s="82"/>
      <c r="C159" s="83">
        <v>4440</v>
      </c>
      <c r="D159" s="88" t="s">
        <v>41</v>
      </c>
      <c r="E159" s="84"/>
      <c r="F159" s="84">
        <v>10865</v>
      </c>
    </row>
    <row r="160" spans="1:6" s="85" customFormat="1" ht="15.75" customHeight="1">
      <c r="A160" s="82"/>
      <c r="B160" s="82"/>
      <c r="C160" s="83">
        <v>4480</v>
      </c>
      <c r="D160" s="88" t="s">
        <v>42</v>
      </c>
      <c r="E160" s="84"/>
      <c r="F160" s="84">
        <v>3632</v>
      </c>
    </row>
    <row r="161" spans="1:6" s="85" customFormat="1" ht="21" customHeight="1">
      <c r="A161" s="82"/>
      <c r="B161" s="82"/>
      <c r="C161" s="83">
        <v>4520</v>
      </c>
      <c r="D161" s="88" t="s">
        <v>43</v>
      </c>
      <c r="E161" s="84"/>
      <c r="F161" s="84">
        <v>3057</v>
      </c>
    </row>
    <row r="162" spans="1:6" s="85" customFormat="1" ht="31.5" customHeight="1">
      <c r="A162" s="82"/>
      <c r="B162" s="82"/>
      <c r="C162" s="83">
        <v>4700</v>
      </c>
      <c r="D162" s="88" t="s">
        <v>96</v>
      </c>
      <c r="E162" s="84"/>
      <c r="F162" s="84">
        <v>10987</v>
      </c>
    </row>
    <row r="163" spans="1:6" s="247" customFormat="1" ht="58.5" customHeight="1">
      <c r="A163" s="53"/>
      <c r="B163" s="53" t="s">
        <v>237</v>
      </c>
      <c r="C163" s="54"/>
      <c r="D163" s="55" t="s">
        <v>249</v>
      </c>
      <c r="E163" s="56">
        <f>SUM(E164:E164)</f>
        <v>0</v>
      </c>
      <c r="F163" s="56">
        <f>SUM(F165:F165)</f>
        <v>0</v>
      </c>
    </row>
    <row r="164" spans="1:6" s="178" customFormat="1" ht="43.5" customHeight="1">
      <c r="A164" s="174"/>
      <c r="B164" s="174"/>
      <c r="C164" s="175">
        <v>2110</v>
      </c>
      <c r="D164" s="176" t="s">
        <v>5</v>
      </c>
      <c r="E164" s="177">
        <f>220-110-110</f>
        <v>0</v>
      </c>
      <c r="F164" s="177"/>
    </row>
    <row r="165" spans="1:6" s="183" customFormat="1" ht="15.75" customHeight="1">
      <c r="A165" s="179"/>
      <c r="B165" s="179"/>
      <c r="C165" s="180">
        <v>4130</v>
      </c>
      <c r="D165" s="176" t="s">
        <v>63</v>
      </c>
      <c r="E165" s="182"/>
      <c r="F165" s="182">
        <f>220-110-110</f>
        <v>0</v>
      </c>
    </row>
    <row r="166" spans="1:6" s="37" customFormat="1" ht="17.25" customHeight="1">
      <c r="A166" s="53"/>
      <c r="B166" s="53" t="s">
        <v>127</v>
      </c>
      <c r="C166" s="54"/>
      <c r="D166" s="55" t="s">
        <v>128</v>
      </c>
      <c r="E166" s="56">
        <f>SUM(E167:E167)</f>
        <v>15150</v>
      </c>
      <c r="F166" s="56">
        <f>SUM(F168:F168)</f>
        <v>15150</v>
      </c>
    </row>
    <row r="167" spans="1:6" s="192" customFormat="1" ht="43.5" customHeight="1">
      <c r="A167" s="38"/>
      <c r="B167" s="38"/>
      <c r="C167" s="39">
        <v>2110</v>
      </c>
      <c r="D167" s="40" t="s">
        <v>5</v>
      </c>
      <c r="E167" s="41">
        <f>30000-14800-50</f>
        <v>15150</v>
      </c>
      <c r="F167" s="41"/>
    </row>
    <row r="168" spans="1:6" s="193" customFormat="1" ht="15.75" customHeight="1">
      <c r="A168" s="82"/>
      <c r="B168" s="82"/>
      <c r="C168" s="83">
        <v>3110</v>
      </c>
      <c r="D168" s="88" t="s">
        <v>67</v>
      </c>
      <c r="E168" s="84"/>
      <c r="F168" s="84">
        <f>30000-14800-50</f>
        <v>15150</v>
      </c>
    </row>
    <row r="169" spans="1:6" s="199" customFormat="1" ht="17.25" customHeight="1">
      <c r="A169" s="66">
        <v>853</v>
      </c>
      <c r="B169" s="66"/>
      <c r="C169" s="67"/>
      <c r="D169" s="68" t="s">
        <v>18</v>
      </c>
      <c r="E169" s="69">
        <f>SUM(E170,E182)</f>
        <v>248068</v>
      </c>
      <c r="F169" s="69">
        <f>SUM(F170,F182)</f>
        <v>248068</v>
      </c>
    </row>
    <row r="170" spans="1:6" s="37" customFormat="1" ht="17.25" customHeight="1">
      <c r="A170" s="53"/>
      <c r="B170" s="53">
        <v>85321</v>
      </c>
      <c r="C170" s="54"/>
      <c r="D170" s="55" t="s">
        <v>20</v>
      </c>
      <c r="E170" s="56">
        <f>SUM(E171)</f>
        <v>171778</v>
      </c>
      <c r="F170" s="56">
        <f>SUM(F171:F181)</f>
        <v>171778</v>
      </c>
    </row>
    <row r="171" spans="1:6" s="37" customFormat="1" ht="42.75" customHeight="1">
      <c r="A171" s="38"/>
      <c r="B171" s="38"/>
      <c r="C171" s="39">
        <v>2110</v>
      </c>
      <c r="D171" s="40" t="s">
        <v>5</v>
      </c>
      <c r="E171" s="41">
        <f>129005+964+964+10000+25000+5567+278</f>
        <v>171778</v>
      </c>
      <c r="F171" s="41"/>
    </row>
    <row r="172" spans="1:6" s="37" customFormat="1" ht="15.75" customHeight="1">
      <c r="A172" s="38"/>
      <c r="B172" s="38"/>
      <c r="C172" s="39">
        <v>3020</v>
      </c>
      <c r="D172" s="40" t="s">
        <v>31</v>
      </c>
      <c r="E172" s="41"/>
      <c r="F172" s="41">
        <v>0</v>
      </c>
    </row>
    <row r="173" spans="1:6" s="85" customFormat="1" ht="15.75" customHeight="1">
      <c r="A173" s="82"/>
      <c r="B173" s="82"/>
      <c r="C173" s="83">
        <v>4010</v>
      </c>
      <c r="D173" s="88" t="s">
        <v>32</v>
      </c>
      <c r="E173" s="84"/>
      <c r="F173" s="84">
        <v>56375</v>
      </c>
    </row>
    <row r="174" spans="1:6" s="85" customFormat="1" ht="15.75" customHeight="1">
      <c r="A174" s="82"/>
      <c r="B174" s="82"/>
      <c r="C174" s="83">
        <v>4040</v>
      </c>
      <c r="D174" s="88" t="s">
        <v>33</v>
      </c>
      <c r="E174" s="84"/>
      <c r="F174" s="84">
        <f>3926-336</f>
        <v>3590</v>
      </c>
    </row>
    <row r="175" spans="1:6" s="85" customFormat="1" ht="15.75" customHeight="1">
      <c r="A175" s="82"/>
      <c r="B175" s="82"/>
      <c r="C175" s="83">
        <v>4110</v>
      </c>
      <c r="D175" s="88" t="s">
        <v>34</v>
      </c>
      <c r="E175" s="84"/>
      <c r="F175" s="84">
        <v>12050</v>
      </c>
    </row>
    <row r="176" spans="1:6" s="85" customFormat="1" ht="15.75" customHeight="1">
      <c r="A176" s="82"/>
      <c r="B176" s="82"/>
      <c r="C176" s="83">
        <v>4120</v>
      </c>
      <c r="D176" s="88" t="s">
        <v>35</v>
      </c>
      <c r="E176" s="84"/>
      <c r="F176" s="84">
        <v>1529</v>
      </c>
    </row>
    <row r="177" spans="1:6" s="85" customFormat="1" ht="15.75" customHeight="1">
      <c r="A177" s="82"/>
      <c r="B177" s="82"/>
      <c r="C177" s="83">
        <v>4170</v>
      </c>
      <c r="D177" s="88" t="s">
        <v>36</v>
      </c>
      <c r="E177" s="84"/>
      <c r="F177" s="84">
        <v>30147</v>
      </c>
    </row>
    <row r="178" spans="1:6" s="85" customFormat="1" ht="15.75" customHeight="1">
      <c r="A178" s="82"/>
      <c r="B178" s="82"/>
      <c r="C178" s="83">
        <v>4210</v>
      </c>
      <c r="D178" s="88" t="s">
        <v>26</v>
      </c>
      <c r="E178" s="84"/>
      <c r="F178" s="84">
        <v>7796</v>
      </c>
    </row>
    <row r="179" spans="1:6" s="85" customFormat="1" ht="15.75" customHeight="1">
      <c r="A179" s="82"/>
      <c r="B179" s="82"/>
      <c r="C179" s="83">
        <v>4280</v>
      </c>
      <c r="D179" s="88" t="s">
        <v>51</v>
      </c>
      <c r="E179" s="84"/>
      <c r="F179" s="84">
        <v>0</v>
      </c>
    </row>
    <row r="180" spans="1:6" s="85" customFormat="1" ht="15.75" customHeight="1">
      <c r="A180" s="82"/>
      <c r="B180" s="82"/>
      <c r="C180" s="83">
        <v>4300</v>
      </c>
      <c r="D180" s="88" t="s">
        <v>25</v>
      </c>
      <c r="E180" s="84"/>
      <c r="F180" s="84">
        <v>59105</v>
      </c>
    </row>
    <row r="181" spans="1:6" s="85" customFormat="1" ht="15.75" customHeight="1">
      <c r="A181" s="82"/>
      <c r="B181" s="82"/>
      <c r="C181" s="83">
        <v>4440</v>
      </c>
      <c r="D181" s="88" t="s">
        <v>41</v>
      </c>
      <c r="E181" s="84"/>
      <c r="F181" s="84">
        <v>1186</v>
      </c>
    </row>
    <row r="182" spans="1:6" s="85" customFormat="1" ht="15.75" customHeight="1">
      <c r="A182" s="167"/>
      <c r="B182" s="167" t="s">
        <v>319</v>
      </c>
      <c r="C182" s="168"/>
      <c r="D182" s="169" t="s">
        <v>6</v>
      </c>
      <c r="E182" s="170">
        <f>E183</f>
        <v>76290</v>
      </c>
      <c r="F182" s="170">
        <f>SUM(F183:F184)</f>
        <v>76290</v>
      </c>
    </row>
    <row r="183" spans="1:6" s="85" customFormat="1" ht="39.75" customHeight="1">
      <c r="A183" s="268"/>
      <c r="B183" s="268"/>
      <c r="C183" s="269">
        <v>2110</v>
      </c>
      <c r="D183" s="40" t="s">
        <v>5</v>
      </c>
      <c r="E183" s="270">
        <f>30000+7830+33660+4800</f>
        <v>76290</v>
      </c>
      <c r="F183" s="270"/>
    </row>
    <row r="184" spans="1:6" s="85" customFormat="1" ht="15.75" customHeight="1">
      <c r="A184" s="268"/>
      <c r="B184" s="268"/>
      <c r="C184" s="269">
        <v>3110</v>
      </c>
      <c r="D184" s="88" t="s">
        <v>67</v>
      </c>
      <c r="E184" s="270"/>
      <c r="F184" s="270">
        <f>30000+7830+33660+4800</f>
        <v>76290</v>
      </c>
    </row>
    <row r="185" spans="1:6" s="199" customFormat="1" ht="17.25" customHeight="1">
      <c r="A185" s="66" t="s">
        <v>118</v>
      </c>
      <c r="B185" s="66"/>
      <c r="C185" s="67"/>
      <c r="D185" s="68" t="s">
        <v>116</v>
      </c>
      <c r="E185" s="69">
        <f>SUM(E192,E196,E186)</f>
        <v>611893</v>
      </c>
      <c r="F185" s="69">
        <f>SUM(F192,F196,F186)</f>
        <v>611893</v>
      </c>
    </row>
    <row r="186" spans="1:6" s="37" customFormat="1" ht="17.25" customHeight="1">
      <c r="A186" s="53"/>
      <c r="B186" s="53" t="s">
        <v>393</v>
      </c>
      <c r="C186" s="54"/>
      <c r="D186" s="55" t="s">
        <v>394</v>
      </c>
      <c r="E186" s="56">
        <f>SUM(E187)</f>
        <v>37220</v>
      </c>
      <c r="F186" s="56">
        <f>SUM(F188:F191)</f>
        <v>37220</v>
      </c>
    </row>
    <row r="187" spans="1:6" s="199" customFormat="1" ht="47.25" customHeight="1">
      <c r="A187" s="218"/>
      <c r="B187" s="218"/>
      <c r="C187" s="175">
        <v>2110</v>
      </c>
      <c r="D187" s="176" t="s">
        <v>5</v>
      </c>
      <c r="E187" s="177">
        <f>45600-8380</f>
        <v>37220</v>
      </c>
      <c r="F187" s="219"/>
    </row>
    <row r="188" spans="1:6" s="37" customFormat="1" ht="15.75" customHeight="1">
      <c r="A188" s="174"/>
      <c r="B188" s="174"/>
      <c r="C188" s="175">
        <v>3110</v>
      </c>
      <c r="D188" s="176" t="s">
        <v>67</v>
      </c>
      <c r="E188" s="177"/>
      <c r="F188" s="177">
        <v>35989</v>
      </c>
    </row>
    <row r="189" spans="1:6" s="37" customFormat="1" ht="15.75" customHeight="1">
      <c r="A189" s="174"/>
      <c r="B189" s="174"/>
      <c r="C189" s="175">
        <v>4010</v>
      </c>
      <c r="D189" s="176" t="s">
        <v>32</v>
      </c>
      <c r="E189" s="177"/>
      <c r="F189" s="177">
        <v>1029</v>
      </c>
    </row>
    <row r="190" spans="1:6" s="37" customFormat="1" ht="15.75" customHeight="1">
      <c r="A190" s="174"/>
      <c r="B190" s="174"/>
      <c r="C190" s="175">
        <v>4110</v>
      </c>
      <c r="D190" s="176" t="s">
        <v>336</v>
      </c>
      <c r="E190" s="177"/>
      <c r="F190" s="177">
        <v>177</v>
      </c>
    </row>
    <row r="191" spans="1:6" s="37" customFormat="1" ht="15.75" customHeight="1">
      <c r="A191" s="174"/>
      <c r="B191" s="174"/>
      <c r="C191" s="175">
        <v>4120</v>
      </c>
      <c r="D191" s="176" t="s">
        <v>35</v>
      </c>
      <c r="E191" s="177"/>
      <c r="F191" s="177">
        <v>25</v>
      </c>
    </row>
    <row r="192" spans="1:6" s="37" customFormat="1" ht="17.25" customHeight="1">
      <c r="A192" s="53"/>
      <c r="B192" s="53" t="s">
        <v>119</v>
      </c>
      <c r="C192" s="54"/>
      <c r="D192" s="55" t="s">
        <v>17</v>
      </c>
      <c r="E192" s="56">
        <f>SUM(E193)</f>
        <v>468558</v>
      </c>
      <c r="F192" s="56">
        <f>SUM(F193:F195)</f>
        <v>468558</v>
      </c>
    </row>
    <row r="193" spans="1:6" s="85" customFormat="1" ht="60" customHeight="1">
      <c r="A193" s="82"/>
      <c r="B193" s="82"/>
      <c r="C193" s="83">
        <v>2160</v>
      </c>
      <c r="D193" s="184" t="s">
        <v>120</v>
      </c>
      <c r="E193" s="84">
        <f>457000+6756+4802</f>
        <v>468558</v>
      </c>
      <c r="F193" s="84"/>
    </row>
    <row r="194" spans="1:6" s="85" customFormat="1" ht="15.75" customHeight="1">
      <c r="A194" s="82"/>
      <c r="B194" s="82"/>
      <c r="C194" s="83">
        <v>3110</v>
      </c>
      <c r="D194" s="88" t="s">
        <v>67</v>
      </c>
      <c r="E194" s="84"/>
      <c r="F194" s="84">
        <v>463918</v>
      </c>
    </row>
    <row r="195" spans="1:6" s="85" customFormat="1" ht="15.75" customHeight="1">
      <c r="A195" s="82"/>
      <c r="B195" s="82"/>
      <c r="C195" s="83">
        <v>4010</v>
      </c>
      <c r="D195" s="88" t="s">
        <v>32</v>
      </c>
      <c r="E195" s="84"/>
      <c r="F195" s="84">
        <v>4640</v>
      </c>
    </row>
    <row r="196" spans="1:6" s="247" customFormat="1" ht="17.25" customHeight="1">
      <c r="A196" s="53"/>
      <c r="B196" s="53" t="s">
        <v>121</v>
      </c>
      <c r="C196" s="54"/>
      <c r="D196" s="55" t="s">
        <v>117</v>
      </c>
      <c r="E196" s="56">
        <f>SUM(E198:E202,E197)</f>
        <v>106115</v>
      </c>
      <c r="F196" s="56">
        <f>SUM(F197:F202)</f>
        <v>106115</v>
      </c>
    </row>
    <row r="197" spans="1:6" s="191" customFormat="1" ht="48.75" customHeight="1">
      <c r="A197" s="174"/>
      <c r="B197" s="174"/>
      <c r="C197" s="175">
        <v>2110</v>
      </c>
      <c r="D197" s="176" t="s">
        <v>5</v>
      </c>
      <c r="E197" s="177">
        <f>54897+5018</f>
        <v>59915</v>
      </c>
      <c r="F197" s="177"/>
    </row>
    <row r="198" spans="1:6" s="85" customFormat="1" ht="61.5" customHeight="1">
      <c r="A198" s="82"/>
      <c r="B198" s="82"/>
      <c r="C198" s="83">
        <v>2160</v>
      </c>
      <c r="D198" s="184" t="s">
        <v>120</v>
      </c>
      <c r="E198" s="84">
        <f>35000+11200</f>
        <v>46200</v>
      </c>
      <c r="F198" s="84"/>
    </row>
    <row r="199" spans="1:6" s="85" customFormat="1" ht="15.75" customHeight="1">
      <c r="A199" s="82"/>
      <c r="B199" s="82"/>
      <c r="C199" s="83">
        <v>3110</v>
      </c>
      <c r="D199" s="88" t="s">
        <v>67</v>
      </c>
      <c r="E199" s="84"/>
      <c r="F199" s="84">
        <v>53900</v>
      </c>
    </row>
    <row r="200" spans="1:6" s="85" customFormat="1" ht="15.75" customHeight="1">
      <c r="A200" s="82"/>
      <c r="B200" s="82"/>
      <c r="C200" s="83">
        <v>4010</v>
      </c>
      <c r="D200" s="88" t="s">
        <v>32</v>
      </c>
      <c r="E200" s="84"/>
      <c r="F200" s="84">
        <v>43621</v>
      </c>
    </row>
    <row r="201" spans="1:6" s="85" customFormat="1" ht="15.75" customHeight="1">
      <c r="A201" s="82"/>
      <c r="B201" s="82"/>
      <c r="C201" s="83">
        <v>4110</v>
      </c>
      <c r="D201" s="88" t="s">
        <v>336</v>
      </c>
      <c r="E201" s="84"/>
      <c r="F201" s="84">
        <v>7536</v>
      </c>
    </row>
    <row r="202" spans="1:6" s="85" customFormat="1" ht="15.75" customHeight="1">
      <c r="A202" s="82"/>
      <c r="B202" s="82"/>
      <c r="C202" s="83">
        <v>4120</v>
      </c>
      <c r="D202" s="88" t="s">
        <v>35</v>
      </c>
      <c r="E202" s="84"/>
      <c r="F202" s="84">
        <v>1058</v>
      </c>
    </row>
    <row r="203" spans="1:6" s="37" customFormat="1" ht="20.25" customHeight="1">
      <c r="A203" s="439" t="s">
        <v>97</v>
      </c>
      <c r="B203" s="440"/>
      <c r="C203" s="440"/>
      <c r="D203" s="441"/>
      <c r="E203" s="65">
        <f>SUM(E5,E9,E27,E56,E69,E79,E85,E122, E132,E137,E141,E169,E185,)</f>
        <v>12172925</v>
      </c>
      <c r="F203" s="65">
        <f>SUM(F5,F9,F27,F56,F69,F79,F85,F122, F132,F137,F141,F169,F185,)</f>
        <v>12172925</v>
      </c>
    </row>
    <row r="204" spans="1:6" ht="15.75" customHeight="1"/>
    <row r="205" spans="1:6" ht="15.75" customHeight="1"/>
    <row r="206" spans="1:6" s="42" customFormat="1" ht="15.75" customHeight="1"/>
    <row r="207" spans="1:6" s="42" customFormat="1" ht="15.75" customHeight="1"/>
    <row r="208" spans="1:6" s="4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</sheetData>
  <sheetProtection algorithmName="SHA-512" hashValue="rPcoTiXjQhFjb6GfvoIYq0BHL8J/j3w+nV4/gssB1uQiml2K4sJvUEGb4s4a+rP1uO5xSWnTVUWSIOFuVOMydw==" saltValue="g/NCw5h1bHIwXt7XXGVL8w==" spinCount="100000" sheet="1" objects="1" scenarios="1"/>
  <mergeCells count="2">
    <mergeCell ref="A2:F2"/>
    <mergeCell ref="A203:D203"/>
  </mergeCells>
  <pageMargins left="0.86614173228346458" right="0.27559055118110237" top="1.299212598425197" bottom="1.299212598425197" header="0.31496062992125984" footer="0.31496062992125984"/>
  <pageSetup paperSize="9" scale="90" orientation="portrait" horizontalDpi="4294967294" verticalDpi="0" r:id="rId1"/>
  <headerFooter differentFirst="1" alignWithMargins="0">
    <oddFooter>&amp;C&amp;P</oddFooter>
    <evenFooter>&amp;C&amp;P</evenFooter>
    <firstHeader>&amp;RTabela Nr 5
do uchwały Nr ..................
Rady Powiatu w Otwocku
z dnia ................................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9"/>
  <sheetViews>
    <sheetView workbookViewId="0">
      <selection activeCell="B3" sqref="B3:G3"/>
    </sheetView>
  </sheetViews>
  <sheetFormatPr defaultRowHeight="12"/>
  <cols>
    <col min="1" max="1" width="3.6640625" style="152" customWidth="1"/>
    <col min="2" max="2" width="7.83203125" style="166" customWidth="1"/>
    <col min="3" max="3" width="9.83203125" style="166" customWidth="1"/>
    <col min="4" max="4" width="10.83203125" style="166" customWidth="1"/>
    <col min="5" max="5" width="47" style="152" customWidth="1"/>
    <col min="6" max="7" width="17" style="152" customWidth="1"/>
    <col min="8" max="16384" width="9.33203125" style="152"/>
  </cols>
  <sheetData>
    <row r="3" spans="2:7" ht="31.5" customHeight="1">
      <c r="B3" s="415" t="s">
        <v>470</v>
      </c>
      <c r="C3" s="415"/>
      <c r="D3" s="415"/>
      <c r="E3" s="415"/>
      <c r="F3" s="415"/>
      <c r="G3" s="415"/>
    </row>
    <row r="5" spans="2:7" s="154" customFormat="1" ht="24" customHeight="1">
      <c r="B5" s="153" t="s">
        <v>0</v>
      </c>
      <c r="C5" s="153" t="s">
        <v>1</v>
      </c>
      <c r="D5" s="153" t="s">
        <v>91</v>
      </c>
      <c r="E5" s="153" t="s">
        <v>92</v>
      </c>
      <c r="F5" s="153" t="s">
        <v>93</v>
      </c>
      <c r="G5" s="153" t="s">
        <v>94</v>
      </c>
    </row>
    <row r="6" spans="2:7" s="158" customFormat="1" ht="19.5" customHeight="1">
      <c r="B6" s="155">
        <v>750</v>
      </c>
      <c r="C6" s="155"/>
      <c r="D6" s="155"/>
      <c r="E6" s="156" t="s">
        <v>55</v>
      </c>
      <c r="F6" s="157">
        <f>SUM(F7)</f>
        <v>20185</v>
      </c>
      <c r="G6" s="157">
        <f>SUM(G7)</f>
        <v>20185</v>
      </c>
    </row>
    <row r="7" spans="2:7" s="154" customFormat="1" ht="19.5" customHeight="1">
      <c r="B7" s="159"/>
      <c r="C7" s="159">
        <v>75011</v>
      </c>
      <c r="D7" s="159"/>
      <c r="E7" s="160" t="s">
        <v>56</v>
      </c>
      <c r="F7" s="161">
        <f>SUM(F8)</f>
        <v>20185</v>
      </c>
      <c r="G7" s="161">
        <f>SUM(G9:G11)</f>
        <v>20185</v>
      </c>
    </row>
    <row r="8" spans="2:7" s="154" customFormat="1" ht="55.5" customHeight="1">
      <c r="B8" s="162"/>
      <c r="C8" s="162"/>
      <c r="D8" s="162">
        <v>2120</v>
      </c>
      <c r="E8" s="163" t="s">
        <v>315</v>
      </c>
      <c r="F8" s="164">
        <f>18000+2185</f>
        <v>20185</v>
      </c>
      <c r="G8" s="164"/>
    </row>
    <row r="9" spans="2:7" s="154" customFormat="1" ht="19.5" customHeight="1">
      <c r="B9" s="162"/>
      <c r="C9" s="162"/>
      <c r="D9" s="162">
        <v>4010</v>
      </c>
      <c r="E9" s="163" t="s">
        <v>32</v>
      </c>
      <c r="F9" s="164"/>
      <c r="G9" s="164">
        <f>15040+1826</f>
        <v>16866</v>
      </c>
    </row>
    <row r="10" spans="2:7" s="154" customFormat="1" ht="19.5" customHeight="1">
      <c r="B10" s="162"/>
      <c r="C10" s="162"/>
      <c r="D10" s="162">
        <v>4110</v>
      </c>
      <c r="E10" s="163" t="s">
        <v>34</v>
      </c>
      <c r="F10" s="164"/>
      <c r="G10" s="164">
        <f>2585+314</f>
        <v>2899</v>
      </c>
    </row>
    <row r="11" spans="2:7" s="154" customFormat="1" ht="19.5" customHeight="1">
      <c r="B11" s="162"/>
      <c r="C11" s="162"/>
      <c r="D11" s="162">
        <v>4120</v>
      </c>
      <c r="E11" s="163" t="s">
        <v>35</v>
      </c>
      <c r="F11" s="164"/>
      <c r="G11" s="164">
        <f>375+45</f>
        <v>420</v>
      </c>
    </row>
    <row r="12" spans="2:7" s="158" customFormat="1" ht="19.5" customHeight="1">
      <c r="B12" s="155">
        <v>801</v>
      </c>
      <c r="C12" s="155"/>
      <c r="D12" s="155"/>
      <c r="E12" s="156" t="s">
        <v>316</v>
      </c>
      <c r="F12" s="157">
        <f>SUM(F13)</f>
        <v>265200</v>
      </c>
      <c r="G12" s="157">
        <f>SUM(G13)</f>
        <v>265200</v>
      </c>
    </row>
    <row r="13" spans="2:7" s="154" customFormat="1" ht="19.5" customHeight="1">
      <c r="B13" s="159"/>
      <c r="C13" s="159">
        <v>80195</v>
      </c>
      <c r="D13" s="159"/>
      <c r="E13" s="160" t="s">
        <v>6</v>
      </c>
      <c r="F13" s="161">
        <f>SUM(F14)</f>
        <v>265200</v>
      </c>
      <c r="G13" s="161">
        <f>SUM(G15:G18)</f>
        <v>265200</v>
      </c>
    </row>
    <row r="14" spans="2:7" s="154" customFormat="1" ht="55.5" customHeight="1">
      <c r="B14" s="162"/>
      <c r="C14" s="162"/>
      <c r="D14" s="162">
        <v>2120</v>
      </c>
      <c r="E14" s="163" t="s">
        <v>315</v>
      </c>
      <c r="F14" s="164">
        <v>265200</v>
      </c>
      <c r="G14" s="164"/>
    </row>
    <row r="15" spans="2:7" s="154" customFormat="1" ht="19.5" customHeight="1">
      <c r="B15" s="162"/>
      <c r="C15" s="162"/>
      <c r="D15" s="162">
        <v>4110</v>
      </c>
      <c r="E15" s="163" t="s">
        <v>34</v>
      </c>
      <c r="F15" s="164"/>
      <c r="G15" s="164">
        <v>18800</v>
      </c>
    </row>
    <row r="16" spans="2:7" s="154" customFormat="1" ht="19.5" customHeight="1">
      <c r="B16" s="162"/>
      <c r="C16" s="162"/>
      <c r="D16" s="162">
        <v>4120</v>
      </c>
      <c r="E16" s="163" t="s">
        <v>35</v>
      </c>
      <c r="F16" s="164"/>
      <c r="G16" s="164">
        <v>2900</v>
      </c>
    </row>
    <row r="17" spans="2:7" s="154" customFormat="1" ht="19.5" customHeight="1">
      <c r="B17" s="162"/>
      <c r="C17" s="162"/>
      <c r="D17" s="162">
        <v>4170</v>
      </c>
      <c r="E17" s="40" t="s">
        <v>36</v>
      </c>
      <c r="F17" s="164"/>
      <c r="G17" s="164">
        <v>241700</v>
      </c>
    </row>
    <row r="18" spans="2:7" s="154" customFormat="1" ht="19.5" customHeight="1">
      <c r="B18" s="162"/>
      <c r="C18" s="162"/>
      <c r="D18" s="162">
        <v>4780</v>
      </c>
      <c r="E18" s="163" t="s">
        <v>317</v>
      </c>
      <c r="F18" s="164"/>
      <c r="G18" s="164">
        <v>1800</v>
      </c>
    </row>
    <row r="19" spans="2:7" s="154" customFormat="1" ht="21.75" customHeight="1">
      <c r="B19" s="416" t="s">
        <v>97</v>
      </c>
      <c r="C19" s="417"/>
      <c r="D19" s="417"/>
      <c r="E19" s="418"/>
      <c r="F19" s="165">
        <f>SUM(F6,F12)</f>
        <v>285385</v>
      </c>
      <c r="G19" s="165">
        <f>SUM(G6,G12)</f>
        <v>285385</v>
      </c>
    </row>
  </sheetData>
  <sheetProtection algorithmName="SHA-512" hashValue="HZEw4tc8X6/iyj/CjrxHoDKaPwV2nndHGuAwBYaQv7uPi9/aY6m8lJt+1HWbuwD34WGtl2skeVxIHQGmKjaOwg==" saltValue="1l90N1p/hBl4SiXQW/wRzw==" spinCount="100000" sheet="1" objects="1" scenarios="1" formatColumns="0" formatRows="0"/>
  <mergeCells count="2">
    <mergeCell ref="B3:G3"/>
    <mergeCell ref="B19:E19"/>
  </mergeCells>
  <pageMargins left="0.55118110236220474" right="0.37" top="1.47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Powiatu w Otwocku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workbookViewId="0">
      <pane ySplit="4" topLeftCell="A29" activePane="bottomLeft" state="frozen"/>
      <selection activeCell="F21" sqref="F21"/>
      <selection pane="bottomLeft" activeCell="A33" sqref="A33:XFD33"/>
    </sheetView>
  </sheetViews>
  <sheetFormatPr defaultColWidth="9.33203125" defaultRowHeight="12"/>
  <cols>
    <col min="1" max="1" width="3.6640625" style="46" customWidth="1"/>
    <col min="2" max="2" width="6.33203125" style="43" customWidth="1"/>
    <col min="3" max="4" width="10" style="43" customWidth="1"/>
    <col min="5" max="5" width="63.5" style="44" customWidth="1"/>
    <col min="6" max="7" width="15" style="45" customWidth="1"/>
    <col min="8" max="16384" width="9.33203125" style="46"/>
  </cols>
  <sheetData>
    <row r="1" spans="2:7" ht="16.5" customHeight="1"/>
    <row r="2" spans="2:7" ht="29.25" customHeight="1">
      <c r="B2" s="442" t="s">
        <v>300</v>
      </c>
      <c r="C2" s="442"/>
      <c r="D2" s="442"/>
      <c r="E2" s="442"/>
      <c r="F2" s="442"/>
      <c r="G2" s="442"/>
    </row>
    <row r="3" spans="2:7" ht="15.75" customHeight="1">
      <c r="B3" s="195"/>
      <c r="C3" s="195"/>
      <c r="D3" s="195"/>
      <c r="E3" s="195"/>
      <c r="F3" s="195"/>
      <c r="G3" s="195"/>
    </row>
    <row r="4" spans="2:7" s="47" customFormat="1" ht="42" customHeight="1">
      <c r="B4" s="70" t="s">
        <v>0</v>
      </c>
      <c r="C4" s="70" t="s">
        <v>1</v>
      </c>
      <c r="D4" s="70" t="s">
        <v>91</v>
      </c>
      <c r="E4" s="71" t="s">
        <v>92</v>
      </c>
      <c r="F4" s="72" t="s">
        <v>93</v>
      </c>
      <c r="G4" s="72" t="s">
        <v>94</v>
      </c>
    </row>
    <row r="5" spans="2:7" s="47" customFormat="1" ht="17.25" customHeight="1">
      <c r="B5" s="73">
        <v>600</v>
      </c>
      <c r="C5" s="73"/>
      <c r="D5" s="73"/>
      <c r="E5" s="74" t="s">
        <v>28</v>
      </c>
      <c r="F5" s="75">
        <f>SUM(F6,F8)</f>
        <v>7701375</v>
      </c>
      <c r="G5" s="75">
        <f>SUM(G6,G8)</f>
        <v>380000</v>
      </c>
    </row>
    <row r="6" spans="2:7" s="48" customFormat="1" ht="17.25" customHeight="1">
      <c r="B6" s="76"/>
      <c r="C6" s="76">
        <v>60004</v>
      </c>
      <c r="D6" s="76"/>
      <c r="E6" s="77" t="s">
        <v>29</v>
      </c>
      <c r="F6" s="78"/>
      <c r="G6" s="78">
        <f>SUM(G7)</f>
        <v>250000</v>
      </c>
    </row>
    <row r="7" spans="2:7" s="81" customFormat="1" ht="46.5" customHeight="1">
      <c r="B7" s="80"/>
      <c r="C7" s="80"/>
      <c r="D7" s="80">
        <v>2310</v>
      </c>
      <c r="E7" s="52" t="s">
        <v>30</v>
      </c>
      <c r="F7" s="59"/>
      <c r="G7" s="59">
        <v>250000</v>
      </c>
    </row>
    <row r="8" spans="2:7" s="48" customFormat="1" ht="17.25" customHeight="1">
      <c r="B8" s="76"/>
      <c r="C8" s="76">
        <v>60014</v>
      </c>
      <c r="D8" s="76"/>
      <c r="E8" s="77" t="s">
        <v>7</v>
      </c>
      <c r="F8" s="78">
        <f>SUM(F9:F11)</f>
        <v>7701375</v>
      </c>
      <c r="G8" s="78">
        <f>SUM(G9:G11)</f>
        <v>130000</v>
      </c>
    </row>
    <row r="9" spans="2:7" s="81" customFormat="1" ht="50.25" customHeight="1">
      <c r="B9" s="80"/>
      <c r="C9" s="80"/>
      <c r="D9" s="80">
        <v>6300</v>
      </c>
      <c r="E9" s="52" t="s">
        <v>8</v>
      </c>
      <c r="F9" s="59">
        <f>7481328+458000-606328-269000+30000</f>
        <v>7094000</v>
      </c>
      <c r="G9" s="59"/>
    </row>
    <row r="10" spans="2:7" s="390" customFormat="1" ht="50.25" customHeight="1">
      <c r="B10" s="387"/>
      <c r="C10" s="387"/>
      <c r="D10" s="387">
        <v>6610</v>
      </c>
      <c r="E10" s="388" t="s">
        <v>337</v>
      </c>
      <c r="F10" s="389"/>
      <c r="G10" s="389">
        <v>130000</v>
      </c>
    </row>
    <row r="11" spans="2:7" s="48" customFormat="1" ht="59.25" customHeight="1">
      <c r="B11" s="49"/>
      <c r="C11" s="49"/>
      <c r="D11" s="49">
        <v>6630</v>
      </c>
      <c r="E11" s="52" t="s">
        <v>98</v>
      </c>
      <c r="F11" s="59">
        <v>607375</v>
      </c>
      <c r="G11" s="51"/>
    </row>
    <row r="12" spans="2:7" s="47" customFormat="1" ht="17.25" customHeight="1">
      <c r="B12" s="73">
        <v>710</v>
      </c>
      <c r="C12" s="73"/>
      <c r="D12" s="73"/>
      <c r="E12" s="74" t="s">
        <v>50</v>
      </c>
      <c r="F12" s="75"/>
      <c r="G12" s="75">
        <f>SUM(G13)</f>
        <v>215077</v>
      </c>
    </row>
    <row r="13" spans="2:7" s="48" customFormat="1" ht="17.25" customHeight="1">
      <c r="B13" s="76"/>
      <c r="C13" s="76">
        <v>71095</v>
      </c>
      <c r="D13" s="76"/>
      <c r="E13" s="77" t="s">
        <v>6</v>
      </c>
      <c r="F13" s="78"/>
      <c r="G13" s="78">
        <f>SUM(G14)</f>
        <v>215077</v>
      </c>
    </row>
    <row r="14" spans="2:7" s="393" customFormat="1" ht="51" customHeight="1">
      <c r="B14" s="391"/>
      <c r="C14" s="391"/>
      <c r="D14" s="391">
        <v>6639</v>
      </c>
      <c r="E14" s="392" t="s">
        <v>27</v>
      </c>
      <c r="F14" s="389"/>
      <c r="G14" s="389">
        <f>273680-58603</f>
        <v>215077</v>
      </c>
    </row>
    <row r="15" spans="2:7" s="47" customFormat="1" ht="18" customHeight="1">
      <c r="B15" s="149">
        <v>750</v>
      </c>
      <c r="C15" s="149"/>
      <c r="D15" s="149"/>
      <c r="E15" s="147" t="s">
        <v>307</v>
      </c>
      <c r="F15" s="150">
        <f>SUM(F16)</f>
        <v>102800</v>
      </c>
      <c r="G15" s="150"/>
    </row>
    <row r="16" spans="2:7" s="48" customFormat="1" ht="17.25" customHeight="1">
      <c r="B16" s="76"/>
      <c r="C16" s="76">
        <v>75020</v>
      </c>
      <c r="D16" s="76"/>
      <c r="E16" s="77" t="s">
        <v>308</v>
      </c>
      <c r="F16" s="148">
        <f>SUM(F17)</f>
        <v>102800</v>
      </c>
      <c r="G16" s="148"/>
    </row>
    <row r="17" spans="2:7" s="189" customFormat="1" ht="51" customHeight="1">
      <c r="B17" s="186"/>
      <c r="C17" s="186"/>
      <c r="D17" s="186">
        <v>2710</v>
      </c>
      <c r="E17" s="187" t="s">
        <v>9</v>
      </c>
      <c r="F17" s="188">
        <f>30000+29000+43800</f>
        <v>102800</v>
      </c>
      <c r="G17" s="188"/>
    </row>
    <row r="18" spans="2:7" s="210" customFormat="1" ht="18" customHeight="1">
      <c r="B18" s="149">
        <v>801</v>
      </c>
      <c r="C18" s="149"/>
      <c r="D18" s="149"/>
      <c r="E18" s="209" t="s">
        <v>316</v>
      </c>
      <c r="F18" s="150">
        <f>F19</f>
        <v>147750</v>
      </c>
      <c r="G18" s="150">
        <f>G19</f>
        <v>0</v>
      </c>
    </row>
    <row r="19" spans="2:7" s="189" customFormat="1" ht="18" customHeight="1">
      <c r="B19" s="211"/>
      <c r="C19" s="211">
        <v>80115</v>
      </c>
      <c r="D19" s="211"/>
      <c r="E19" s="212" t="s">
        <v>357</v>
      </c>
      <c r="F19" s="213">
        <f>F20</f>
        <v>147750</v>
      </c>
      <c r="G19" s="213">
        <f>G20</f>
        <v>0</v>
      </c>
    </row>
    <row r="20" spans="2:7" s="189" customFormat="1" ht="51" customHeight="1">
      <c r="B20" s="186"/>
      <c r="C20" s="186"/>
      <c r="D20" s="80">
        <v>6300</v>
      </c>
      <c r="E20" s="52" t="s">
        <v>8</v>
      </c>
      <c r="F20" s="188">
        <v>147750</v>
      </c>
      <c r="G20" s="188"/>
    </row>
    <row r="21" spans="2:7" s="47" customFormat="1" ht="17.25" customHeight="1">
      <c r="B21" s="73">
        <v>853</v>
      </c>
      <c r="C21" s="73"/>
      <c r="D21" s="73"/>
      <c r="E21" s="74" t="s">
        <v>18</v>
      </c>
      <c r="F21" s="75">
        <f>SUM(F22)</f>
        <v>8887</v>
      </c>
      <c r="G21" s="75">
        <f>SUM(G22)</f>
        <v>2000</v>
      </c>
    </row>
    <row r="22" spans="2:7" s="48" customFormat="1" ht="19.5" customHeight="1">
      <c r="B22" s="76"/>
      <c r="C22" s="76">
        <v>85311</v>
      </c>
      <c r="D22" s="76"/>
      <c r="E22" s="77" t="s">
        <v>19</v>
      </c>
      <c r="F22" s="78">
        <f>SUM(F23)</f>
        <v>8887</v>
      </c>
      <c r="G22" s="78">
        <f>SUM(G23:G24)</f>
        <v>2000</v>
      </c>
    </row>
    <row r="23" spans="2:7" s="81" customFormat="1" ht="47.25" customHeight="1">
      <c r="B23" s="80"/>
      <c r="C23" s="80"/>
      <c r="D23" s="80">
        <v>2320</v>
      </c>
      <c r="E23" s="52" t="s">
        <v>15</v>
      </c>
      <c r="F23" s="59">
        <v>8887</v>
      </c>
      <c r="G23" s="59"/>
    </row>
    <row r="24" spans="2:7" s="81" customFormat="1" ht="48" customHeight="1">
      <c r="B24" s="80"/>
      <c r="C24" s="80"/>
      <c r="D24" s="80">
        <v>2320</v>
      </c>
      <c r="E24" s="52" t="s">
        <v>65</v>
      </c>
      <c r="F24" s="59"/>
      <c r="G24" s="59">
        <v>2000</v>
      </c>
    </row>
    <row r="25" spans="2:7" s="47" customFormat="1" ht="17.25" customHeight="1">
      <c r="B25" s="73">
        <v>855</v>
      </c>
      <c r="C25" s="73"/>
      <c r="D25" s="73"/>
      <c r="E25" s="74" t="s">
        <v>116</v>
      </c>
      <c r="F25" s="75">
        <f>SUM(F26,F29,F31)</f>
        <v>935781</v>
      </c>
      <c r="G25" s="75">
        <f>SUM(G26,G29,G31)</f>
        <v>505748</v>
      </c>
    </row>
    <row r="26" spans="2:7" s="48" customFormat="1" ht="17.25" customHeight="1">
      <c r="B26" s="76"/>
      <c r="C26" s="76">
        <v>85508</v>
      </c>
      <c r="D26" s="76"/>
      <c r="E26" s="77" t="s">
        <v>17</v>
      </c>
      <c r="F26" s="78">
        <f>SUM(F27)</f>
        <v>202154</v>
      </c>
      <c r="G26" s="78">
        <f>SUM(G27:G28)</f>
        <v>445748</v>
      </c>
    </row>
    <row r="27" spans="2:7" s="390" customFormat="1" ht="50.25" customHeight="1">
      <c r="B27" s="387"/>
      <c r="C27" s="387"/>
      <c r="D27" s="387">
        <v>2320</v>
      </c>
      <c r="E27" s="388" t="s">
        <v>15</v>
      </c>
      <c r="F27" s="389">
        <v>202154</v>
      </c>
      <c r="G27" s="389"/>
    </row>
    <row r="28" spans="2:7" s="390" customFormat="1" ht="47.25" customHeight="1">
      <c r="B28" s="387"/>
      <c r="C28" s="387"/>
      <c r="D28" s="387">
        <v>2320</v>
      </c>
      <c r="E28" s="388" t="s">
        <v>65</v>
      </c>
      <c r="F28" s="389"/>
      <c r="G28" s="389">
        <v>445748</v>
      </c>
    </row>
    <row r="29" spans="2:7" s="48" customFormat="1" ht="17.25" customHeight="1">
      <c r="B29" s="76"/>
      <c r="C29" s="76">
        <v>85509</v>
      </c>
      <c r="D29" s="76"/>
      <c r="E29" s="77" t="s">
        <v>243</v>
      </c>
      <c r="F29" s="78"/>
      <c r="G29" s="78">
        <f>SUM(G30)</f>
        <v>28000</v>
      </c>
    </row>
    <row r="30" spans="2:7" s="390" customFormat="1" ht="52.5" customHeight="1">
      <c r="B30" s="387"/>
      <c r="C30" s="387"/>
      <c r="D30" s="387">
        <v>2330</v>
      </c>
      <c r="E30" s="388" t="s">
        <v>66</v>
      </c>
      <c r="F30" s="389"/>
      <c r="G30" s="389">
        <v>28000</v>
      </c>
    </row>
    <row r="31" spans="2:7" s="48" customFormat="1" ht="17.25" customHeight="1">
      <c r="B31" s="76"/>
      <c r="C31" s="76">
        <v>85510</v>
      </c>
      <c r="D31" s="76"/>
      <c r="E31" s="77" t="s">
        <v>117</v>
      </c>
      <c r="F31" s="78">
        <f>SUM(F32)</f>
        <v>733627</v>
      </c>
      <c r="G31" s="78">
        <f>SUM(G33:G33)</f>
        <v>32000</v>
      </c>
    </row>
    <row r="32" spans="2:7" s="390" customFormat="1" ht="48" customHeight="1">
      <c r="B32" s="387"/>
      <c r="C32" s="387"/>
      <c r="D32" s="387">
        <v>2320</v>
      </c>
      <c r="E32" s="388" t="s">
        <v>15</v>
      </c>
      <c r="F32" s="389">
        <v>733627</v>
      </c>
      <c r="G32" s="389"/>
    </row>
    <row r="33" spans="2:7" s="390" customFormat="1" ht="48.75" customHeight="1">
      <c r="B33" s="387"/>
      <c r="C33" s="387"/>
      <c r="D33" s="387">
        <v>2320</v>
      </c>
      <c r="E33" s="388" t="s">
        <v>65</v>
      </c>
      <c r="F33" s="389"/>
      <c r="G33" s="389">
        <v>32000</v>
      </c>
    </row>
    <row r="34" spans="2:7" s="47" customFormat="1" ht="17.25" customHeight="1">
      <c r="B34" s="73">
        <v>900</v>
      </c>
      <c r="C34" s="73"/>
      <c r="D34" s="73"/>
      <c r="E34" s="74" t="s">
        <v>21</v>
      </c>
      <c r="F34" s="75"/>
      <c r="G34" s="75">
        <f>SUM(G35)</f>
        <v>10000</v>
      </c>
    </row>
    <row r="35" spans="2:7" s="48" customFormat="1" ht="17.25" customHeight="1">
      <c r="B35" s="76"/>
      <c r="C35" s="76">
        <v>90095</v>
      </c>
      <c r="D35" s="76"/>
      <c r="E35" s="77" t="s">
        <v>6</v>
      </c>
      <c r="F35" s="78"/>
      <c r="G35" s="78">
        <f>SUM(G36)</f>
        <v>10000</v>
      </c>
    </row>
    <row r="36" spans="2:7" s="48" customFormat="1" ht="49.5" customHeight="1">
      <c r="B36" s="49"/>
      <c r="C36" s="49"/>
      <c r="D36" s="49">
        <v>2710</v>
      </c>
      <c r="E36" s="50" t="s">
        <v>68</v>
      </c>
      <c r="F36" s="51"/>
      <c r="G36" s="59">
        <v>10000</v>
      </c>
    </row>
    <row r="37" spans="2:7" s="47" customFormat="1" ht="17.25" customHeight="1">
      <c r="B37" s="73">
        <v>921</v>
      </c>
      <c r="C37" s="73"/>
      <c r="D37" s="73"/>
      <c r="E37" s="74" t="s">
        <v>22</v>
      </c>
      <c r="F37" s="75">
        <f>SUM(F38,F40)</f>
        <v>110000</v>
      </c>
      <c r="G37" s="75">
        <f>SUM(G38,G40)</f>
        <v>20000</v>
      </c>
    </row>
    <row r="38" spans="2:7" s="48" customFormat="1" ht="17.25" customHeight="1">
      <c r="B38" s="76"/>
      <c r="C38" s="76">
        <v>92105</v>
      </c>
      <c r="D38" s="76"/>
      <c r="E38" s="77" t="s">
        <v>69</v>
      </c>
      <c r="F38" s="78"/>
      <c r="G38" s="78">
        <f>SUM(G39)</f>
        <v>20000</v>
      </c>
    </row>
    <row r="39" spans="2:7" s="81" customFormat="1" ht="48" customHeight="1">
      <c r="B39" s="133"/>
      <c r="C39" s="133"/>
      <c r="D39" s="80">
        <v>2710</v>
      </c>
      <c r="E39" s="52" t="s">
        <v>68</v>
      </c>
      <c r="F39" s="59"/>
      <c r="G39" s="59">
        <v>20000</v>
      </c>
    </row>
    <row r="40" spans="2:7" s="48" customFormat="1" ht="17.25" customHeight="1">
      <c r="B40" s="76"/>
      <c r="C40" s="76">
        <v>92116</v>
      </c>
      <c r="D40" s="76"/>
      <c r="E40" s="77" t="s">
        <v>23</v>
      </c>
      <c r="F40" s="78">
        <f>SUM(F41)</f>
        <v>110000</v>
      </c>
      <c r="G40" s="78"/>
    </row>
    <row r="41" spans="2:7" s="81" customFormat="1" ht="48.75" customHeight="1">
      <c r="B41" s="80"/>
      <c r="C41" s="80"/>
      <c r="D41" s="80">
        <v>2710</v>
      </c>
      <c r="E41" s="52" t="s">
        <v>9</v>
      </c>
      <c r="F41" s="59">
        <v>110000</v>
      </c>
      <c r="G41" s="59"/>
    </row>
    <row r="42" spans="2:7" s="47" customFormat="1" ht="17.25" customHeight="1">
      <c r="B42" s="73">
        <v>926</v>
      </c>
      <c r="C42" s="73"/>
      <c r="D42" s="73"/>
      <c r="E42" s="74" t="s">
        <v>301</v>
      </c>
      <c r="F42" s="75"/>
      <c r="G42" s="75">
        <f>SUM(G43)</f>
        <v>10000</v>
      </c>
    </row>
    <row r="43" spans="2:7" s="48" customFormat="1" ht="17.25" customHeight="1">
      <c r="B43" s="76"/>
      <c r="C43" s="76">
        <v>92605</v>
      </c>
      <c r="D43" s="76"/>
      <c r="E43" s="77" t="s">
        <v>302</v>
      </c>
      <c r="F43" s="78"/>
      <c r="G43" s="78">
        <f>SUM(G44)</f>
        <v>10000</v>
      </c>
    </row>
    <row r="44" spans="2:7" s="48" customFormat="1" ht="49.5" customHeight="1">
      <c r="B44" s="49"/>
      <c r="C44" s="49"/>
      <c r="D44" s="49">
        <v>2710</v>
      </c>
      <c r="E44" s="50" t="s">
        <v>68</v>
      </c>
      <c r="F44" s="51"/>
      <c r="G44" s="59">
        <v>10000</v>
      </c>
    </row>
    <row r="45" spans="2:7" s="48" customFormat="1" ht="24.75" customHeight="1">
      <c r="B45" s="443" t="s">
        <v>97</v>
      </c>
      <c r="C45" s="444"/>
      <c r="D45" s="444"/>
      <c r="E45" s="445"/>
      <c r="F45" s="79">
        <f>SUM(F5,F12,F15,F18,F21,F25,F34,F37,F42)</f>
        <v>9006593</v>
      </c>
      <c r="G45" s="79">
        <f>SUM(G5,G12,G15,G21,G25,G34,G37,G42)</f>
        <v>1142825</v>
      </c>
    </row>
  </sheetData>
  <sheetProtection algorithmName="SHA-512" hashValue="ntzKFI6uBUZ+cnZwNTycElUD0Gk1NaTi8414gI9yblm63TEBpDT82En3Jpi6X0QTNOXh7EcmmQhr89pOzu6jHA==" saltValue="Wph9ek52JuHXF5Ttur7KTw==" spinCount="100000" sheet="1" objects="1" scenarios="1" formatColumns="0" formatRows="0"/>
  <mergeCells count="2">
    <mergeCell ref="B2:G2"/>
    <mergeCell ref="B45:E45"/>
  </mergeCells>
  <pageMargins left="0.55118110236220474" right="0.27559055118110237" top="1.5354330708661419" bottom="1.4960629921259843" header="0.70866141732283472" footer="0.51181102362204722"/>
  <pageSetup paperSize="9" scale="90" orientation="portrait" horizontalDpi="4294967295" verticalDpi="300" r:id="rId1"/>
  <headerFooter differentFirst="1" alignWithMargins="0">
    <oddFooter>&amp;C&amp;P</oddFooter>
    <firstHeader>&amp;R&amp;10Tabela Nr 7
do uchwały Nr ................
Rady Powiatu w Otwocku
z dnia ...........................</firstHeader>
    <firstFooter>&amp;C&amp;P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pane ySplit="5" topLeftCell="A6" activePane="bottomLeft" state="frozen"/>
      <selection pane="bottomLeft" activeCell="A10" sqref="A10:XFD10"/>
    </sheetView>
  </sheetViews>
  <sheetFormatPr defaultColWidth="9.33203125" defaultRowHeight="12"/>
  <cols>
    <col min="1" max="1" width="6.5" style="117" customWidth="1"/>
    <col min="2" max="2" width="10.83203125" style="117" customWidth="1"/>
    <col min="3" max="3" width="7.5" style="117" customWidth="1"/>
    <col min="4" max="4" width="53.5" style="42" customWidth="1"/>
    <col min="5" max="7" width="15.33203125" style="42" customWidth="1"/>
    <col min="8" max="8" width="20.5" style="42" customWidth="1"/>
    <col min="9" max="10" width="9.33203125" style="42"/>
    <col min="11" max="11" width="10.33203125" style="42" bestFit="1" customWidth="1"/>
    <col min="12" max="16384" width="9.33203125" style="42"/>
  </cols>
  <sheetData>
    <row r="1" spans="1:12" ht="9" customHeight="1">
      <c r="F1" s="118"/>
      <c r="G1" s="118"/>
    </row>
    <row r="2" spans="1:12" s="120" customFormat="1" ht="33" customHeight="1">
      <c r="A2" s="446" t="s">
        <v>299</v>
      </c>
      <c r="B2" s="446"/>
      <c r="C2" s="446"/>
      <c r="D2" s="446"/>
      <c r="E2" s="446"/>
      <c r="F2" s="446"/>
      <c r="G2" s="446"/>
      <c r="H2" s="119"/>
    </row>
    <row r="3" spans="1:12" ht="10.5" customHeight="1"/>
    <row r="4" spans="1:12" ht="24" customHeight="1">
      <c r="A4" s="447" t="s">
        <v>0</v>
      </c>
      <c r="B4" s="447" t="s">
        <v>1</v>
      </c>
      <c r="C4" s="447" t="s">
        <v>131</v>
      </c>
      <c r="D4" s="447" t="s">
        <v>77</v>
      </c>
      <c r="E4" s="447" t="s">
        <v>200</v>
      </c>
      <c r="F4" s="447"/>
      <c r="G4" s="447"/>
    </row>
    <row r="5" spans="1:12" ht="24" customHeight="1">
      <c r="A5" s="447"/>
      <c r="B5" s="447"/>
      <c r="C5" s="447"/>
      <c r="D5" s="447"/>
      <c r="E5" s="121" t="s">
        <v>201</v>
      </c>
      <c r="F5" s="121" t="s">
        <v>202</v>
      </c>
      <c r="G5" s="121" t="s">
        <v>203</v>
      </c>
    </row>
    <row r="6" spans="1:12" s="123" customFormat="1" ht="12.75" customHeight="1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</row>
    <row r="7" spans="1:12" ht="39" customHeight="1">
      <c r="A7" s="448" t="s">
        <v>204</v>
      </c>
      <c r="B7" s="448"/>
      <c r="C7" s="448"/>
      <c r="D7" s="124" t="s">
        <v>132</v>
      </c>
      <c r="E7" s="125" t="s">
        <v>205</v>
      </c>
      <c r="F7" s="125" t="s">
        <v>205</v>
      </c>
      <c r="G7" s="125" t="s">
        <v>205</v>
      </c>
    </row>
    <row r="8" spans="1:12" s="190" customFormat="1" ht="52.5" customHeight="1">
      <c r="A8" s="233">
        <v>600</v>
      </c>
      <c r="B8" s="233">
        <v>60004</v>
      </c>
      <c r="C8" s="233">
        <v>2310</v>
      </c>
      <c r="D8" s="187" t="s">
        <v>30</v>
      </c>
      <c r="E8" s="227"/>
      <c r="F8" s="227"/>
      <c r="G8" s="234">
        <v>250000</v>
      </c>
    </row>
    <row r="9" spans="1:12" s="242" customFormat="1" ht="52.5" customHeight="1">
      <c r="A9" s="374">
        <v>600</v>
      </c>
      <c r="B9" s="374">
        <v>60014</v>
      </c>
      <c r="C9" s="374">
        <v>6610</v>
      </c>
      <c r="D9" s="375" t="s">
        <v>337</v>
      </c>
      <c r="E9" s="376"/>
      <c r="F9" s="376"/>
      <c r="G9" s="377">
        <f>100000+150000-120000</f>
        <v>130000</v>
      </c>
    </row>
    <row r="10" spans="1:12" s="242" customFormat="1" ht="57" customHeight="1">
      <c r="A10" s="240">
        <v>710</v>
      </c>
      <c r="B10" s="240">
        <v>71095</v>
      </c>
      <c r="C10" s="240">
        <v>6639</v>
      </c>
      <c r="D10" s="386" t="s">
        <v>27</v>
      </c>
      <c r="E10" s="245"/>
      <c r="F10" s="245"/>
      <c r="G10" s="246">
        <f>259819+13861-58603</f>
        <v>215077</v>
      </c>
    </row>
    <row r="11" spans="1:12" s="190" customFormat="1" ht="38.25" customHeight="1">
      <c r="A11" s="235">
        <v>754</v>
      </c>
      <c r="B11" s="235">
        <v>75404</v>
      </c>
      <c r="C11" s="235">
        <v>6170</v>
      </c>
      <c r="D11" s="237" t="s">
        <v>206</v>
      </c>
      <c r="E11" s="228"/>
      <c r="F11" s="228"/>
      <c r="G11" s="236">
        <f>70000-5000</f>
        <v>65000</v>
      </c>
    </row>
    <row r="12" spans="1:12" s="190" customFormat="1" ht="38.25" customHeight="1">
      <c r="A12" s="235">
        <v>754</v>
      </c>
      <c r="B12" s="235">
        <v>75410</v>
      </c>
      <c r="C12" s="235">
        <v>6170</v>
      </c>
      <c r="D12" s="237" t="s">
        <v>206</v>
      </c>
      <c r="E12" s="228"/>
      <c r="F12" s="228"/>
      <c r="G12" s="236">
        <v>40000</v>
      </c>
    </row>
    <row r="13" spans="1:12" s="242" customFormat="1" ht="51.75" customHeight="1">
      <c r="A13" s="240">
        <v>853</v>
      </c>
      <c r="B13" s="240">
        <v>85311</v>
      </c>
      <c r="C13" s="240">
        <v>2320</v>
      </c>
      <c r="D13" s="241" t="s">
        <v>65</v>
      </c>
      <c r="E13" s="232"/>
      <c r="F13" s="232"/>
      <c r="G13" s="378">
        <v>2000</v>
      </c>
      <c r="H13" s="379"/>
      <c r="I13" s="379"/>
      <c r="J13" s="379"/>
      <c r="K13" s="379"/>
      <c r="L13" s="379"/>
    </row>
    <row r="14" spans="1:12" s="242" customFormat="1" ht="51.75" customHeight="1">
      <c r="A14" s="240">
        <v>855</v>
      </c>
      <c r="B14" s="240">
        <v>85508</v>
      </c>
      <c r="C14" s="240">
        <v>2320</v>
      </c>
      <c r="D14" s="241" t="s">
        <v>65</v>
      </c>
      <c r="E14" s="232"/>
      <c r="F14" s="232"/>
      <c r="G14" s="378">
        <v>445748</v>
      </c>
      <c r="H14" s="379"/>
      <c r="I14" s="379"/>
      <c r="J14" s="379"/>
      <c r="K14" s="379"/>
      <c r="L14" s="379"/>
    </row>
    <row r="15" spans="1:12" s="242" customFormat="1" ht="47.25" customHeight="1">
      <c r="A15" s="240">
        <v>855</v>
      </c>
      <c r="B15" s="240">
        <v>85509</v>
      </c>
      <c r="C15" s="240">
        <v>2330</v>
      </c>
      <c r="D15" s="241" t="s">
        <v>66</v>
      </c>
      <c r="E15" s="232"/>
      <c r="F15" s="232"/>
      <c r="G15" s="378">
        <v>28000</v>
      </c>
      <c r="H15" s="379"/>
      <c r="I15" s="379"/>
      <c r="J15" s="379"/>
      <c r="K15" s="379"/>
      <c r="L15" s="379"/>
    </row>
    <row r="16" spans="1:12" s="242" customFormat="1" ht="51.75" customHeight="1">
      <c r="A16" s="240">
        <v>855</v>
      </c>
      <c r="B16" s="240">
        <v>85510</v>
      </c>
      <c r="C16" s="240">
        <v>2320</v>
      </c>
      <c r="D16" s="241" t="s">
        <v>65</v>
      </c>
      <c r="E16" s="232"/>
      <c r="F16" s="232"/>
      <c r="G16" s="378">
        <v>32000</v>
      </c>
      <c r="H16" s="379"/>
      <c r="I16" s="379"/>
      <c r="J16" s="379"/>
      <c r="K16" s="379"/>
      <c r="L16" s="379"/>
    </row>
    <row r="17" spans="1:12" s="190" customFormat="1" ht="48" customHeight="1">
      <c r="A17" s="235">
        <v>900</v>
      </c>
      <c r="B17" s="235">
        <v>90095</v>
      </c>
      <c r="C17" s="235">
        <v>2710</v>
      </c>
      <c r="D17" s="237" t="s">
        <v>68</v>
      </c>
      <c r="E17" s="229"/>
      <c r="F17" s="229"/>
      <c r="G17" s="238">
        <v>10000</v>
      </c>
      <c r="H17" s="239"/>
      <c r="I17" s="239"/>
      <c r="J17" s="239"/>
      <c r="K17" s="239"/>
      <c r="L17" s="239"/>
    </row>
    <row r="18" spans="1:12" s="190" customFormat="1" ht="48" customHeight="1">
      <c r="A18" s="235">
        <v>921</v>
      </c>
      <c r="B18" s="235">
        <v>92105</v>
      </c>
      <c r="C18" s="235">
        <v>2710</v>
      </c>
      <c r="D18" s="237" t="s">
        <v>68</v>
      </c>
      <c r="E18" s="229"/>
      <c r="F18" s="229"/>
      <c r="G18" s="238">
        <v>20000</v>
      </c>
      <c r="H18" s="239"/>
      <c r="I18" s="239"/>
      <c r="J18" s="239"/>
      <c r="K18" s="239"/>
      <c r="L18" s="239"/>
    </row>
    <row r="19" spans="1:12" s="190" customFormat="1" ht="25.5" customHeight="1">
      <c r="A19" s="235">
        <v>921</v>
      </c>
      <c r="B19" s="235">
        <v>92116</v>
      </c>
      <c r="C19" s="235">
        <v>2480</v>
      </c>
      <c r="D19" s="237" t="s">
        <v>207</v>
      </c>
      <c r="E19" s="230">
        <f>593400+6300</f>
        <v>599700</v>
      </c>
      <c r="F19" s="229"/>
      <c r="G19" s="231"/>
      <c r="H19" s="239"/>
      <c r="I19" s="239"/>
      <c r="J19" s="239"/>
      <c r="K19" s="239"/>
      <c r="L19" s="239"/>
    </row>
    <row r="20" spans="1:12" s="190" customFormat="1" ht="44.25" customHeight="1">
      <c r="A20" s="235">
        <v>926</v>
      </c>
      <c r="B20" s="235">
        <v>92605</v>
      </c>
      <c r="C20" s="235">
        <v>2710</v>
      </c>
      <c r="D20" s="237" t="s">
        <v>68</v>
      </c>
      <c r="E20" s="230"/>
      <c r="F20" s="229"/>
      <c r="G20" s="238">
        <v>10000</v>
      </c>
      <c r="H20" s="239"/>
      <c r="I20" s="239"/>
      <c r="J20" s="239"/>
      <c r="K20" s="239"/>
      <c r="L20" s="239"/>
    </row>
    <row r="21" spans="1:12" s="128" customFormat="1" ht="27" customHeight="1">
      <c r="A21" s="447" t="s">
        <v>208</v>
      </c>
      <c r="B21" s="447"/>
      <c r="C21" s="447"/>
      <c r="D21" s="447"/>
      <c r="E21" s="127">
        <f>SUM(E8:E19)</f>
        <v>599700</v>
      </c>
      <c r="F21" s="127">
        <f>SUM(F8:F19)</f>
        <v>0</v>
      </c>
      <c r="G21" s="127">
        <f>SUM(G8:G20)</f>
        <v>1247825</v>
      </c>
      <c r="I21" s="129"/>
    </row>
    <row r="22" spans="1:12" s="126" customFormat="1" ht="47.25" customHeight="1">
      <c r="A22" s="448" t="s">
        <v>209</v>
      </c>
      <c r="B22" s="448"/>
      <c r="C22" s="448"/>
      <c r="D22" s="124" t="s">
        <v>132</v>
      </c>
      <c r="E22" s="125" t="s">
        <v>205</v>
      </c>
      <c r="F22" s="125" t="s">
        <v>205</v>
      </c>
      <c r="G22" s="125" t="s">
        <v>205</v>
      </c>
      <c r="I22" s="130"/>
      <c r="K22" s="117"/>
    </row>
    <row r="23" spans="1:12" s="242" customFormat="1" ht="60" customHeight="1">
      <c r="A23" s="381" t="s">
        <v>2</v>
      </c>
      <c r="B23" s="381" t="s">
        <v>210</v>
      </c>
      <c r="C23" s="381" t="s">
        <v>211</v>
      </c>
      <c r="D23" s="241" t="s">
        <v>212</v>
      </c>
      <c r="E23" s="245"/>
      <c r="F23" s="245"/>
      <c r="G23" s="246">
        <v>70045</v>
      </c>
      <c r="I23" s="382"/>
      <c r="K23" s="383"/>
    </row>
    <row r="24" spans="1:12" s="242" customFormat="1" ht="67.5" customHeight="1">
      <c r="A24" s="240">
        <v>630</v>
      </c>
      <c r="B24" s="240">
        <v>63003</v>
      </c>
      <c r="C24" s="240">
        <v>2360</v>
      </c>
      <c r="D24" s="241" t="s">
        <v>115</v>
      </c>
      <c r="E24" s="245"/>
      <c r="F24" s="245"/>
      <c r="G24" s="246">
        <v>18000</v>
      </c>
      <c r="I24" s="382"/>
      <c r="K24" s="383"/>
    </row>
    <row r="25" spans="1:12" s="190" customFormat="1" ht="63.75" customHeight="1">
      <c r="A25" s="235">
        <v>754</v>
      </c>
      <c r="B25" s="235">
        <v>75495</v>
      </c>
      <c r="C25" s="235">
        <v>2360</v>
      </c>
      <c r="D25" s="237" t="s">
        <v>115</v>
      </c>
      <c r="E25" s="228"/>
      <c r="F25" s="228"/>
      <c r="G25" s="236">
        <f>10000+4000-4000</f>
        <v>10000</v>
      </c>
      <c r="I25" s="243"/>
      <c r="K25" s="244"/>
    </row>
    <row r="26" spans="1:12" s="190" customFormat="1" ht="63" customHeight="1">
      <c r="A26" s="235">
        <v>755</v>
      </c>
      <c r="B26" s="235">
        <v>75515</v>
      </c>
      <c r="C26" s="235">
        <v>2360</v>
      </c>
      <c r="D26" s="237" t="s">
        <v>115</v>
      </c>
      <c r="E26" s="228"/>
      <c r="F26" s="228"/>
      <c r="G26" s="236">
        <v>182178</v>
      </c>
      <c r="I26" s="243"/>
      <c r="K26" s="244"/>
    </row>
    <row r="27" spans="1:12" s="242" customFormat="1" ht="24.95" customHeight="1">
      <c r="A27" s="240">
        <v>801</v>
      </c>
      <c r="B27" s="240">
        <v>80102</v>
      </c>
      <c r="C27" s="240">
        <v>2540</v>
      </c>
      <c r="D27" s="241" t="s">
        <v>213</v>
      </c>
      <c r="E27" s="267">
        <v>933847</v>
      </c>
      <c r="F27" s="245"/>
      <c r="G27" s="384"/>
      <c r="I27" s="382"/>
      <c r="K27" s="383"/>
    </row>
    <row r="28" spans="1:12" s="242" customFormat="1" ht="24.95" customHeight="1">
      <c r="A28" s="240">
        <v>801</v>
      </c>
      <c r="B28" s="240">
        <v>80105</v>
      </c>
      <c r="C28" s="240">
        <v>2540</v>
      </c>
      <c r="D28" s="241" t="s">
        <v>213</v>
      </c>
      <c r="E28" s="267">
        <v>527959</v>
      </c>
      <c r="F28" s="245"/>
      <c r="G28" s="384"/>
      <c r="I28" s="382"/>
      <c r="K28" s="383"/>
    </row>
    <row r="29" spans="1:12" s="242" customFormat="1" ht="24.95" customHeight="1">
      <c r="A29" s="240">
        <v>801</v>
      </c>
      <c r="B29" s="240">
        <v>80116</v>
      </c>
      <c r="C29" s="240">
        <v>2540</v>
      </c>
      <c r="D29" s="241" t="s">
        <v>213</v>
      </c>
      <c r="E29" s="267">
        <v>473483</v>
      </c>
      <c r="F29" s="245"/>
      <c r="G29" s="384"/>
      <c r="I29" s="382"/>
      <c r="K29" s="383"/>
    </row>
    <row r="30" spans="1:12" s="242" customFormat="1" ht="24.95" customHeight="1">
      <c r="A30" s="240">
        <v>801</v>
      </c>
      <c r="B30" s="240">
        <v>80120</v>
      </c>
      <c r="C30" s="240">
        <v>2540</v>
      </c>
      <c r="D30" s="241" t="s">
        <v>213</v>
      </c>
      <c r="E30" s="267">
        <v>928565</v>
      </c>
      <c r="F30" s="232"/>
      <c r="G30" s="380"/>
    </row>
    <row r="31" spans="1:12" s="242" customFormat="1" ht="24.95" customHeight="1">
      <c r="A31" s="240">
        <v>801</v>
      </c>
      <c r="B31" s="240">
        <v>80151</v>
      </c>
      <c r="C31" s="240">
        <v>2540</v>
      </c>
      <c r="D31" s="241" t="s">
        <v>213</v>
      </c>
      <c r="E31" s="267">
        <v>35912</v>
      </c>
      <c r="F31" s="232"/>
      <c r="G31" s="380"/>
    </row>
    <row r="32" spans="1:12" s="242" customFormat="1" ht="24.95" customHeight="1">
      <c r="A32" s="240">
        <v>801</v>
      </c>
      <c r="B32" s="240">
        <v>80152</v>
      </c>
      <c r="C32" s="240">
        <v>2540</v>
      </c>
      <c r="D32" s="241" t="s">
        <v>213</v>
      </c>
      <c r="E32" s="267">
        <v>88149</v>
      </c>
      <c r="F32" s="232"/>
      <c r="G32" s="380"/>
    </row>
    <row r="33" spans="1:11" s="242" customFormat="1" ht="58.5" customHeight="1">
      <c r="A33" s="240">
        <v>801</v>
      </c>
      <c r="B33" s="240">
        <v>80153</v>
      </c>
      <c r="C33" s="240">
        <v>2830</v>
      </c>
      <c r="D33" s="241" t="s">
        <v>212</v>
      </c>
      <c r="E33" s="267"/>
      <c r="F33" s="232"/>
      <c r="G33" s="267">
        <v>5478</v>
      </c>
    </row>
    <row r="34" spans="1:11" s="190" customFormat="1" ht="58.5" customHeight="1">
      <c r="A34" s="235">
        <v>851</v>
      </c>
      <c r="B34" s="235">
        <v>85111</v>
      </c>
      <c r="C34" s="235">
        <v>6230</v>
      </c>
      <c r="D34" s="237" t="s">
        <v>410</v>
      </c>
      <c r="E34" s="230"/>
      <c r="F34" s="237"/>
      <c r="G34" s="230">
        <v>300000</v>
      </c>
    </row>
    <row r="35" spans="1:11" s="190" customFormat="1" ht="36.75" customHeight="1">
      <c r="A35" s="235">
        <v>852</v>
      </c>
      <c r="B35" s="235">
        <v>85202</v>
      </c>
      <c r="C35" s="235">
        <v>2820</v>
      </c>
      <c r="D35" s="237" t="s">
        <v>214</v>
      </c>
      <c r="E35" s="229"/>
      <c r="F35" s="229"/>
      <c r="G35" s="230">
        <v>243000</v>
      </c>
    </row>
    <row r="36" spans="1:11" s="190" customFormat="1" ht="36.75" customHeight="1">
      <c r="A36" s="235">
        <v>852</v>
      </c>
      <c r="B36" s="235">
        <v>85220</v>
      </c>
      <c r="C36" s="235">
        <v>2820</v>
      </c>
      <c r="D36" s="237" t="s">
        <v>214</v>
      </c>
      <c r="E36" s="229"/>
      <c r="F36" s="229"/>
      <c r="G36" s="230">
        <f>80000+5000</f>
        <v>85000</v>
      </c>
    </row>
    <row r="37" spans="1:11" s="242" customFormat="1" ht="34.5" customHeight="1">
      <c r="A37" s="240">
        <v>853</v>
      </c>
      <c r="B37" s="240">
        <v>85311</v>
      </c>
      <c r="C37" s="240">
        <v>2580</v>
      </c>
      <c r="D37" s="241" t="s">
        <v>215</v>
      </c>
      <c r="E37" s="267">
        <v>186750</v>
      </c>
      <c r="F37" s="232"/>
      <c r="G37" s="380"/>
    </row>
    <row r="38" spans="1:11" s="242" customFormat="1" ht="25.5" customHeight="1">
      <c r="A38" s="240">
        <v>854</v>
      </c>
      <c r="B38" s="240">
        <v>85404</v>
      </c>
      <c r="C38" s="240">
        <v>2540</v>
      </c>
      <c r="D38" s="241" t="s">
        <v>213</v>
      </c>
      <c r="E38" s="267">
        <v>234906</v>
      </c>
      <c r="F38" s="232"/>
      <c r="G38" s="380"/>
    </row>
    <row r="39" spans="1:11" s="242" customFormat="1" ht="30" customHeight="1">
      <c r="A39" s="240">
        <v>854</v>
      </c>
      <c r="B39" s="240">
        <v>85410</v>
      </c>
      <c r="C39" s="240">
        <v>2540</v>
      </c>
      <c r="D39" s="241" t="s">
        <v>213</v>
      </c>
      <c r="E39" s="267">
        <v>97107</v>
      </c>
      <c r="F39" s="232"/>
      <c r="G39" s="380"/>
    </row>
    <row r="40" spans="1:11" s="242" customFormat="1" ht="65.25" customHeight="1">
      <c r="A40" s="240">
        <v>921</v>
      </c>
      <c r="B40" s="240">
        <v>92105</v>
      </c>
      <c r="C40" s="240">
        <v>2360</v>
      </c>
      <c r="D40" s="241" t="s">
        <v>115</v>
      </c>
      <c r="E40" s="380"/>
      <c r="F40" s="232"/>
      <c r="G40" s="267">
        <v>179000</v>
      </c>
    </row>
    <row r="41" spans="1:11" s="242" customFormat="1" ht="66.75" customHeight="1">
      <c r="A41" s="240">
        <v>926</v>
      </c>
      <c r="B41" s="240">
        <v>92605</v>
      </c>
      <c r="C41" s="240">
        <v>2360</v>
      </c>
      <c r="D41" s="241" t="s">
        <v>115</v>
      </c>
      <c r="E41" s="385"/>
      <c r="F41" s="232"/>
      <c r="G41" s="267">
        <v>21000</v>
      </c>
      <c r="I41" s="382"/>
      <c r="K41" s="382"/>
    </row>
    <row r="42" spans="1:11" s="126" customFormat="1" ht="22.5" customHeight="1">
      <c r="A42" s="449" t="s">
        <v>216</v>
      </c>
      <c r="B42" s="449"/>
      <c r="C42" s="449"/>
      <c r="D42" s="449"/>
      <c r="E42" s="127">
        <f>SUM(E23:E41)</f>
        <v>3506678</v>
      </c>
      <c r="F42" s="127">
        <f t="shared" ref="F42" si="0">SUM(F23:F41)</f>
        <v>0</v>
      </c>
      <c r="G42" s="127">
        <f>SUM(G23:G41)</f>
        <v>1113701</v>
      </c>
    </row>
    <row r="43" spans="1:11" s="132" customFormat="1" ht="26.25" customHeight="1">
      <c r="A43" s="450" t="s">
        <v>220</v>
      </c>
      <c r="B43" s="450"/>
      <c r="C43" s="450"/>
      <c r="D43" s="450"/>
      <c r="E43" s="450"/>
      <c r="F43" s="450"/>
      <c r="G43" s="131">
        <f>SUM(E21,G21,E42,G42)</f>
        <v>6467904</v>
      </c>
    </row>
    <row r="44" spans="1:11" ht="15.75" customHeight="1"/>
    <row r="45" spans="1:11" ht="15.75" customHeight="1"/>
    <row r="46" spans="1:11" ht="15.75" customHeight="1"/>
    <row r="47" spans="1:11" ht="15.75" customHeight="1">
      <c r="A47" s="42"/>
      <c r="B47" s="42"/>
      <c r="C47" s="42"/>
    </row>
    <row r="48" spans="1:11" ht="15.75" customHeight="1">
      <c r="A48" s="42"/>
      <c r="B48" s="42"/>
      <c r="C48" s="42"/>
    </row>
    <row r="49" spans="1:3" ht="15.75" customHeight="1">
      <c r="A49" s="42"/>
      <c r="B49" s="42"/>
      <c r="C49" s="42"/>
    </row>
    <row r="50" spans="1:3" ht="15.75" customHeight="1"/>
    <row r="51" spans="1:3" ht="15.75" customHeight="1"/>
    <row r="52" spans="1:3" ht="15.75" customHeight="1"/>
    <row r="53" spans="1:3" ht="15.75" customHeight="1"/>
    <row r="54" spans="1:3" ht="15.75" customHeight="1"/>
    <row r="55" spans="1:3" ht="15.75" customHeight="1"/>
    <row r="56" spans="1:3" ht="15.75" customHeight="1"/>
    <row r="57" spans="1:3" ht="15.75" customHeight="1"/>
  </sheetData>
  <sheetProtection algorithmName="SHA-512" hashValue="Hz4g48OO9Szs9vB9BfELafEVdjSBvQBjaNM6AqrO/hwuYj0uVa9GZhUWxaIiui+mc1Q+CRY2AaTtLwTytcRI4w==" saltValue="9iL+cDcYl9jZLT/IKbwhhg==" spinCount="100000" sheet="1" objects="1" scenarios="1" formatColumns="0" formatRows="0"/>
  <mergeCells count="11">
    <mergeCell ref="A7:C7"/>
    <mergeCell ref="A21:D21"/>
    <mergeCell ref="A22:C22"/>
    <mergeCell ref="A42:D42"/>
    <mergeCell ref="A43:F43"/>
    <mergeCell ref="A2:G2"/>
    <mergeCell ref="A4:A5"/>
    <mergeCell ref="B4:B5"/>
    <mergeCell ref="C4:C5"/>
    <mergeCell ref="D4:D5"/>
    <mergeCell ref="E4:G4"/>
  </mergeCells>
  <pageMargins left="0.78740157480314965" right="0.23622047244094491" top="1.1417322834645669" bottom="0.94488188976377963" header="0.59055118110236227" footer="0.39370078740157483"/>
  <pageSetup paperSize="9" scale="85" orientation="portrait" horizontalDpi="4294967295" verticalDpi="300" r:id="rId1"/>
  <headerFooter differentFirst="1" alignWithMargins="0">
    <oddFooter>&amp;C&amp;P</oddFooter>
    <firstHeader>&amp;R&amp;10Załącznik Nr 1 
do uchwały Nr.................
Rady Powiatu w Otwocku
z dnia ...........................</firstHeader>
    <firstFooter>&amp;C&amp;P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E13" sqref="E13"/>
    </sheetView>
  </sheetViews>
  <sheetFormatPr defaultRowHeight="12.75"/>
  <cols>
    <col min="1" max="1" width="2.83203125" style="323" customWidth="1"/>
    <col min="2" max="2" width="50.83203125" style="323" customWidth="1"/>
    <col min="3" max="3" width="9.33203125" style="323" customWidth="1"/>
    <col min="4" max="4" width="11.33203125" style="323" customWidth="1"/>
    <col min="5" max="8" width="13" style="323" customWidth="1"/>
    <col min="9" max="16384" width="9.33203125" style="323"/>
  </cols>
  <sheetData>
    <row r="1" spans="2:10" ht="9" customHeight="1">
      <c r="H1" s="324"/>
      <c r="I1" s="324"/>
      <c r="J1" s="324"/>
    </row>
    <row r="2" spans="2:10" ht="32.25" customHeight="1">
      <c r="B2" s="454" t="s">
        <v>429</v>
      </c>
      <c r="C2" s="454"/>
      <c r="D2" s="454"/>
      <c r="E2" s="454"/>
      <c r="F2" s="454"/>
      <c r="G2" s="454"/>
      <c r="H2" s="454"/>
    </row>
    <row r="3" spans="2:10" ht="13.5" thickBot="1"/>
    <row r="4" spans="2:10" ht="18.75" customHeight="1">
      <c r="B4" s="455" t="s">
        <v>430</v>
      </c>
      <c r="C4" s="457" t="s">
        <v>0</v>
      </c>
      <c r="D4" s="455" t="s">
        <v>1</v>
      </c>
      <c r="E4" s="457" t="s">
        <v>93</v>
      </c>
      <c r="F4" s="459" t="s">
        <v>431</v>
      </c>
      <c r="G4" s="460"/>
      <c r="H4" s="461"/>
    </row>
    <row r="5" spans="2:10" ht="18.75" customHeight="1" thickBot="1">
      <c r="B5" s="456"/>
      <c r="C5" s="458"/>
      <c r="D5" s="456"/>
      <c r="E5" s="458"/>
      <c r="F5" s="325"/>
      <c r="G5" s="326" t="s">
        <v>432</v>
      </c>
      <c r="H5" s="327" t="s">
        <v>433</v>
      </c>
    </row>
    <row r="6" spans="2:10" s="91" customFormat="1" ht="45.75" customHeight="1" thickBot="1">
      <c r="B6" s="328" t="s">
        <v>434</v>
      </c>
      <c r="C6" s="328">
        <v>801</v>
      </c>
      <c r="D6" s="328">
        <v>80120</v>
      </c>
      <c r="E6" s="329">
        <v>63500</v>
      </c>
      <c r="F6" s="329">
        <f t="shared" ref="F6:F13" si="0">SUM(G6:H6)</f>
        <v>63500</v>
      </c>
      <c r="G6" s="329">
        <v>63500</v>
      </c>
      <c r="H6" s="329">
        <v>0</v>
      </c>
    </row>
    <row r="7" spans="2:10" s="91" customFormat="1" ht="45.75" customHeight="1" thickBot="1">
      <c r="B7" s="328" t="s">
        <v>435</v>
      </c>
      <c r="C7" s="328">
        <v>801</v>
      </c>
      <c r="D7" s="328">
        <v>80120</v>
      </c>
      <c r="E7" s="329">
        <v>50000</v>
      </c>
      <c r="F7" s="329">
        <f t="shared" si="0"/>
        <v>50000</v>
      </c>
      <c r="G7" s="329">
        <v>50000</v>
      </c>
      <c r="H7" s="329">
        <v>0</v>
      </c>
    </row>
    <row r="8" spans="2:10" s="91" customFormat="1" ht="45.75" customHeight="1" thickBot="1">
      <c r="B8" s="328" t="s">
        <v>436</v>
      </c>
      <c r="C8" s="328">
        <v>801</v>
      </c>
      <c r="D8" s="328">
        <v>80115</v>
      </c>
      <c r="E8" s="329">
        <f>90000+30000</f>
        <v>120000</v>
      </c>
      <c r="F8" s="329">
        <f t="shared" si="0"/>
        <v>120000</v>
      </c>
      <c r="G8" s="329">
        <f>90000+30000</f>
        <v>120000</v>
      </c>
      <c r="H8" s="329">
        <v>0</v>
      </c>
      <c r="I8" s="138"/>
    </row>
    <row r="9" spans="2:10" s="91" customFormat="1" ht="45.75" customHeight="1" thickBot="1">
      <c r="B9" s="328" t="s">
        <v>437</v>
      </c>
      <c r="C9" s="328">
        <v>801</v>
      </c>
      <c r="D9" s="328">
        <v>80115</v>
      </c>
      <c r="E9" s="329">
        <v>104000</v>
      </c>
      <c r="F9" s="329">
        <f t="shared" si="0"/>
        <v>104000</v>
      </c>
      <c r="G9" s="329">
        <v>104000</v>
      </c>
      <c r="H9" s="329">
        <v>0</v>
      </c>
    </row>
    <row r="10" spans="2:10" s="91" customFormat="1" ht="45.75" customHeight="1" thickBot="1">
      <c r="B10" s="328" t="s">
        <v>438</v>
      </c>
      <c r="C10" s="328">
        <v>854</v>
      </c>
      <c r="D10" s="328">
        <v>85403</v>
      </c>
      <c r="E10" s="329">
        <v>171914</v>
      </c>
      <c r="F10" s="329">
        <f t="shared" si="0"/>
        <v>171914</v>
      </c>
      <c r="G10" s="329">
        <v>171914</v>
      </c>
      <c r="H10" s="329">
        <v>0</v>
      </c>
    </row>
    <row r="11" spans="2:10" s="91" customFormat="1" ht="45.75" customHeight="1" thickBot="1">
      <c r="B11" s="328" t="s">
        <v>439</v>
      </c>
      <c r="C11" s="328">
        <v>854</v>
      </c>
      <c r="D11" s="328">
        <v>85403</v>
      </c>
      <c r="E11" s="329">
        <v>200000</v>
      </c>
      <c r="F11" s="329">
        <f t="shared" si="0"/>
        <v>200000</v>
      </c>
      <c r="G11" s="329">
        <v>200000</v>
      </c>
      <c r="H11" s="329">
        <v>0</v>
      </c>
    </row>
    <row r="12" spans="2:10" s="91" customFormat="1" ht="45.75" customHeight="1" thickBot="1">
      <c r="B12" s="328" t="s">
        <v>440</v>
      </c>
      <c r="C12" s="328">
        <v>854</v>
      </c>
      <c r="D12" s="328">
        <v>85407</v>
      </c>
      <c r="E12" s="329">
        <v>538000</v>
      </c>
      <c r="F12" s="329">
        <f t="shared" si="0"/>
        <v>538000</v>
      </c>
      <c r="G12" s="329">
        <v>522000</v>
      </c>
      <c r="H12" s="329">
        <v>16000</v>
      </c>
    </row>
    <row r="13" spans="2:10" s="332" customFormat="1" ht="45.75" customHeight="1" thickBot="1">
      <c r="B13" s="330" t="s">
        <v>441</v>
      </c>
      <c r="C13" s="330">
        <v>854</v>
      </c>
      <c r="D13" s="330">
        <v>85421</v>
      </c>
      <c r="E13" s="331">
        <f>233000+40000</f>
        <v>273000</v>
      </c>
      <c r="F13" s="331">
        <f t="shared" si="0"/>
        <v>273000</v>
      </c>
      <c r="G13" s="331">
        <f>223000+40000</f>
        <v>263000</v>
      </c>
      <c r="H13" s="331">
        <v>10000</v>
      </c>
    </row>
    <row r="14" spans="2:10" s="334" customFormat="1" ht="28.5" customHeight="1" thickBot="1">
      <c r="B14" s="451" t="s">
        <v>195</v>
      </c>
      <c r="C14" s="452"/>
      <c r="D14" s="453"/>
      <c r="E14" s="333">
        <f>SUM(E6:E13)</f>
        <v>1520414</v>
      </c>
      <c r="F14" s="333">
        <f>SUM(F6:F13)</f>
        <v>1520414</v>
      </c>
      <c r="G14" s="333">
        <f>SUM(G6:G13)</f>
        <v>1494414</v>
      </c>
      <c r="H14" s="333">
        <f>SUM(H6:H13)</f>
        <v>26000</v>
      </c>
    </row>
  </sheetData>
  <sheetProtection algorithmName="SHA-512" hashValue="qct4ADdiMA2D84z/IsF7lCL8m3XJaZ8VH/7zBfQ7sleAOKYz+koh/Zlnp8u8+xK7qA4L7/ei+Dzt1TSEaQ7yDw==" saltValue="K2THz4OEwvxE0MIszYLnIQ==" spinCount="100000" sheet="1" objects="1" scenarios="1" formatColumns="0" formatRows="0"/>
  <mergeCells count="7">
    <mergeCell ref="B14:D14"/>
    <mergeCell ref="B2:H2"/>
    <mergeCell ref="B4:B5"/>
    <mergeCell ref="C4:C5"/>
    <mergeCell ref="D4:D5"/>
    <mergeCell ref="E4:E5"/>
    <mergeCell ref="F4:H4"/>
  </mergeCells>
  <pageMargins left="0.47244094488188981" right="0.23622047244094491" top="1.4566929133858268" bottom="0.31496062992125984" header="0.78740157480314965" footer="0.15748031496062992"/>
  <pageSetup paperSize="9" scale="85" orientation="portrait" horizontalDpi="4294967295" verticalDpi="300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Tab.2a</vt:lpstr>
      <vt:lpstr>Tab.6</vt:lpstr>
      <vt:lpstr>Tab.3</vt:lpstr>
      <vt:lpstr>Tab.4 </vt:lpstr>
      <vt:lpstr>Tab.5</vt:lpstr>
      <vt:lpstr>Tab.6 </vt:lpstr>
      <vt:lpstr>Tab.7</vt:lpstr>
      <vt:lpstr>Zał.1</vt:lpstr>
      <vt:lpstr>Zał.2</vt:lpstr>
      <vt:lpstr>Tab.2a!__xlnm.Print_Area_1</vt:lpstr>
      <vt:lpstr>Tab.2a!Obszar_wydruku</vt:lpstr>
      <vt:lpstr>Tab.3!Obszar_wydruku</vt:lpstr>
      <vt:lpstr>Zał.1!Obszar_wydruku</vt:lpstr>
      <vt:lpstr>Zał.2!Obszar_wydruku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2018-12-10T14:48:01Z</cp:lastPrinted>
  <dcterms:created xsi:type="dcterms:W3CDTF">2015-10-09T11:05:37Z</dcterms:created>
  <dcterms:modified xsi:type="dcterms:W3CDTF">2018-12-13T13:15:20Z</dcterms:modified>
</cp:coreProperties>
</file>