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X\Desktop\zmiana WPF - luty 2018\"/>
    </mc:Choice>
  </mc:AlternateContent>
  <bookViews>
    <workbookView xWindow="0" yWindow="0" windowWidth="19200" windowHeight="10185"/>
  </bookViews>
  <sheets>
    <sheet name="Zał.1" sheetId="33" r:id="rId1"/>
    <sheet name="Zał.2 " sheetId="1" r:id="rId2"/>
  </sheets>
  <externalReferences>
    <externalReference r:id="rId3"/>
  </externalReferences>
  <definedNames>
    <definedName name="_xlnm.Print_Area" localSheetId="0">Zał.1!$A$1:$T$104</definedName>
    <definedName name="_xlnm.Print_Area" localSheetId="1">'Zał.2 '!$A$1:$K$55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8" i="33" l="1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T106" i="33"/>
  <c r="S106" i="33"/>
  <c r="R106" i="33"/>
  <c r="Q106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T102" i="33"/>
  <c r="S102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T91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D91" i="33"/>
  <c r="C91" i="33"/>
  <c r="T90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D90" i="33"/>
  <c r="C90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T87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T86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T85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T84" i="33"/>
  <c r="S84" i="33"/>
  <c r="R8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T83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T82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T80" i="33"/>
  <c r="S80" i="33"/>
  <c r="R80" i="33"/>
  <c r="Q80" i="33"/>
  <c r="P80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T79" i="33"/>
  <c r="S79" i="33"/>
  <c r="R79" i="33"/>
  <c r="Q79" i="33"/>
  <c r="P79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T78" i="33"/>
  <c r="S78" i="33"/>
  <c r="R78" i="33"/>
  <c r="Q78" i="33"/>
  <c r="P78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T76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T74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T73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T72" i="33"/>
  <c r="S72" i="33"/>
  <c r="R72" i="33"/>
  <c r="Q72" i="33"/>
  <c r="P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T70" i="33"/>
  <c r="S70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T69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M55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T51" i="33"/>
  <c r="T55" i="33" s="1"/>
  <c r="S51" i="33"/>
  <c r="R51" i="33"/>
  <c r="Q51" i="33"/>
  <c r="Q55" i="33" s="1"/>
  <c r="P51" i="33"/>
  <c r="O51" i="33"/>
  <c r="N51" i="33"/>
  <c r="M51" i="33"/>
  <c r="L51" i="33"/>
  <c r="K51" i="33"/>
  <c r="J51" i="33"/>
  <c r="J55" i="33" s="1"/>
  <c r="I51" i="33"/>
  <c r="I55" i="33" s="1"/>
  <c r="H51" i="33"/>
  <c r="G51" i="33"/>
  <c r="F51" i="33"/>
  <c r="E51" i="33"/>
  <c r="D51" i="33"/>
  <c r="C51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T46" i="33"/>
  <c r="T110" i="33" s="1"/>
  <c r="S46" i="33"/>
  <c r="S110" i="33" s="1"/>
  <c r="R46" i="33"/>
  <c r="R110" i="33" s="1"/>
  <c r="Q46" i="33"/>
  <c r="Q110" i="33" s="1"/>
  <c r="P46" i="33"/>
  <c r="P110" i="33" s="1"/>
  <c r="O46" i="33"/>
  <c r="O110" i="33" s="1"/>
  <c r="N46" i="33"/>
  <c r="N110" i="33" s="1"/>
  <c r="M46" i="33"/>
  <c r="M110" i="33" s="1"/>
  <c r="L46" i="33"/>
  <c r="L110" i="33" s="1"/>
  <c r="K46" i="33"/>
  <c r="K110" i="33" s="1"/>
  <c r="J46" i="33"/>
  <c r="J110" i="33" s="1"/>
  <c r="I46" i="33"/>
  <c r="I110" i="33" s="1"/>
  <c r="H46" i="33"/>
  <c r="H110" i="33" s="1"/>
  <c r="G46" i="33"/>
  <c r="G110" i="33" s="1"/>
  <c r="F46" i="33"/>
  <c r="E46" i="33"/>
  <c r="D46" i="33"/>
  <c r="C46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T34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G3" i="33"/>
  <c r="F3" i="33" s="1"/>
  <c r="E3" i="33" s="1"/>
  <c r="D3" i="33" s="1"/>
  <c r="C3" i="33" s="1"/>
  <c r="G2" i="33"/>
  <c r="K56" i="33" l="1"/>
  <c r="P56" i="33"/>
  <c r="N112" i="33"/>
  <c r="N55" i="33"/>
  <c r="R56" i="33"/>
  <c r="R111" i="33"/>
  <c r="H3" i="33"/>
  <c r="I3" i="33" s="1"/>
  <c r="J3" i="33" s="1"/>
  <c r="K3" i="33" s="1"/>
  <c r="L3" i="33" s="1"/>
  <c r="M3" i="33" s="1"/>
  <c r="N3" i="33" s="1"/>
  <c r="O3" i="33" s="1"/>
  <c r="P3" i="33" s="1"/>
  <c r="Q3" i="33" s="1"/>
  <c r="R3" i="33" s="1"/>
  <c r="S3" i="33" s="1"/>
  <c r="T3" i="33" s="1"/>
  <c r="H112" i="33"/>
  <c r="H111" i="33"/>
  <c r="H56" i="33"/>
  <c r="H55" i="33"/>
  <c r="L112" i="33"/>
  <c r="L111" i="33"/>
  <c r="L55" i="33"/>
  <c r="L56" i="33"/>
  <c r="P112" i="33"/>
  <c r="P111" i="33"/>
  <c r="P55" i="33"/>
  <c r="T112" i="33"/>
  <c r="T111" i="33"/>
  <c r="T56" i="33"/>
  <c r="G112" i="33"/>
  <c r="G111" i="33"/>
  <c r="G55" i="33"/>
  <c r="K112" i="33"/>
  <c r="K111" i="33"/>
  <c r="K55" i="33"/>
  <c r="O112" i="33"/>
  <c r="O111" i="33"/>
  <c r="O55" i="33"/>
  <c r="S111" i="33"/>
  <c r="S55" i="33"/>
  <c r="R55" i="33"/>
  <c r="J56" i="33"/>
  <c r="O56" i="33"/>
  <c r="N111" i="33"/>
  <c r="S112" i="33"/>
  <c r="I111" i="33"/>
  <c r="I56" i="33"/>
  <c r="M112" i="33"/>
  <c r="M111" i="33"/>
  <c r="M56" i="33"/>
  <c r="Q111" i="33"/>
  <c r="Q112" i="33"/>
  <c r="Q56" i="33"/>
  <c r="G56" i="33"/>
  <c r="I112" i="33"/>
  <c r="J112" i="33"/>
  <c r="R112" i="33"/>
  <c r="N56" i="33"/>
  <c r="S56" i="33"/>
  <c r="J111" i="33"/>
  <c r="G10" i="1" l="1"/>
  <c r="H10" i="1"/>
  <c r="I10" i="1"/>
  <c r="J10" i="1"/>
  <c r="K10" i="1"/>
  <c r="F10" i="1"/>
  <c r="K16" i="1"/>
  <c r="G26" i="1" l="1"/>
  <c r="H26" i="1"/>
  <c r="I26" i="1"/>
  <c r="J26" i="1"/>
  <c r="F26" i="1"/>
  <c r="K55" i="1"/>
  <c r="K25" i="1" l="1"/>
  <c r="K23" i="1" s="1"/>
  <c r="G23" i="1"/>
  <c r="H23" i="1"/>
  <c r="I23" i="1"/>
  <c r="J23" i="1"/>
  <c r="F23" i="1"/>
  <c r="J7" i="1"/>
  <c r="J22" i="1"/>
  <c r="J19" i="1"/>
  <c r="J17" i="1"/>
  <c r="J8" i="1" s="1"/>
  <c r="J9" i="1"/>
  <c r="J6" i="1" l="1"/>
  <c r="K54" i="1" l="1"/>
  <c r="K53" i="1" l="1"/>
  <c r="K52" i="1"/>
  <c r="K51" i="1" l="1"/>
  <c r="K50" i="1"/>
  <c r="K49" i="1"/>
  <c r="K48" i="1"/>
  <c r="K47" i="1"/>
  <c r="K46" i="1"/>
  <c r="K45" i="1"/>
  <c r="K44" i="1"/>
  <c r="K43" i="1"/>
  <c r="K42" i="1"/>
  <c r="K41" i="1" l="1"/>
  <c r="K15" i="1" l="1"/>
  <c r="K40" i="1" l="1"/>
  <c r="K14" i="1" l="1"/>
  <c r="K39" i="1" l="1"/>
  <c r="G17" i="1" l="1"/>
  <c r="H17" i="1"/>
  <c r="I17" i="1"/>
  <c r="I9" i="1" s="1"/>
  <c r="G9" i="1" l="1"/>
  <c r="H9" i="1"/>
  <c r="G8" i="1"/>
  <c r="H8" i="1"/>
  <c r="I8" i="1"/>
  <c r="K13" i="1" l="1"/>
  <c r="G7" i="1" l="1"/>
  <c r="H7" i="1"/>
  <c r="I7" i="1"/>
  <c r="K24" i="1"/>
  <c r="K12" i="1" l="1"/>
  <c r="G22" i="1" l="1"/>
  <c r="H22" i="1"/>
  <c r="I22" i="1"/>
  <c r="K38" i="1"/>
  <c r="K11" i="1" l="1"/>
  <c r="K18" i="1" l="1"/>
  <c r="K21" i="1"/>
  <c r="K20" i="1"/>
  <c r="K28" i="1"/>
  <c r="K29" i="1"/>
  <c r="K30" i="1"/>
  <c r="K31" i="1"/>
  <c r="K32" i="1"/>
  <c r="K33" i="1"/>
  <c r="K34" i="1"/>
  <c r="K35" i="1"/>
  <c r="K36" i="1"/>
  <c r="K37" i="1"/>
  <c r="K27" i="1"/>
  <c r="K26" i="1" l="1"/>
  <c r="K22" i="1" s="1"/>
  <c r="K17" i="1"/>
  <c r="K9" i="1" s="1"/>
  <c r="K7" i="1"/>
  <c r="K8" i="1" l="1"/>
  <c r="F17" i="1"/>
  <c r="I19" i="1" l="1"/>
  <c r="I6" i="1" s="1"/>
  <c r="H19" i="1"/>
  <c r="H6" i="1" s="1"/>
  <c r="G19" i="1"/>
  <c r="G6" i="1" s="1"/>
  <c r="F19" i="1"/>
  <c r="K19" i="1" l="1"/>
  <c r="K6" i="1" s="1"/>
  <c r="F22" i="1"/>
  <c r="F9" i="1"/>
  <c r="F8" i="1"/>
  <c r="F7" i="1"/>
  <c r="F6" i="1" l="1"/>
</calcChain>
</file>

<file path=xl/sharedStrings.xml><?xml version="1.0" encoding="utf-8"?>
<sst xmlns="http://schemas.openxmlformats.org/spreadsheetml/2006/main" count="527" uniqueCount="313">
  <si>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</si>
  <si>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</si>
  <si>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</si>
  <si>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</si>
  <si>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</si>
  <si>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</si>
  <si>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</si>
  <si>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</si>
  <si>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</si>
  <si>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</si>
  <si>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</si>
  <si>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</si>
  <si>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</si>
  <si>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</si>
  <si>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</si>
  <si>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</si>
  <si>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</si>
  <si>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</si>
  <si>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</si>
  <si>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</si>
  <si>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</si>
  <si>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</si>
  <si>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</si>
  <si>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</si>
  <si>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</si>
  <si>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</si>
  <si>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</si>
  <si>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</si>
  <si>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</si>
  <si>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</si>
  <si>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</si>
  <si>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</si>
  <si>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</si>
  <si>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</si>
  <si>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</si>
  <si>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</si>
  <si>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</si>
  <si>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</si>
  <si>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</si>
  <si>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</si>
  <si>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</si>
  <si>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</si>
  <si>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</si>
  <si>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</si>
  <si>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</si>
  <si>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</si>
  <si>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</si>
  <si>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</si>
  <si>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</si>
  <si>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</si>
  <si>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</si>
  <si>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</si>
  <si>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</si>
  <si>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</si>
  <si>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</si>
  <si>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</si>
  <si>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</si>
  <si>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</si>
  <si>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</si>
  <si>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</si>
  <si>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</si>
  <si>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</si>
  <si>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</si>
  <si>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</si>
  <si>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</si>
  <si>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</si>
  <si>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</si>
  <si>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</si>
  <si>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</si>
  <si>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</si>
  <si>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</si>
  <si>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</si>
  <si>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</si>
  <si>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</si>
  <si>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</si>
  <si>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</si>
  <si>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</si>
  <si>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</si>
  <si>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</si>
  <si>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</si>
  <si>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</si>
  <si>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</si>
  <si>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</si>
  <si>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</si>
  <si>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</si>
  <si>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</si>
  <si>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</si>
  <si>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</si>
  <si>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</si>
  <si>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</si>
  <si>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</si>
  <si>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</si>
  <si>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</si>
  <si>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</si>
  <si>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</si>
  <si>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</si>
  <si>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</si>
  <si>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</si>
  <si>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</si>
  <si>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</si>
  <si>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</si>
  <si>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</si>
  <si>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</si>
  <si>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</si>
  <si>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</si>
  <si>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</si>
  <si>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</si>
  <si>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</si>
  <si>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</si>
  <si>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</si>
  <si>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</si>
  <si>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</si>
  <si>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</si>
  <si>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</si>
  <si>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</si>
  <si>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</si>
  <si>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</si>
  <si>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</si>
  <si>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</si>
  <si>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</si>
  <si>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</si>
  <si>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</si>
  <si>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</si>
  <si>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</si>
  <si>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</si>
  <si>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</si>
  <si>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</si>
  <si>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</si>
  <si>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</si>
  <si>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</si>
  <si>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</si>
  <si>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</si>
  <si>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</si>
  <si>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</si>
  <si>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</si>
  <si>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</si>
  <si>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</si>
  <si>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</si>
  <si>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</si>
  <si>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</si>
  <si>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</si>
  <si>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</si>
  <si>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</si>
  <si>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</si>
  <si>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</si>
  <si>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</si>
  <si>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</si>
  <si>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</si>
  <si>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</si>
  <si>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</si>
  <si>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</si>
  <si>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</si>
  <si>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</si>
  <si>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</si>
  <si>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</si>
  <si>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</si>
  <si>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</si>
  <si>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</si>
  <si>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</si>
  <si>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</si>
  <si>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</si>
  <si>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</si>
  <si>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</si>
  <si>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</si>
  <si>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</si>
  <si>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</si>
  <si>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</si>
  <si>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</si>
  <si>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</si>
  <si>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</si>
  <si>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</si>
  <si>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</si>
  <si>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</si>
  <si>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</si>
  <si>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</si>
  <si>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</si>
  <si>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</si>
  <si>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</si>
  <si>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</si>
  <si>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</si>
  <si>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</si>
  <si>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</si>
  <si>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</si>
  <si>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</si>
  <si>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</si>
  <si>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</si>
  <si>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</si>
  <si>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</si>
  <si>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</si>
  <si>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</si>
  <si>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</si>
  <si>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</si>
  <si>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</si>
  <si>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</si>
  <si>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</si>
  <si>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</si>
  <si>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</si>
  <si>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</si>
  <si>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</si>
  <si>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</si>
  <si>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</si>
  <si>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</si>
  <si>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</si>
  <si>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</si>
  <si>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</si>
  <si>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</si>
  <si>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</si>
  <si>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</si>
  <si>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</si>
  <si>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</si>
  <si>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</si>
  <si>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</si>
  <si>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</si>
  <si>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</si>
  <si>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</si>
  <si>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</si>
  <si>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</si>
  <si>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</si>
  <si>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</si>
  <si>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</si>
  <si>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</si>
  <si>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</si>
  <si>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</si>
  <si>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</si>
  <si>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</si>
  <si>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</si>
  <si>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</si>
  <si>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</si>
  <si>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</si>
  <si>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</si>
  <si>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</si>
  <si>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</si>
  <si>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Wieloletnia prognoza finansowa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</si>
  <si>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</si>
  <si>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</si>
  <si>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</si>
  <si>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</si>
  <si>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</si>
  <si>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</si>
  <si>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</si>
  <si>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</si>
  <si>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</si>
  <si>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</si>
  <si>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</si>
  <si>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</si>
  <si>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</si>
  <si>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</si>
  <si>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</si>
  <si>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</si>
  <si>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</si>
  <si>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</si>
  <si>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</si>
  <si>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</si>
  <si>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</si>
  <si>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Modernizacja Oddziału Wewnętrznego w Powiatowym Centrum Zdrowia Sp. z o.o.</t>
  </si>
  <si>
    <t>1.1.1.5</t>
  </si>
  <si>
    <t>Akademia Rodzin w Powiecie Otwockim</t>
  </si>
  <si>
    <t>Doświadczenie zawodowe kluczem do sukcesu</t>
  </si>
  <si>
    <t>Dom Pomocy Społecznej w Otwocku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</si>
  <si>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</si>
  <si>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</si>
  <si>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</si>
  <si>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</si>
  <si>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</si>
  <si>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Wykonanie nakładki asfaltobetonowej na drodze powiatowej Nr 2739W w Gadce</t>
  </si>
  <si>
    <t>1.3.2.18</t>
  </si>
  <si>
    <t>Modernizacja drogi powiatowej Nr 2739W w Radachówce</t>
  </si>
  <si>
    <t>1.3.2.19</t>
  </si>
  <si>
    <t>Wykonanie nakładki asfaltobetonowej na drodze powiatowej Nr 2745W w Kątach</t>
  </si>
  <si>
    <t>1.3.2.20</t>
  </si>
  <si>
    <t>Modernizacja drogi powiatowej Nr 2747W w Kościeliskach</t>
  </si>
  <si>
    <t>1.3.2.21</t>
  </si>
  <si>
    <t>Przebudowa drogi powiatowej Nr 2705W - ul. Kąckiej w Wiązownie</t>
  </si>
  <si>
    <t>1.3.2.22</t>
  </si>
  <si>
    <t>Modernizacja drogi powiatowej Nr 2701W Majdan, Izabela, Michałówek, Duchnów</t>
  </si>
  <si>
    <t>1.3.2.23</t>
  </si>
  <si>
    <t>Modernizacja drogi powiatowej Nr 2714W - ul. Prostej w Celestynowie</t>
  </si>
  <si>
    <t>1.3.2.24</t>
  </si>
  <si>
    <t>Przebudowa na rondo skrzyżowania dróg powiatowych Nr 2765W - ul. Karczewskiej z drogą powiatową Nr 2760W - ul. Batorego i Matejki w Otwocku</t>
  </si>
  <si>
    <t>1.3.2.25</t>
  </si>
  <si>
    <t>Modernizacja drogi powiatowej Nr 1303W we wsi Śniadków Dolny</t>
  </si>
  <si>
    <t>1.3.2.26</t>
  </si>
  <si>
    <t>Modernizacja Domu Pomocy Społecznej "Wrzos"</t>
  </si>
  <si>
    <t>1.3.2.27</t>
  </si>
  <si>
    <t>Budowa Ogniska Wychowawczego "Świder" w Otwocku</t>
  </si>
  <si>
    <t xml:space="preserve">Dom Pomocy Społecznej "Wrzos" </t>
  </si>
  <si>
    <t xml:space="preserve">Ognisko Wychowawcze "Świder" </t>
  </si>
  <si>
    <t>Modernizacja instalacji elektrycznej i rozdzielni w budynku Domu Pomocy Społecznej w Otwocku</t>
  </si>
  <si>
    <t>1.3.2.28</t>
  </si>
  <si>
    <t>1.3.1.2</t>
  </si>
  <si>
    <t>Ośrodek koordynacyjno-rehabilitacyjno-opiekuńczy w ramach programu "Za życiem"</t>
  </si>
  <si>
    <t>Specjalny Ośrodek Szkolno-Wychowawczy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</si>
  <si>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</si>
  <si>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Liceum Ogólnokształcące Nr I</t>
  </si>
  <si>
    <t>1.3.2.29</t>
  </si>
  <si>
    <t>Modernizacja drogi powiatowej Nr 2706W Glinianka - Poręby</t>
  </si>
  <si>
    <t>Częściowa wymiana parkietu w budynku Liceum Ogólnokształcącego Nr I im. K.I. Gałczyńskiego w Otwocku</t>
  </si>
  <si>
    <t>1.1.1.6</t>
  </si>
  <si>
    <t>Poprawa funkcjonowania osób niesamodzielnych z terenu powiatu otwockiego poprzez uruchomienie usług socjalnych świadczonych w formie wsparcia dziennego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</si>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</sst>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9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</cellStyleXfs>
  <cellXfs count="13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8" fillId="0" borderId="0" xfId="3" applyProtection="1"/>
    <xf numFmtId="0" fontId="3" fillId="2" borderId="19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4" fontId="18" fillId="0" borderId="1" xfId="1" applyNumberFormat="1" applyFont="1" applyBorder="1" applyAlignment="1"/>
    <xf numFmtId="0" fontId="18" fillId="0" borderId="0" xfId="1" applyFont="1" applyAlignment="1">
      <alignment vertical="center"/>
    </xf>
    <xf numFmtId="0" fontId="18" fillId="0" borderId="0" xfId="1" applyFont="1"/>
    <xf numFmtId="0" fontId="8" fillId="0" borderId="0" xfId="3"/>
    <xf numFmtId="0" fontId="9" fillId="0" borderId="0" xfId="3" applyFont="1"/>
    <xf numFmtId="0" fontId="9" fillId="0" borderId="0" xfId="3" applyFont="1" applyAlignment="1"/>
    <xf numFmtId="49" fontId="10" fillId="4" borderId="3" xfId="4" applyNumberFormat="1" applyFont="1" applyFill="1" applyBorder="1" applyAlignment="1">
      <alignment horizontal="center" vertical="center"/>
    </xf>
    <xf numFmtId="1" fontId="10" fillId="4" borderId="3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4" borderId="6" xfId="4" applyNumberFormat="1" applyFont="1" applyFill="1" applyBorder="1" applyAlignment="1">
      <alignment horizontal="center" vertical="center" wrapText="1"/>
    </xf>
    <xf numFmtId="1" fontId="10" fillId="4" borderId="7" xfId="4" applyNumberFormat="1" applyFont="1" applyFill="1" applyBorder="1" applyAlignment="1">
      <alignment horizontal="center" vertical="center"/>
    </xf>
    <xf numFmtId="1" fontId="10" fillId="4" borderId="5" xfId="4" applyNumberFormat="1" applyFont="1" applyFill="1" applyBorder="1" applyAlignment="1">
      <alignment horizontal="center" vertical="center"/>
    </xf>
    <xf numFmtId="0" fontId="13" fillId="0" borderId="8" xfId="3" applyFont="1" applyBorder="1" applyAlignment="1">
      <alignment horizontal="left" vertical="center"/>
    </xf>
    <xf numFmtId="0" fontId="13" fillId="0" borderId="9" xfId="3" applyFont="1" applyBorder="1" applyAlignment="1">
      <alignment vertical="center" wrapText="1"/>
    </xf>
    <xf numFmtId="164" fontId="14" fillId="3" borderId="8" xfId="4" applyNumberFormat="1" applyFont="1" applyFill="1" applyBorder="1" applyAlignment="1">
      <alignment vertical="center" shrinkToFit="1"/>
    </xf>
    <xf numFmtId="164" fontId="14" fillId="3" borderId="10" xfId="4" applyNumberFormat="1" applyFont="1" applyFill="1" applyBorder="1" applyAlignment="1">
      <alignment vertical="center" shrinkToFit="1"/>
    </xf>
    <xf numFmtId="164" fontId="14" fillId="3" borderId="11" xfId="4" applyNumberFormat="1" applyFont="1" applyFill="1" applyBorder="1" applyAlignment="1">
      <alignment vertical="center" shrinkToFit="1"/>
    </xf>
    <xf numFmtId="164" fontId="14" fillId="0" borderId="12" xfId="4" applyNumberFormat="1" applyFont="1" applyFill="1" applyBorder="1" applyAlignment="1">
      <alignment vertical="center" shrinkToFit="1"/>
    </xf>
    <xf numFmtId="164" fontId="14" fillId="0" borderId="10" xfId="4" applyNumberFormat="1" applyFont="1" applyFill="1" applyBorder="1" applyAlignment="1">
      <alignment vertical="center" shrinkToFit="1"/>
    </xf>
    <xf numFmtId="0" fontId="15" fillId="0" borderId="8" xfId="3" applyFont="1" applyBorder="1" applyAlignment="1">
      <alignment horizontal="left" vertical="center"/>
    </xf>
    <xf numFmtId="164" fontId="16" fillId="3" borderId="8" xfId="4" applyNumberFormat="1" applyFont="1" applyFill="1" applyBorder="1" applyAlignment="1">
      <alignment vertical="center" shrinkToFit="1"/>
    </xf>
    <xf numFmtId="164" fontId="16" fillId="3" borderId="10" xfId="4" applyNumberFormat="1" applyFont="1" applyFill="1" applyBorder="1" applyAlignment="1">
      <alignment vertical="center" shrinkToFit="1"/>
    </xf>
    <xf numFmtId="164" fontId="16" fillId="3" borderId="11" xfId="4" applyNumberFormat="1" applyFont="1" applyFill="1" applyBorder="1" applyAlignment="1">
      <alignment vertical="center" shrinkToFit="1"/>
    </xf>
    <xf numFmtId="164" fontId="16" fillId="0" borderId="12" xfId="4" applyNumberFormat="1" applyFont="1" applyFill="1" applyBorder="1" applyAlignment="1">
      <alignment vertical="center" shrinkToFit="1"/>
    </xf>
    <xf numFmtId="164" fontId="16" fillId="0" borderId="10" xfId="4" applyNumberFormat="1" applyFont="1" applyFill="1" applyBorder="1" applyAlignment="1">
      <alignment vertical="center" shrinkToFit="1"/>
    </xf>
    <xf numFmtId="164" fontId="14" fillId="3" borderId="8" xfId="4" applyNumberFormat="1" applyFont="1" applyFill="1" applyBorder="1" applyAlignment="1">
      <alignment horizontal="center" vertical="center" shrinkToFit="1"/>
    </xf>
    <xf numFmtId="164" fontId="14" fillId="3" borderId="10" xfId="4" applyNumberFormat="1" applyFont="1" applyFill="1" applyBorder="1" applyAlignment="1">
      <alignment horizontal="center" vertical="center" shrinkToFit="1"/>
    </xf>
    <xf numFmtId="164" fontId="14" fillId="3" borderId="11" xfId="4" applyNumberFormat="1" applyFont="1" applyFill="1" applyBorder="1" applyAlignment="1">
      <alignment horizontal="center" vertical="center" shrinkToFit="1"/>
    </xf>
    <xf numFmtId="164" fontId="14" fillId="0" borderId="12" xfId="4" applyNumberFormat="1" applyFont="1" applyFill="1" applyBorder="1" applyAlignment="1">
      <alignment horizontal="center" vertical="center" shrinkToFit="1"/>
    </xf>
    <xf numFmtId="164" fontId="14" fillId="0" borderId="10" xfId="4" applyNumberFormat="1" applyFont="1" applyFill="1" applyBorder="1" applyAlignment="1">
      <alignment horizontal="center" vertical="center" shrinkToFit="1"/>
    </xf>
    <xf numFmtId="165" fontId="16" fillId="3" borderId="8" xfId="4" applyNumberFormat="1" applyFont="1" applyFill="1" applyBorder="1" applyAlignment="1">
      <alignment vertical="center" shrinkToFit="1"/>
    </xf>
    <xf numFmtId="165" fontId="16" fillId="3" borderId="10" xfId="4" applyNumberFormat="1" applyFont="1" applyFill="1" applyBorder="1" applyAlignment="1">
      <alignment vertical="center" shrinkToFit="1"/>
    </xf>
    <xf numFmtId="165" fontId="16" fillId="3" borderId="11" xfId="4" applyNumberFormat="1" applyFont="1" applyFill="1" applyBorder="1" applyAlignment="1">
      <alignment vertical="center" shrinkToFit="1"/>
    </xf>
    <xf numFmtId="165" fontId="16" fillId="0" borderId="12" xfId="4" applyNumberFormat="1" applyFont="1" applyFill="1" applyBorder="1" applyAlignment="1">
      <alignment vertical="center" shrinkToFit="1"/>
    </xf>
    <xf numFmtId="165" fontId="16" fillId="0" borderId="10" xfId="4" applyNumberFormat="1" applyFont="1" applyFill="1" applyBorder="1" applyAlignment="1">
      <alignment vertical="center" shrinkToFit="1"/>
    </xf>
    <xf numFmtId="0" fontId="15" fillId="0" borderId="8" xfId="3" applyFont="1" applyBorder="1" applyAlignment="1" applyProtection="1">
      <alignment horizontal="left" vertical="center"/>
      <protection locked="0"/>
    </xf>
    <xf numFmtId="0" fontId="16" fillId="0" borderId="12" xfId="4" applyNumberFormat="1" applyFont="1" applyFill="1" applyBorder="1" applyAlignment="1">
      <alignment horizontal="center" vertical="center" shrinkToFit="1"/>
    </xf>
    <xf numFmtId="0" fontId="16" fillId="0" borderId="10" xfId="4" applyNumberFormat="1" applyFont="1" applyFill="1" applyBorder="1" applyAlignment="1">
      <alignment horizontal="center" vertical="center" shrinkToFit="1"/>
    </xf>
    <xf numFmtId="0" fontId="15" fillId="0" borderId="13" xfId="3" applyFont="1" applyBorder="1" applyAlignment="1">
      <alignment vertical="center" wrapText="1"/>
    </xf>
    <xf numFmtId="0" fontId="15" fillId="0" borderId="9" xfId="3" applyFont="1" applyBorder="1" applyAlignment="1" applyProtection="1">
      <alignment vertical="center" wrapText="1"/>
      <protection locked="0"/>
    </xf>
    <xf numFmtId="0" fontId="15" fillId="0" borderId="13" xfId="3" quotePrefix="1" applyFont="1" applyBorder="1" applyAlignment="1">
      <alignment vertical="center" wrapText="1"/>
    </xf>
    <xf numFmtId="0" fontId="15" fillId="0" borderId="14" xfId="3" applyFont="1" applyBorder="1" applyAlignment="1">
      <alignment horizontal="left" vertical="center"/>
    </xf>
    <xf numFmtId="0" fontId="15" fillId="0" borderId="15" xfId="3" applyFont="1" applyBorder="1" applyAlignment="1">
      <alignment vertical="center" wrapText="1"/>
    </xf>
    <xf numFmtId="164" fontId="16" fillId="3" borderId="14" xfId="4" applyNumberFormat="1" applyFont="1" applyFill="1" applyBorder="1" applyAlignment="1">
      <alignment vertical="center" shrinkToFit="1"/>
    </xf>
    <xf numFmtId="164" fontId="16" fillId="3" borderId="16" xfId="4" applyNumberFormat="1" applyFont="1" applyFill="1" applyBorder="1" applyAlignment="1">
      <alignment vertical="center" shrinkToFit="1"/>
    </xf>
    <xf numFmtId="164" fontId="16" fillId="3" borderId="17" xfId="4" applyNumberFormat="1" applyFont="1" applyFill="1" applyBorder="1" applyAlignment="1">
      <alignment vertical="center" shrinkToFit="1"/>
    </xf>
    <xf numFmtId="164" fontId="16" fillId="0" borderId="18" xfId="4" applyNumberFormat="1" applyFont="1" applyFill="1" applyBorder="1" applyAlignment="1">
      <alignment vertical="center" shrinkToFit="1"/>
    </xf>
    <xf numFmtId="164" fontId="16" fillId="0" borderId="16" xfId="4" applyNumberFormat="1" applyFont="1" applyFill="1" applyBorder="1" applyAlignment="1">
      <alignment vertical="center" shrinkToFit="1"/>
    </xf>
    <xf numFmtId="0" fontId="8" fillId="0" borderId="0" xfId="3" applyProtection="1">
      <protection locked="0"/>
    </xf>
    <xf numFmtId="0" fontId="9" fillId="0" borderId="0" xfId="3" applyFont="1" applyProtection="1"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11" fillId="0" borderId="2" xfId="3" applyFont="1" applyBorder="1" applyAlignment="1" applyProtection="1">
      <alignment vertical="center" wrapText="1"/>
      <protection locked="0"/>
    </xf>
    <xf numFmtId="49" fontId="10" fillId="4" borderId="4" xfId="4" applyNumberFormat="1" applyFont="1" applyFill="1" applyBorder="1" applyAlignment="1">
      <alignment horizontal="center" vertical="center"/>
    </xf>
    <xf numFmtId="0" fontId="8" fillId="0" borderId="0" xfId="3" applyFont="1"/>
    <xf numFmtId="0" fontId="19" fillId="0" borderId="0" xfId="3" applyFont="1"/>
    <xf numFmtId="0" fontId="15" fillId="0" borderId="20" xfId="3" applyFont="1" applyBorder="1" applyAlignment="1">
      <alignment horizontal="left" vertical="center"/>
    </xf>
    <xf numFmtId="164" fontId="16" fillId="3" borderId="20" xfId="4" applyNumberFormat="1" applyFont="1" applyFill="1" applyBorder="1" applyAlignment="1">
      <alignment vertical="center" shrinkToFit="1"/>
    </xf>
    <xf numFmtId="164" fontId="16" fillId="3" borderId="22" xfId="4" applyNumberFormat="1" applyFont="1" applyFill="1" applyBorder="1" applyAlignment="1">
      <alignment vertical="center" shrinkToFit="1"/>
    </xf>
    <xf numFmtId="164" fontId="16" fillId="3" borderId="23" xfId="4" applyNumberFormat="1" applyFont="1" applyFill="1" applyBorder="1" applyAlignment="1">
      <alignment vertical="center" shrinkToFit="1"/>
    </xf>
    <xf numFmtId="164" fontId="16" fillId="0" borderId="24" xfId="4" applyNumberFormat="1" applyFont="1" applyFill="1" applyBorder="1" applyAlignment="1">
      <alignment vertical="center" shrinkToFit="1"/>
    </xf>
    <xf numFmtId="164" fontId="16" fillId="0" borderId="22" xfId="4" applyNumberFormat="1" applyFont="1" applyFill="1" applyBorder="1" applyAlignment="1">
      <alignment vertical="center" shrinkToFit="1"/>
    </xf>
    <xf numFmtId="0" fontId="13" fillId="0" borderId="25" xfId="3" applyFont="1" applyBorder="1" applyAlignment="1">
      <alignment horizontal="left" vertical="center"/>
    </xf>
    <xf numFmtId="0" fontId="13" fillId="0" borderId="26" xfId="3" applyFont="1" applyBorder="1" applyAlignment="1">
      <alignment vertical="center" wrapText="1"/>
    </xf>
    <xf numFmtId="164" fontId="14" fillId="3" borderId="25" xfId="4" applyNumberFormat="1" applyFont="1" applyFill="1" applyBorder="1" applyAlignment="1">
      <alignment horizontal="center" vertical="center" shrinkToFit="1"/>
    </xf>
    <xf numFmtId="164" fontId="14" fillId="3" borderId="27" xfId="4" applyNumberFormat="1" applyFont="1" applyFill="1" applyBorder="1" applyAlignment="1">
      <alignment horizontal="center" vertical="center" shrinkToFit="1"/>
    </xf>
    <xf numFmtId="164" fontId="14" fillId="3" borderId="28" xfId="4" applyNumberFormat="1" applyFont="1" applyFill="1" applyBorder="1" applyAlignment="1">
      <alignment horizontal="center" vertical="center" shrinkToFit="1"/>
    </xf>
    <xf numFmtId="164" fontId="14" fillId="0" borderId="29" xfId="4" applyNumberFormat="1" applyFont="1" applyFill="1" applyBorder="1" applyAlignment="1">
      <alignment horizontal="center" vertical="center" shrinkToFit="1"/>
    </xf>
    <xf numFmtId="164" fontId="14" fillId="0" borderId="27" xfId="4" applyNumberFormat="1" applyFont="1" applyFill="1" applyBorder="1" applyAlignment="1">
      <alignment horizontal="center" vertical="center" shrinkToFit="1"/>
    </xf>
    <xf numFmtId="0" fontId="15" fillId="0" borderId="30" xfId="3" applyFont="1" applyBorder="1" applyAlignment="1">
      <alignment horizontal="left" vertical="center"/>
    </xf>
    <xf numFmtId="164" fontId="16" fillId="3" borderId="30" xfId="4" applyNumberFormat="1" applyFont="1" applyFill="1" applyBorder="1" applyAlignment="1">
      <alignment vertical="center" shrinkToFit="1"/>
    </xf>
    <xf numFmtId="164" fontId="16" fillId="3" borderId="32" xfId="4" applyNumberFormat="1" applyFont="1" applyFill="1" applyBorder="1" applyAlignment="1">
      <alignment vertical="center" shrinkToFit="1"/>
    </xf>
    <xf numFmtId="164" fontId="16" fillId="3" borderId="33" xfId="4" applyNumberFormat="1" applyFont="1" applyFill="1" applyBorder="1" applyAlignment="1">
      <alignment vertical="center" shrinkToFit="1"/>
    </xf>
    <xf numFmtId="164" fontId="16" fillId="0" borderId="34" xfId="4" applyNumberFormat="1" applyFont="1" applyFill="1" applyBorder="1" applyAlignment="1">
      <alignment vertical="center" shrinkToFit="1"/>
    </xf>
    <xf numFmtId="164" fontId="16" fillId="0" borderId="32" xfId="4" applyNumberFormat="1" applyFont="1" applyFill="1" applyBorder="1" applyAlignment="1">
      <alignment vertical="center" shrinkToFit="1"/>
    </xf>
    <xf numFmtId="0" fontId="13" fillId="0" borderId="25" xfId="5" applyFont="1" applyBorder="1" applyAlignment="1">
      <alignment horizontal="left" vertical="center"/>
    </xf>
    <xf numFmtId="0" fontId="13" fillId="0" borderId="26" xfId="5" applyFont="1" applyBorder="1" applyAlignment="1">
      <alignment vertical="center" wrapText="1"/>
    </xf>
    <xf numFmtId="0" fontId="15" fillId="0" borderId="30" xfId="5" applyFont="1" applyBorder="1" applyAlignment="1">
      <alignment horizontal="left" vertical="center"/>
    </xf>
    <xf numFmtId="164" fontId="16" fillId="3" borderId="30" xfId="4" applyNumberFormat="1" applyFont="1" applyFill="1" applyBorder="1" applyAlignment="1">
      <alignment horizontal="center" vertical="center" shrinkToFit="1"/>
    </xf>
    <xf numFmtId="164" fontId="16" fillId="3" borderId="32" xfId="4" applyNumberFormat="1" applyFont="1" applyFill="1" applyBorder="1" applyAlignment="1">
      <alignment horizontal="center" vertical="center" shrinkToFit="1"/>
    </xf>
    <xf numFmtId="164" fontId="16" fillId="3" borderId="33" xfId="4" applyNumberFormat="1" applyFont="1" applyFill="1" applyBorder="1" applyAlignment="1">
      <alignment horizontal="center" vertical="center" shrinkToFit="1"/>
    </xf>
    <xf numFmtId="0" fontId="15" fillId="0" borderId="8" xfId="5" applyFont="1" applyBorder="1" applyAlignment="1">
      <alignment horizontal="left" vertical="center"/>
    </xf>
    <xf numFmtId="164" fontId="16" fillId="3" borderId="8" xfId="4" applyNumberFormat="1" applyFont="1" applyFill="1" applyBorder="1" applyAlignment="1">
      <alignment horizontal="center" vertical="center" shrinkToFit="1"/>
    </xf>
    <xf numFmtId="164" fontId="16" fillId="3" borderId="10" xfId="4" applyNumberFormat="1" applyFont="1" applyFill="1" applyBorder="1" applyAlignment="1">
      <alignment horizontal="center" vertical="center" shrinkToFit="1"/>
    </xf>
    <xf numFmtId="164" fontId="16" fillId="3" borderId="11" xfId="4" applyNumberFormat="1" applyFont="1" applyFill="1" applyBorder="1" applyAlignment="1">
      <alignment horizontal="center" vertical="center" shrinkToFit="1"/>
    </xf>
    <xf numFmtId="10" fontId="16" fillId="0" borderId="12" xfId="6" applyNumberFormat="1" applyFont="1" applyFill="1" applyBorder="1" applyAlignment="1">
      <alignment vertical="center" shrinkToFit="1"/>
    </xf>
    <xf numFmtId="0" fontId="15" fillId="0" borderId="14" xfId="5" applyFont="1" applyBorder="1" applyAlignment="1">
      <alignment horizontal="left" vertical="center"/>
    </xf>
    <xf numFmtId="164" fontId="16" fillId="3" borderId="14" xfId="4" applyNumberFormat="1" applyFont="1" applyFill="1" applyBorder="1" applyAlignment="1">
      <alignment horizontal="center" vertical="center" shrinkToFit="1"/>
    </xf>
    <xf numFmtId="164" fontId="16" fillId="3" borderId="16" xfId="4" applyNumberFormat="1" applyFont="1" applyFill="1" applyBorder="1" applyAlignment="1">
      <alignment horizontal="center" vertical="center" shrinkToFit="1"/>
    </xf>
    <xf numFmtId="164" fontId="16" fillId="3" borderId="17" xfId="4" applyNumberFormat="1" applyFont="1" applyFill="1" applyBorder="1" applyAlignment="1">
      <alignment horizontal="center" vertical="center" shrinkToFit="1"/>
    </xf>
    <xf numFmtId="10" fontId="16" fillId="0" borderId="18" xfId="6" applyNumberFormat="1" applyFont="1" applyFill="1" applyBorder="1" applyAlignment="1">
      <alignment vertical="center" shrinkToFit="1"/>
    </xf>
    <xf numFmtId="0" fontId="9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protection locked="0"/>
    </xf>
    <xf numFmtId="0" fontId="15" fillId="0" borderId="21" xfId="3" applyFont="1" applyBorder="1" applyAlignment="1">
      <alignment vertical="center" wrapText="1"/>
    </xf>
    <xf numFmtId="0" fontId="15" fillId="0" borderId="31" xfId="3" applyFont="1" applyBorder="1" applyAlignment="1">
      <alignment vertical="center" wrapText="1"/>
    </xf>
    <xf numFmtId="0" fontId="15" fillId="0" borderId="31" xfId="5" applyFont="1" applyBorder="1" applyAlignment="1">
      <alignment vertical="center" wrapText="1"/>
    </xf>
    <xf numFmtId="0" fontId="15" fillId="0" borderId="13" xfId="5" applyFont="1" applyBorder="1" applyAlignment="1">
      <alignment vertical="center" wrapText="1"/>
    </xf>
    <xf numFmtId="0" fontId="15" fillId="0" borderId="15" xfId="5" applyFont="1" applyBorder="1" applyAlignment="1">
      <alignment vertical="center" wrapText="1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WPF%20lut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U113"/>
  <sheetViews>
    <sheetView tabSelected="1" zoomScale="140" zoomScaleNormal="14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activeCell="B117" sqref="B117"/>
    </sheetView>
  </sheetViews>
  <sheetFormatPr defaultRowHeight="14.25"/>
  <cols>
    <col min="1" max="1" width="6.5703125" style="30" customWidth="1"/>
    <col min="2" max="2" width="36.7109375" style="31" customWidth="1"/>
    <col min="3" max="20" width="11.7109375" style="30" customWidth="1"/>
    <col min="21" max="16384" width="9.140625" style="29"/>
  </cols>
  <sheetData>
    <row r="1" spans="1:21" s="20" customFormat="1" ht="20.25">
      <c r="A1" s="125" t="s">
        <v>232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1" ht="15.75">
      <c r="A2" s="75"/>
      <c r="B2" s="118"/>
      <c r="C2" s="124" t="s">
        <v>49</v>
      </c>
      <c r="D2" s="124"/>
      <c r="E2" s="76" t="s">
        <v>50</v>
      </c>
      <c r="F2" s="76" t="s">
        <v>49</v>
      </c>
      <c r="G2" s="77" t="str">
        <f>""</f>
        <v/>
      </c>
      <c r="H2" s="78"/>
      <c r="I2" s="78"/>
      <c r="J2" s="78"/>
      <c r="K2" s="78"/>
      <c r="L2" s="75"/>
      <c r="M2" s="75"/>
      <c r="N2" s="75"/>
      <c r="O2" s="75"/>
      <c r="P2" s="75"/>
      <c r="Q2" s="75"/>
      <c r="R2" s="75"/>
      <c r="S2" s="75"/>
      <c r="T2" s="75"/>
      <c r="U2" s="74"/>
    </row>
    <row r="3" spans="1:21" ht="30" customHeight="1">
      <c r="A3" s="32" t="s">
        <v>1</v>
      </c>
      <c r="B3" s="79" t="s">
        <v>51</v>
      </c>
      <c r="C3" s="33">
        <f>+D3-1</f>
        <v>2015</v>
      </c>
      <c r="D3" s="34">
        <f>+E3-1</f>
        <v>2016</v>
      </c>
      <c r="E3" s="34">
        <f>+F3</f>
        <v>2017</v>
      </c>
      <c r="F3" s="35">
        <f>+G3-1</f>
        <v>2017</v>
      </c>
      <c r="G3" s="36">
        <f>+[1]DaneZrodlowe!$N$1</f>
        <v>2018</v>
      </c>
      <c r="H3" s="37">
        <f>+G3+1</f>
        <v>2019</v>
      </c>
      <c r="I3" s="37">
        <f t="shared" ref="I3:T3" si="0">+H3+1</f>
        <v>2020</v>
      </c>
      <c r="J3" s="37">
        <f t="shared" si="0"/>
        <v>2021</v>
      </c>
      <c r="K3" s="37">
        <f t="shared" si="0"/>
        <v>2022</v>
      </c>
      <c r="L3" s="37">
        <f t="shared" si="0"/>
        <v>2023</v>
      </c>
      <c r="M3" s="37">
        <f t="shared" si="0"/>
        <v>2024</v>
      </c>
      <c r="N3" s="37">
        <f t="shared" si="0"/>
        <v>2025</v>
      </c>
      <c r="O3" s="37">
        <f t="shared" si="0"/>
        <v>2026</v>
      </c>
      <c r="P3" s="37">
        <f t="shared" si="0"/>
        <v>2027</v>
      </c>
      <c r="Q3" s="37">
        <f t="shared" si="0"/>
        <v>2028</v>
      </c>
      <c r="R3" s="37">
        <f t="shared" si="0"/>
        <v>2029</v>
      </c>
      <c r="S3" s="37">
        <f t="shared" si="0"/>
        <v>2030</v>
      </c>
      <c r="T3" s="37">
        <f t="shared" si="0"/>
        <v>2031</v>
      </c>
      <c r="U3" s="80"/>
    </row>
    <row r="4" spans="1:21" ht="18" customHeight="1">
      <c r="A4" s="38">
        <v>1</v>
      </c>
      <c r="B4" s="39" t="s">
        <v>52</v>
      </c>
      <c r="C4" s="40">
        <f>113412610.88</f>
        <v>113412610.88</v>
      </c>
      <c r="D4" s="41">
        <f>119031147.34</f>
        <v>119031147.34</v>
      </c>
      <c r="E4" s="41">
        <f>136555802</f>
        <v>136555802</v>
      </c>
      <c r="F4" s="42">
        <f>136563924</f>
        <v>136563924</v>
      </c>
      <c r="G4" s="43">
        <f>148375416</f>
        <v>148375416</v>
      </c>
      <c r="H4" s="44">
        <f>131043415</f>
        <v>131043415</v>
      </c>
      <c r="I4" s="44">
        <f>133939026</f>
        <v>133939026</v>
      </c>
      <c r="J4" s="44">
        <f>137195115</f>
        <v>137195115</v>
      </c>
      <c r="K4" s="44">
        <f>141795944</f>
        <v>141795944</v>
      </c>
      <c r="L4" s="44">
        <f>146381350</f>
        <v>146381350</v>
      </c>
      <c r="M4" s="44">
        <f>151064673</f>
        <v>151064673</v>
      </c>
      <c r="N4" s="44">
        <f>155936828</f>
        <v>155936828</v>
      </c>
      <c r="O4" s="44">
        <f>160348433</f>
        <v>160348433</v>
      </c>
      <c r="P4" s="44">
        <f>164989838</f>
        <v>164989838</v>
      </c>
      <c r="Q4" s="44">
        <f>169765843</f>
        <v>169765843</v>
      </c>
      <c r="R4" s="44">
        <f>174510887</f>
        <v>174510887</v>
      </c>
      <c r="S4" s="44">
        <f>179214581</f>
        <v>179214581</v>
      </c>
      <c r="T4" s="44">
        <f>183866360</f>
        <v>183866360</v>
      </c>
      <c r="U4" s="81"/>
    </row>
    <row r="5" spans="1:21" ht="18" customHeight="1">
      <c r="A5" s="45" t="s">
        <v>53</v>
      </c>
      <c r="B5" s="64" t="s">
        <v>54</v>
      </c>
      <c r="C5" s="46">
        <f>110702007.93</f>
        <v>110702007.93000001</v>
      </c>
      <c r="D5" s="47">
        <f>112338702.73</f>
        <v>112338702.73</v>
      </c>
      <c r="E5" s="47">
        <f>115511577</f>
        <v>115511577</v>
      </c>
      <c r="F5" s="48">
        <f>116345220</f>
        <v>116345220</v>
      </c>
      <c r="G5" s="49">
        <f>122425688</f>
        <v>122425688</v>
      </c>
      <c r="H5" s="50">
        <f>127836040</f>
        <v>127836040</v>
      </c>
      <c r="I5" s="50">
        <f>132669026</f>
        <v>132669026</v>
      </c>
      <c r="J5" s="50">
        <f>136595115</f>
        <v>136595115</v>
      </c>
      <c r="K5" s="50">
        <f>141375944</f>
        <v>141375944</v>
      </c>
      <c r="L5" s="50">
        <f>146041350</f>
        <v>146041350</v>
      </c>
      <c r="M5" s="50">
        <f>150714673</f>
        <v>150714673</v>
      </c>
      <c r="N5" s="50">
        <f>155386828</f>
        <v>155386828</v>
      </c>
      <c r="O5" s="50">
        <f>160048433</f>
        <v>160048433</v>
      </c>
      <c r="P5" s="50">
        <f>164689838</f>
        <v>164689838</v>
      </c>
      <c r="Q5" s="50">
        <f>169465843</f>
        <v>169465843</v>
      </c>
      <c r="R5" s="50">
        <f>174210887</f>
        <v>174210887</v>
      </c>
      <c r="S5" s="50">
        <f>178914581</f>
        <v>178914581</v>
      </c>
      <c r="T5" s="50">
        <f>183566360</f>
        <v>183566360</v>
      </c>
    </row>
    <row r="6" spans="1:21" ht="29.25" customHeight="1">
      <c r="A6" s="45" t="s">
        <v>55</v>
      </c>
      <c r="B6" s="64" t="s">
        <v>56</v>
      </c>
      <c r="C6" s="46">
        <f>36117192</f>
        <v>36117192</v>
      </c>
      <c r="D6" s="47">
        <f>39127727</f>
        <v>39127727</v>
      </c>
      <c r="E6" s="47">
        <f>43057827</f>
        <v>43057827</v>
      </c>
      <c r="F6" s="48">
        <f>43057827</f>
        <v>43057827</v>
      </c>
      <c r="G6" s="49">
        <f>47173387</f>
        <v>47173387</v>
      </c>
      <c r="H6" s="50">
        <f>49437710</f>
        <v>49437710</v>
      </c>
      <c r="I6" s="50">
        <f>51316343</f>
        <v>51316343</v>
      </c>
      <c r="J6" s="50">
        <f>53163731</f>
        <v>53163731</v>
      </c>
      <c r="K6" s="50">
        <f>55024462</f>
        <v>55024462</v>
      </c>
      <c r="L6" s="50">
        <f>56840269</f>
        <v>56840269</v>
      </c>
      <c r="M6" s="50">
        <f>58659158</f>
        <v>58659158</v>
      </c>
      <c r="N6" s="50">
        <f>60477592</f>
        <v>60477592</v>
      </c>
      <c r="O6" s="50">
        <f>62291920</f>
        <v>62291920</v>
      </c>
      <c r="P6" s="50">
        <f>64098386</f>
        <v>64098386</v>
      </c>
      <c r="Q6" s="50">
        <f>65957239</f>
        <v>65957239</v>
      </c>
      <c r="R6" s="50">
        <f>67804042</f>
        <v>67804042</v>
      </c>
      <c r="S6" s="50">
        <f>69634751</f>
        <v>69634751</v>
      </c>
      <c r="T6" s="50">
        <f>71445255</f>
        <v>71445255</v>
      </c>
    </row>
    <row r="7" spans="1:21" ht="29.25" customHeight="1">
      <c r="A7" s="45" t="s">
        <v>57</v>
      </c>
      <c r="B7" s="64" t="s">
        <v>58</v>
      </c>
      <c r="C7" s="46">
        <f>893268.75</f>
        <v>893268.75</v>
      </c>
      <c r="D7" s="47">
        <f>865724.06</f>
        <v>865724.06</v>
      </c>
      <c r="E7" s="47">
        <f>961904</f>
        <v>961904</v>
      </c>
      <c r="F7" s="48">
        <f>1161904</f>
        <v>1161904</v>
      </c>
      <c r="G7" s="49">
        <f>1300000</f>
        <v>1300000</v>
      </c>
      <c r="H7" s="50">
        <f>1362400</f>
        <v>1362400</v>
      </c>
      <c r="I7" s="50">
        <f>1414171</f>
        <v>1414171</v>
      </c>
      <c r="J7" s="50">
        <f>1465081</f>
        <v>1465081</v>
      </c>
      <c r="K7" s="50">
        <f>1516359</f>
        <v>1516359</v>
      </c>
      <c r="L7" s="50">
        <f>1566399</f>
        <v>1566399</v>
      </c>
      <c r="M7" s="50">
        <f>1616524</f>
        <v>1616524</v>
      </c>
      <c r="N7" s="50">
        <f>1666636</f>
        <v>1666636</v>
      </c>
      <c r="O7" s="50">
        <f>1716635</f>
        <v>1716635</v>
      </c>
      <c r="P7" s="50">
        <f>1766417</f>
        <v>1766417</v>
      </c>
      <c r="Q7" s="50">
        <f>1817643</f>
        <v>1817643</v>
      </c>
      <c r="R7" s="50">
        <f>1868537</f>
        <v>1868537</v>
      </c>
      <c r="S7" s="50">
        <f>1918987</f>
        <v>1918987</v>
      </c>
      <c r="T7" s="50">
        <f>1968881</f>
        <v>1968881</v>
      </c>
    </row>
    <row r="8" spans="1:21" ht="18" customHeight="1">
      <c r="A8" s="45" t="s">
        <v>59</v>
      </c>
      <c r="B8" s="64" t="s">
        <v>60</v>
      </c>
      <c r="C8" s="46">
        <f>4259449.62</f>
        <v>4259449.62</v>
      </c>
      <c r="D8" s="47">
        <f>4549004.28</f>
        <v>4549004.28</v>
      </c>
      <c r="E8" s="47">
        <f>4799611</f>
        <v>4799611</v>
      </c>
      <c r="F8" s="48">
        <f>4753611</f>
        <v>4753611</v>
      </c>
      <c r="G8" s="49">
        <f>4697527</f>
        <v>4697527</v>
      </c>
      <c r="H8" s="50">
        <f>4923008</f>
        <v>4923008</v>
      </c>
      <c r="I8" s="50">
        <f>5110082</f>
        <v>5110082</v>
      </c>
      <c r="J8" s="50">
        <f>5294045</f>
        <v>5294045</v>
      </c>
      <c r="K8" s="50">
        <f>5479337</f>
        <v>5479337</v>
      </c>
      <c r="L8" s="50">
        <f>5660155</f>
        <v>5660155</v>
      </c>
      <c r="M8" s="50">
        <f>5841280</f>
        <v>5841280</v>
      </c>
      <c r="N8" s="50">
        <f>6022360</f>
        <v>6022360</v>
      </c>
      <c r="O8" s="50">
        <f>6203031</f>
        <v>6203031</v>
      </c>
      <c r="P8" s="50">
        <f>6382919</f>
        <v>6382919</v>
      </c>
      <c r="Q8" s="50">
        <f>6568024</f>
        <v>6568024</v>
      </c>
      <c r="R8" s="50">
        <f>6751929</f>
        <v>6751929</v>
      </c>
      <c r="S8" s="50">
        <f>6934231</f>
        <v>6934231</v>
      </c>
      <c r="T8" s="50">
        <f>7114521</f>
        <v>7114521</v>
      </c>
    </row>
    <row r="9" spans="1:21" ht="18" customHeight="1">
      <c r="A9" s="45" t="s">
        <v>61</v>
      </c>
      <c r="B9" s="64" t="s">
        <v>62</v>
      </c>
      <c r="C9" s="46">
        <f>0</f>
        <v>0</v>
      </c>
      <c r="D9" s="47">
        <f>0</f>
        <v>0</v>
      </c>
      <c r="E9" s="47">
        <f>0</f>
        <v>0</v>
      </c>
      <c r="F9" s="48">
        <f>0</f>
        <v>0</v>
      </c>
      <c r="G9" s="49">
        <f>0</f>
        <v>0</v>
      </c>
      <c r="H9" s="50">
        <f>0</f>
        <v>0</v>
      </c>
      <c r="I9" s="50">
        <f>0</f>
        <v>0</v>
      </c>
      <c r="J9" s="50">
        <f>0</f>
        <v>0</v>
      </c>
      <c r="K9" s="50">
        <f>0</f>
        <v>0</v>
      </c>
      <c r="L9" s="50">
        <f>0</f>
        <v>0</v>
      </c>
      <c r="M9" s="50">
        <f>0</f>
        <v>0</v>
      </c>
      <c r="N9" s="50">
        <f>0</f>
        <v>0</v>
      </c>
      <c r="O9" s="50">
        <f>0</f>
        <v>0</v>
      </c>
      <c r="P9" s="50">
        <f>0</f>
        <v>0</v>
      </c>
      <c r="Q9" s="50">
        <f>0</f>
        <v>0</v>
      </c>
      <c r="R9" s="50">
        <f>0</f>
        <v>0</v>
      </c>
      <c r="S9" s="50">
        <f>0</f>
        <v>0</v>
      </c>
      <c r="T9" s="50">
        <f>0</f>
        <v>0</v>
      </c>
    </row>
    <row r="10" spans="1:21" ht="18" customHeight="1">
      <c r="A10" s="45" t="s">
        <v>63</v>
      </c>
      <c r="B10" s="64" t="s">
        <v>64</v>
      </c>
      <c r="C10" s="46">
        <f>45930651</f>
        <v>45930651</v>
      </c>
      <c r="D10" s="47">
        <f>44895602</f>
        <v>44895602</v>
      </c>
      <c r="E10" s="47">
        <f>43915782</f>
        <v>43915782</v>
      </c>
      <c r="F10" s="48">
        <f>43915782</f>
        <v>43915782</v>
      </c>
      <c r="G10" s="49">
        <f>45938036</f>
        <v>45938036</v>
      </c>
      <c r="H10" s="50">
        <f>48143062</f>
        <v>48143062</v>
      </c>
      <c r="I10" s="50">
        <f>49972498</f>
        <v>49972498</v>
      </c>
      <c r="J10" s="50">
        <f>51771508</f>
        <v>51771508</v>
      </c>
      <c r="K10" s="50">
        <f>53583511</f>
        <v>53583511</v>
      </c>
      <c r="L10" s="50">
        <f>55351767</f>
        <v>55351767</v>
      </c>
      <c r="M10" s="50">
        <f>57123024</f>
        <v>57123024</v>
      </c>
      <c r="N10" s="50">
        <f>58893838</f>
        <v>58893838</v>
      </c>
      <c r="O10" s="50">
        <f>60660653</f>
        <v>60660653</v>
      </c>
      <c r="P10" s="50">
        <f>62419812</f>
        <v>62419812</v>
      </c>
      <c r="Q10" s="50">
        <f>64229987</f>
        <v>64229987</v>
      </c>
      <c r="R10" s="50">
        <f>66028427</f>
        <v>66028427</v>
      </c>
      <c r="S10" s="50">
        <f>67811195</f>
        <v>67811195</v>
      </c>
      <c r="T10" s="50">
        <f>69574286</f>
        <v>69574286</v>
      </c>
    </row>
    <row r="11" spans="1:21" ht="26.25" customHeight="1">
      <c r="A11" s="45" t="s">
        <v>65</v>
      </c>
      <c r="B11" s="64" t="s">
        <v>66</v>
      </c>
      <c r="C11" s="46">
        <f>15039810.53</f>
        <v>15039810.529999999</v>
      </c>
      <c r="D11" s="47">
        <f>16519142.81</f>
        <v>16519142.810000001</v>
      </c>
      <c r="E11" s="47">
        <f>16263881</f>
        <v>16263881</v>
      </c>
      <c r="F11" s="48">
        <f>17012414</f>
        <v>17012414</v>
      </c>
      <c r="G11" s="49">
        <f>16802573</f>
        <v>16802573</v>
      </c>
      <c r="H11" s="50">
        <f>17143015</f>
        <v>17143015</v>
      </c>
      <c r="I11" s="50">
        <f>17769666</f>
        <v>17769666</v>
      </c>
      <c r="J11" s="50">
        <f>17559378</f>
        <v>17559378</v>
      </c>
      <c r="K11" s="50">
        <f>18173956</f>
        <v>18173956</v>
      </c>
      <c r="L11" s="50">
        <f>18773697</f>
        <v>18773697</v>
      </c>
      <c r="M11" s="50">
        <f>19374455</f>
        <v>19374455</v>
      </c>
      <c r="N11" s="50">
        <f>19975063</f>
        <v>19975063</v>
      </c>
      <c r="O11" s="50">
        <f>20574315</f>
        <v>20574315</v>
      </c>
      <c r="P11" s="50">
        <f>21170970</f>
        <v>21170970</v>
      </c>
      <c r="Q11" s="50">
        <f>21784928</f>
        <v>21784928</v>
      </c>
      <c r="R11" s="50">
        <f>22394906</f>
        <v>22394906</v>
      </c>
      <c r="S11" s="50">
        <f>22999568</f>
        <v>22999568</v>
      </c>
      <c r="T11" s="50">
        <f>23597557</f>
        <v>23597557</v>
      </c>
    </row>
    <row r="12" spans="1:21" ht="16.5" customHeight="1">
      <c r="A12" s="45" t="s">
        <v>67</v>
      </c>
      <c r="B12" s="64" t="s">
        <v>68</v>
      </c>
      <c r="C12" s="46">
        <f>2710602.95</f>
        <v>2710602.95</v>
      </c>
      <c r="D12" s="47">
        <f>6692444.61</f>
        <v>6692444.6100000003</v>
      </c>
      <c r="E12" s="47">
        <f>21044225</f>
        <v>21044225</v>
      </c>
      <c r="F12" s="48">
        <f>20218704</f>
        <v>20218704</v>
      </c>
      <c r="G12" s="49">
        <f>25949728</f>
        <v>25949728</v>
      </c>
      <c r="H12" s="50">
        <f>3207375</f>
        <v>3207375</v>
      </c>
      <c r="I12" s="50">
        <f>1270000</f>
        <v>1270000</v>
      </c>
      <c r="J12" s="50">
        <f>600000</f>
        <v>600000</v>
      </c>
      <c r="K12" s="50">
        <f>420000</f>
        <v>420000</v>
      </c>
      <c r="L12" s="50">
        <f>340000</f>
        <v>340000</v>
      </c>
      <c r="M12" s="50">
        <f>350000</f>
        <v>350000</v>
      </c>
      <c r="N12" s="50">
        <f>550000</f>
        <v>550000</v>
      </c>
      <c r="O12" s="50">
        <f t="shared" ref="O12:T12" si="1">300000</f>
        <v>300000</v>
      </c>
      <c r="P12" s="50">
        <f t="shared" si="1"/>
        <v>300000</v>
      </c>
      <c r="Q12" s="50">
        <f t="shared" si="1"/>
        <v>300000</v>
      </c>
      <c r="R12" s="50">
        <f t="shared" si="1"/>
        <v>300000</v>
      </c>
      <c r="S12" s="50">
        <f t="shared" si="1"/>
        <v>300000</v>
      </c>
      <c r="T12" s="50">
        <f t="shared" si="1"/>
        <v>300000</v>
      </c>
    </row>
    <row r="13" spans="1:21" ht="16.5" customHeight="1">
      <c r="A13" s="45" t="s">
        <v>23</v>
      </c>
      <c r="B13" s="64" t="s">
        <v>69</v>
      </c>
      <c r="C13" s="46">
        <f>427798.86</f>
        <v>427798.86</v>
      </c>
      <c r="D13" s="47">
        <f>4846510.38</f>
        <v>4846510.38</v>
      </c>
      <c r="E13" s="47">
        <f>6004000</f>
        <v>6004000</v>
      </c>
      <c r="F13" s="48">
        <f>4915457</f>
        <v>4915457</v>
      </c>
      <c r="G13" s="49">
        <f>6005000</f>
        <v>6005000</v>
      </c>
      <c r="H13" s="50">
        <f>1650000</f>
        <v>1650000</v>
      </c>
      <c r="I13" s="50">
        <f>270000</f>
        <v>270000</v>
      </c>
      <c r="J13" s="50">
        <f>300000</f>
        <v>300000</v>
      </c>
      <c r="K13" s="50">
        <f>120000</f>
        <v>120000</v>
      </c>
      <c r="L13" s="50">
        <f>40000</f>
        <v>40000</v>
      </c>
      <c r="M13" s="50">
        <f>50000</f>
        <v>50000</v>
      </c>
      <c r="N13" s="50">
        <f>250000</f>
        <v>250000</v>
      </c>
      <c r="O13" s="50">
        <f>0</f>
        <v>0</v>
      </c>
      <c r="P13" s="50">
        <f>0</f>
        <v>0</v>
      </c>
      <c r="Q13" s="50">
        <f>0</f>
        <v>0</v>
      </c>
      <c r="R13" s="50">
        <f>0</f>
        <v>0</v>
      </c>
      <c r="S13" s="50">
        <f>0</f>
        <v>0</v>
      </c>
      <c r="T13" s="50">
        <f>0</f>
        <v>0</v>
      </c>
    </row>
    <row r="14" spans="1:21" ht="30" customHeight="1">
      <c r="A14" s="45" t="s">
        <v>24</v>
      </c>
      <c r="B14" s="64" t="s">
        <v>70</v>
      </c>
      <c r="C14" s="46">
        <f>2276260</f>
        <v>2276260</v>
      </c>
      <c r="D14" s="47">
        <f>1823935.38</f>
        <v>1823935.38</v>
      </c>
      <c r="E14" s="47">
        <f>14946656</f>
        <v>14946656</v>
      </c>
      <c r="F14" s="48">
        <f>15209678</f>
        <v>15209678</v>
      </c>
      <c r="G14" s="49">
        <f>19939728</f>
        <v>19939728</v>
      </c>
      <c r="H14" s="50">
        <f>1557375</f>
        <v>1557375</v>
      </c>
      <c r="I14" s="50">
        <f>1000000</f>
        <v>1000000</v>
      </c>
      <c r="J14" s="50">
        <f>300000</f>
        <v>300000</v>
      </c>
      <c r="K14" s="50">
        <f t="shared" ref="K14:T14" si="2">300000</f>
        <v>300000</v>
      </c>
      <c r="L14" s="50">
        <f t="shared" si="2"/>
        <v>300000</v>
      </c>
      <c r="M14" s="50">
        <f t="shared" si="2"/>
        <v>300000</v>
      </c>
      <c r="N14" s="50">
        <f t="shared" si="2"/>
        <v>300000</v>
      </c>
      <c r="O14" s="50">
        <f t="shared" si="2"/>
        <v>300000</v>
      </c>
      <c r="P14" s="50">
        <f t="shared" si="2"/>
        <v>300000</v>
      </c>
      <c r="Q14" s="50">
        <f t="shared" si="2"/>
        <v>300000</v>
      </c>
      <c r="R14" s="50">
        <f t="shared" si="2"/>
        <v>300000</v>
      </c>
      <c r="S14" s="50">
        <f t="shared" si="2"/>
        <v>300000</v>
      </c>
      <c r="T14" s="50">
        <f t="shared" si="2"/>
        <v>300000</v>
      </c>
    </row>
    <row r="15" spans="1:21" ht="20.25" customHeight="1">
      <c r="A15" s="38">
        <v>2</v>
      </c>
      <c r="B15" s="39" t="s">
        <v>71</v>
      </c>
      <c r="C15" s="40">
        <f>110915351.35</f>
        <v>110915351.34999999</v>
      </c>
      <c r="D15" s="41">
        <f>115011965.36</f>
        <v>115011965.36</v>
      </c>
      <c r="E15" s="41">
        <f>139103394</f>
        <v>139103394</v>
      </c>
      <c r="F15" s="42">
        <f>139111516</f>
        <v>139111516</v>
      </c>
      <c r="G15" s="43">
        <f>157176682</f>
        <v>157176682</v>
      </c>
      <c r="H15" s="44">
        <f>125255139</f>
        <v>125255139</v>
      </c>
      <c r="I15" s="44">
        <f>128774414</f>
        <v>128774414</v>
      </c>
      <c r="J15" s="44">
        <f>132853115</f>
        <v>132853115</v>
      </c>
      <c r="K15" s="44">
        <f>137353944</f>
        <v>137353944</v>
      </c>
      <c r="L15" s="44">
        <f>142639350</f>
        <v>142639350</v>
      </c>
      <c r="M15" s="44">
        <f>147172673</f>
        <v>147172673</v>
      </c>
      <c r="N15" s="44">
        <f>151944828</f>
        <v>151944828</v>
      </c>
      <c r="O15" s="44">
        <f>156648433</f>
        <v>156648433</v>
      </c>
      <c r="P15" s="44">
        <f>161289838</f>
        <v>161289838</v>
      </c>
      <c r="Q15" s="44">
        <f>166065843</f>
        <v>166065843</v>
      </c>
      <c r="R15" s="44">
        <f>172210887</f>
        <v>172210887</v>
      </c>
      <c r="S15" s="44">
        <f>177514581</f>
        <v>177514581</v>
      </c>
      <c r="T15" s="44">
        <f>182166360</f>
        <v>182166360</v>
      </c>
      <c r="U15" s="81"/>
    </row>
    <row r="16" spans="1:21" ht="20.25" customHeight="1">
      <c r="A16" s="45" t="s">
        <v>72</v>
      </c>
      <c r="B16" s="64" t="s">
        <v>73</v>
      </c>
      <c r="C16" s="46">
        <f>104012514.5</f>
        <v>104012514.5</v>
      </c>
      <c r="D16" s="47">
        <f>106329765.59</f>
        <v>106329765.59</v>
      </c>
      <c r="E16" s="47">
        <f>108202522</f>
        <v>108202522</v>
      </c>
      <c r="F16" s="48">
        <f>107973862</f>
        <v>107973862</v>
      </c>
      <c r="G16" s="49">
        <f>117003053</f>
        <v>117003053</v>
      </c>
      <c r="H16" s="50">
        <f>119291210</f>
        <v>119291210</v>
      </c>
      <c r="I16" s="50">
        <f>122251137</f>
        <v>122251137</v>
      </c>
      <c r="J16" s="50">
        <f>124400640</f>
        <v>124400640</v>
      </c>
      <c r="K16" s="50">
        <f>127510656</f>
        <v>127510656</v>
      </c>
      <c r="L16" s="50">
        <f>130698422</f>
        <v>130698422</v>
      </c>
      <c r="M16" s="50">
        <f>133965883</f>
        <v>133965883</v>
      </c>
      <c r="N16" s="50">
        <f>137315030</f>
        <v>137315030</v>
      </c>
      <c r="O16" s="50">
        <f>140747906</f>
        <v>140747906</v>
      </c>
      <c r="P16" s="50">
        <f>144266604</f>
        <v>144266604</v>
      </c>
      <c r="Q16" s="50">
        <f>147873269</f>
        <v>147873269</v>
      </c>
      <c r="R16" s="50">
        <f>151570101</f>
        <v>151570101</v>
      </c>
      <c r="S16" s="50">
        <f>155359354</f>
        <v>155359354</v>
      </c>
      <c r="T16" s="50">
        <f>159243338</f>
        <v>159243338</v>
      </c>
    </row>
    <row r="17" spans="1:21" ht="20.25" customHeight="1">
      <c r="A17" s="45" t="s">
        <v>74</v>
      </c>
      <c r="B17" s="64" t="s">
        <v>75</v>
      </c>
      <c r="C17" s="46">
        <f>0</f>
        <v>0</v>
      </c>
      <c r="D17" s="47">
        <f>0</f>
        <v>0</v>
      </c>
      <c r="E17" s="47">
        <f>488188</f>
        <v>488188</v>
      </c>
      <c r="F17" s="48">
        <f>438188</f>
        <v>438188</v>
      </c>
      <c r="G17" s="49">
        <f>482801</f>
        <v>482801</v>
      </c>
      <c r="H17" s="50">
        <f>2853098</f>
        <v>2853098</v>
      </c>
      <c r="I17" s="50">
        <f>2800000</f>
        <v>2800000</v>
      </c>
      <c r="J17" s="50">
        <f>2700000</f>
        <v>2700000</v>
      </c>
      <c r="K17" s="50">
        <f>2600000</f>
        <v>2600000</v>
      </c>
      <c r="L17" s="50">
        <f>2550000</f>
        <v>2550000</v>
      </c>
      <c r="M17" s="50">
        <f>0</f>
        <v>0</v>
      </c>
      <c r="N17" s="50">
        <f>0</f>
        <v>0</v>
      </c>
      <c r="O17" s="50">
        <f>0</f>
        <v>0</v>
      </c>
      <c r="P17" s="50">
        <f>0</f>
        <v>0</v>
      </c>
      <c r="Q17" s="50">
        <f>0</f>
        <v>0</v>
      </c>
      <c r="R17" s="50">
        <f>0</f>
        <v>0</v>
      </c>
      <c r="S17" s="50">
        <f>0</f>
        <v>0</v>
      </c>
      <c r="T17" s="50">
        <f>0</f>
        <v>0</v>
      </c>
    </row>
    <row r="18" spans="1:21" ht="39.75" customHeight="1">
      <c r="A18" s="45" t="s">
        <v>76</v>
      </c>
      <c r="B18" s="64" t="s">
        <v>77</v>
      </c>
      <c r="C18" s="46">
        <f>0</f>
        <v>0</v>
      </c>
      <c r="D18" s="47">
        <f>0</f>
        <v>0</v>
      </c>
      <c r="E18" s="47">
        <f>0</f>
        <v>0</v>
      </c>
      <c r="F18" s="48">
        <f>0</f>
        <v>0</v>
      </c>
      <c r="G18" s="49">
        <f>0</f>
        <v>0</v>
      </c>
      <c r="H18" s="50">
        <f>0</f>
        <v>0</v>
      </c>
      <c r="I18" s="50">
        <f>0</f>
        <v>0</v>
      </c>
      <c r="J18" s="50">
        <f>0</f>
        <v>0</v>
      </c>
      <c r="K18" s="50">
        <f>0</f>
        <v>0</v>
      </c>
      <c r="L18" s="50">
        <f>0</f>
        <v>0</v>
      </c>
      <c r="M18" s="50">
        <f>0</f>
        <v>0</v>
      </c>
      <c r="N18" s="50">
        <f>0</f>
        <v>0</v>
      </c>
      <c r="O18" s="50">
        <f>0</f>
        <v>0</v>
      </c>
      <c r="P18" s="50">
        <f>0</f>
        <v>0</v>
      </c>
      <c r="Q18" s="50">
        <f>0</f>
        <v>0</v>
      </c>
      <c r="R18" s="50">
        <f>0</f>
        <v>0</v>
      </c>
      <c r="S18" s="50">
        <f>0</f>
        <v>0</v>
      </c>
      <c r="T18" s="50">
        <f>0</f>
        <v>0</v>
      </c>
    </row>
    <row r="19" spans="1:21" ht="76.5" customHeight="1">
      <c r="A19" s="45" t="s">
        <v>78</v>
      </c>
      <c r="B19" s="64" t="s">
        <v>79</v>
      </c>
      <c r="C19" s="46">
        <f>2233504.87</f>
        <v>2233504.87</v>
      </c>
      <c r="D19" s="47">
        <f>0</f>
        <v>0</v>
      </c>
      <c r="E19" s="47">
        <f>0</f>
        <v>0</v>
      </c>
      <c r="F19" s="48">
        <f>0</f>
        <v>0</v>
      </c>
      <c r="G19" s="49">
        <f>0</f>
        <v>0</v>
      </c>
      <c r="H19" s="50">
        <f>0</f>
        <v>0</v>
      </c>
      <c r="I19" s="50">
        <f>0</f>
        <v>0</v>
      </c>
      <c r="J19" s="50">
        <f>0</f>
        <v>0</v>
      </c>
      <c r="K19" s="50">
        <f>0</f>
        <v>0</v>
      </c>
      <c r="L19" s="50">
        <f>0</f>
        <v>0</v>
      </c>
      <c r="M19" s="50">
        <f>0</f>
        <v>0</v>
      </c>
      <c r="N19" s="50">
        <f>0</f>
        <v>0</v>
      </c>
      <c r="O19" s="50">
        <f>0</f>
        <v>0</v>
      </c>
      <c r="P19" s="50">
        <f>0</f>
        <v>0</v>
      </c>
      <c r="Q19" s="50">
        <f>0</f>
        <v>0</v>
      </c>
      <c r="R19" s="50">
        <f>0</f>
        <v>0</v>
      </c>
      <c r="S19" s="50">
        <f>0</f>
        <v>0</v>
      </c>
      <c r="T19" s="50">
        <f>0</f>
        <v>0</v>
      </c>
    </row>
    <row r="20" spans="1:21" ht="16.5" customHeight="1">
      <c r="A20" s="45" t="s">
        <v>80</v>
      </c>
      <c r="B20" s="64" t="s">
        <v>81</v>
      </c>
      <c r="C20" s="46">
        <f>1296684.51</f>
        <v>1296684.51</v>
      </c>
      <c r="D20" s="47">
        <f>1276184.14</f>
        <v>1276184.1399999999</v>
      </c>
      <c r="E20" s="47">
        <f t="shared" ref="E20:G21" si="3">1300000</f>
        <v>1300000</v>
      </c>
      <c r="F20" s="48">
        <f t="shared" si="3"/>
        <v>1300000</v>
      </c>
      <c r="G20" s="49">
        <f t="shared" si="3"/>
        <v>1300000</v>
      </c>
      <c r="H20" s="50">
        <f>1450000</f>
        <v>1450000</v>
      </c>
      <c r="I20" s="50">
        <f>1300000</f>
        <v>1300000</v>
      </c>
      <c r="J20" s="50">
        <f>1200000</f>
        <v>1200000</v>
      </c>
      <c r="K20" s="50">
        <f>1100000</f>
        <v>1100000</v>
      </c>
      <c r="L20" s="50">
        <f>950000</f>
        <v>950000</v>
      </c>
      <c r="M20" s="50">
        <f>750000</f>
        <v>750000</v>
      </c>
      <c r="N20" s="50">
        <f>650000</f>
        <v>650000</v>
      </c>
      <c r="O20" s="50">
        <f>550000</f>
        <v>550000</v>
      </c>
      <c r="P20" s="50">
        <f>450000</f>
        <v>450000</v>
      </c>
      <c r="Q20" s="50">
        <f>350000</f>
        <v>350000</v>
      </c>
      <c r="R20" s="50">
        <f>250000</f>
        <v>250000</v>
      </c>
      <c r="S20" s="50">
        <f>150000</f>
        <v>150000</v>
      </c>
      <c r="T20" s="50">
        <f>80000</f>
        <v>80000</v>
      </c>
    </row>
    <row r="21" spans="1:21" ht="30.75" customHeight="1">
      <c r="A21" s="45" t="s">
        <v>82</v>
      </c>
      <c r="B21" s="64" t="s">
        <v>83</v>
      </c>
      <c r="C21" s="46">
        <f>1296684.51</f>
        <v>1296684.51</v>
      </c>
      <c r="D21" s="47">
        <f>1276184.14</f>
        <v>1276184.1399999999</v>
      </c>
      <c r="E21" s="47">
        <f t="shared" si="3"/>
        <v>1300000</v>
      </c>
      <c r="F21" s="48">
        <f t="shared" si="3"/>
        <v>1300000</v>
      </c>
      <c r="G21" s="49">
        <f t="shared" si="3"/>
        <v>1300000</v>
      </c>
      <c r="H21" s="50">
        <f>1450000</f>
        <v>1450000</v>
      </c>
      <c r="I21" s="50">
        <f>1300000</f>
        <v>1300000</v>
      </c>
      <c r="J21" s="50">
        <f>1200000</f>
        <v>1200000</v>
      </c>
      <c r="K21" s="50">
        <f>1100000</f>
        <v>1100000</v>
      </c>
      <c r="L21" s="50">
        <f>950000</f>
        <v>950000</v>
      </c>
      <c r="M21" s="50">
        <f>750000</f>
        <v>750000</v>
      </c>
      <c r="N21" s="50">
        <f>650000</f>
        <v>650000</v>
      </c>
      <c r="O21" s="50">
        <f>550000</f>
        <v>550000</v>
      </c>
      <c r="P21" s="50">
        <f>450000</f>
        <v>450000</v>
      </c>
      <c r="Q21" s="50">
        <f>350000</f>
        <v>350000</v>
      </c>
      <c r="R21" s="50">
        <f>250000</f>
        <v>250000</v>
      </c>
      <c r="S21" s="50">
        <f>150000</f>
        <v>150000</v>
      </c>
      <c r="T21" s="50">
        <f>80000</f>
        <v>80000</v>
      </c>
    </row>
    <row r="22" spans="1:21" ht="84">
      <c r="A22" s="45" t="s">
        <v>84</v>
      </c>
      <c r="B22" s="64" t="s">
        <v>85</v>
      </c>
      <c r="C22" s="46">
        <f>0</f>
        <v>0</v>
      </c>
      <c r="D22" s="47">
        <f>0</f>
        <v>0</v>
      </c>
      <c r="E22" s="47">
        <f>0</f>
        <v>0</v>
      </c>
      <c r="F22" s="48">
        <f>0</f>
        <v>0</v>
      </c>
      <c r="G22" s="49">
        <f>0</f>
        <v>0</v>
      </c>
      <c r="H22" s="50">
        <f>0</f>
        <v>0</v>
      </c>
      <c r="I22" s="50">
        <f>0</f>
        <v>0</v>
      </c>
      <c r="J22" s="50">
        <f>0</f>
        <v>0</v>
      </c>
      <c r="K22" s="50">
        <f>0</f>
        <v>0</v>
      </c>
      <c r="L22" s="50">
        <f>0</f>
        <v>0</v>
      </c>
      <c r="M22" s="50">
        <f>0</f>
        <v>0</v>
      </c>
      <c r="N22" s="50">
        <f>0</f>
        <v>0</v>
      </c>
      <c r="O22" s="50">
        <f>0</f>
        <v>0</v>
      </c>
      <c r="P22" s="50">
        <f>0</f>
        <v>0</v>
      </c>
      <c r="Q22" s="50">
        <f>0</f>
        <v>0</v>
      </c>
      <c r="R22" s="50">
        <f>0</f>
        <v>0</v>
      </c>
      <c r="S22" s="50">
        <f>0</f>
        <v>0</v>
      </c>
      <c r="T22" s="50">
        <f>0</f>
        <v>0</v>
      </c>
    </row>
    <row r="23" spans="1:21" ht="51.75" customHeight="1">
      <c r="A23" s="45" t="s">
        <v>86</v>
      </c>
      <c r="B23" s="64" t="s">
        <v>87</v>
      </c>
      <c r="C23" s="46">
        <f>0</f>
        <v>0</v>
      </c>
      <c r="D23" s="47">
        <f>0</f>
        <v>0</v>
      </c>
      <c r="E23" s="47">
        <f>0</f>
        <v>0</v>
      </c>
      <c r="F23" s="48">
        <f>0</f>
        <v>0</v>
      </c>
      <c r="G23" s="49">
        <f>0</f>
        <v>0</v>
      </c>
      <c r="H23" s="50">
        <f>0</f>
        <v>0</v>
      </c>
      <c r="I23" s="50">
        <f>0</f>
        <v>0</v>
      </c>
      <c r="J23" s="50">
        <f>0</f>
        <v>0</v>
      </c>
      <c r="K23" s="50">
        <f>0</f>
        <v>0</v>
      </c>
      <c r="L23" s="50">
        <f>0</f>
        <v>0</v>
      </c>
      <c r="M23" s="50">
        <f>0</f>
        <v>0</v>
      </c>
      <c r="N23" s="50">
        <f>0</f>
        <v>0</v>
      </c>
      <c r="O23" s="50">
        <f>0</f>
        <v>0</v>
      </c>
      <c r="P23" s="50">
        <f>0</f>
        <v>0</v>
      </c>
      <c r="Q23" s="50">
        <f>0</f>
        <v>0</v>
      </c>
      <c r="R23" s="50">
        <f>0</f>
        <v>0</v>
      </c>
      <c r="S23" s="50">
        <f>0</f>
        <v>0</v>
      </c>
      <c r="T23" s="50">
        <f>0</f>
        <v>0</v>
      </c>
    </row>
    <row r="24" spans="1:21" ht="17.25" customHeight="1">
      <c r="A24" s="45" t="s">
        <v>88</v>
      </c>
      <c r="B24" s="64" t="s">
        <v>89</v>
      </c>
      <c r="C24" s="46">
        <f>6902836.85</f>
        <v>6902836.8499999996</v>
      </c>
      <c r="D24" s="47">
        <f>8682199.77</f>
        <v>8682199.7699999996</v>
      </c>
      <c r="E24" s="47">
        <f>30900872</f>
        <v>30900872</v>
      </c>
      <c r="F24" s="48">
        <f>31137654</f>
        <v>31137654</v>
      </c>
      <c r="G24" s="49">
        <f>40173629</f>
        <v>40173629</v>
      </c>
      <c r="H24" s="50">
        <f>5963929</f>
        <v>5963929</v>
      </c>
      <c r="I24" s="50">
        <f>6523277</f>
        <v>6523277</v>
      </c>
      <c r="J24" s="50">
        <f>8452475</f>
        <v>8452475</v>
      </c>
      <c r="K24" s="50">
        <f>9843288</f>
        <v>9843288</v>
      </c>
      <c r="L24" s="50">
        <f>11940928</f>
        <v>11940928</v>
      </c>
      <c r="M24" s="50">
        <f>13206790</f>
        <v>13206790</v>
      </c>
      <c r="N24" s="50">
        <f>14629798</f>
        <v>14629798</v>
      </c>
      <c r="O24" s="50">
        <f>15900527</f>
        <v>15900527</v>
      </c>
      <c r="P24" s="50">
        <f>17023234</f>
        <v>17023234</v>
      </c>
      <c r="Q24" s="50">
        <f>18192574</f>
        <v>18192574</v>
      </c>
      <c r="R24" s="50">
        <f>20640786</f>
        <v>20640786</v>
      </c>
      <c r="S24" s="50">
        <f>22155227</f>
        <v>22155227</v>
      </c>
      <c r="T24" s="50">
        <f>22923022</f>
        <v>22923022</v>
      </c>
    </row>
    <row r="25" spans="1:21" ht="17.25" customHeight="1">
      <c r="A25" s="38">
        <v>3</v>
      </c>
      <c r="B25" s="39" t="s">
        <v>90</v>
      </c>
      <c r="C25" s="40">
        <f>2497259.53</f>
        <v>2497259.5299999998</v>
      </c>
      <c r="D25" s="41">
        <f>4019181.98</f>
        <v>4019181.98</v>
      </c>
      <c r="E25" s="41">
        <f>-2547592</f>
        <v>-2547592</v>
      </c>
      <c r="F25" s="42">
        <f>-2547592</f>
        <v>-2547592</v>
      </c>
      <c r="G25" s="43">
        <f>-8801266</f>
        <v>-8801266</v>
      </c>
      <c r="H25" s="44">
        <f>5788276</f>
        <v>5788276</v>
      </c>
      <c r="I25" s="44">
        <f>5164612</f>
        <v>5164612</v>
      </c>
      <c r="J25" s="44">
        <f>4342000</f>
        <v>4342000</v>
      </c>
      <c r="K25" s="44">
        <f>4442000</f>
        <v>4442000</v>
      </c>
      <c r="L25" s="44">
        <f>3742000</f>
        <v>3742000</v>
      </c>
      <c r="M25" s="44">
        <f>3892000</f>
        <v>3892000</v>
      </c>
      <c r="N25" s="44">
        <f>3992000</f>
        <v>3992000</v>
      </c>
      <c r="O25" s="44">
        <f>3700000</f>
        <v>3700000</v>
      </c>
      <c r="P25" s="44">
        <f>3700000</f>
        <v>3700000</v>
      </c>
      <c r="Q25" s="44">
        <f>3700000</f>
        <v>3700000</v>
      </c>
      <c r="R25" s="44">
        <f>2300000</f>
        <v>2300000</v>
      </c>
      <c r="S25" s="44">
        <f>1700000</f>
        <v>1700000</v>
      </c>
      <c r="T25" s="44">
        <f>1700000</f>
        <v>1700000</v>
      </c>
      <c r="U25" s="81"/>
    </row>
    <row r="26" spans="1:21" ht="17.25" customHeight="1">
      <c r="A26" s="38">
        <v>4</v>
      </c>
      <c r="B26" s="39" t="s">
        <v>91</v>
      </c>
      <c r="C26" s="40">
        <f>8236671.26</f>
        <v>8236671.2599999998</v>
      </c>
      <c r="D26" s="41">
        <f>7676749.94</f>
        <v>7676749.9400000004</v>
      </c>
      <c r="E26" s="41">
        <f>9724868</f>
        <v>9724868</v>
      </c>
      <c r="F26" s="42">
        <f>9724868</f>
        <v>9724868</v>
      </c>
      <c r="G26" s="43">
        <f>15362195</f>
        <v>15362195</v>
      </c>
      <c r="H26" s="44">
        <f>0</f>
        <v>0</v>
      </c>
      <c r="I26" s="44">
        <f>0</f>
        <v>0</v>
      </c>
      <c r="J26" s="44">
        <f>0</f>
        <v>0</v>
      </c>
      <c r="K26" s="44">
        <f>0</f>
        <v>0</v>
      </c>
      <c r="L26" s="44">
        <f>0</f>
        <v>0</v>
      </c>
      <c r="M26" s="44">
        <f>0</f>
        <v>0</v>
      </c>
      <c r="N26" s="44">
        <f>0</f>
        <v>0</v>
      </c>
      <c r="O26" s="44">
        <f>0</f>
        <v>0</v>
      </c>
      <c r="P26" s="44">
        <f>0</f>
        <v>0</v>
      </c>
      <c r="Q26" s="44">
        <f>0</f>
        <v>0</v>
      </c>
      <c r="R26" s="44">
        <f>0</f>
        <v>0</v>
      </c>
      <c r="S26" s="44">
        <f>0</f>
        <v>0</v>
      </c>
      <c r="T26" s="44">
        <f>0</f>
        <v>0</v>
      </c>
      <c r="U26" s="81"/>
    </row>
    <row r="27" spans="1:21" ht="17.25" customHeight="1">
      <c r="A27" s="45" t="s">
        <v>92</v>
      </c>
      <c r="B27" s="64" t="s">
        <v>93</v>
      </c>
      <c r="C27" s="46">
        <f>0</f>
        <v>0</v>
      </c>
      <c r="D27" s="47">
        <f>0</f>
        <v>0</v>
      </c>
      <c r="E27" s="47">
        <f>0</f>
        <v>0</v>
      </c>
      <c r="F27" s="48">
        <f>0</f>
        <v>0</v>
      </c>
      <c r="G27" s="49">
        <f>0</f>
        <v>0</v>
      </c>
      <c r="H27" s="50">
        <f>0</f>
        <v>0</v>
      </c>
      <c r="I27" s="50">
        <f>0</f>
        <v>0</v>
      </c>
      <c r="J27" s="50">
        <f>0</f>
        <v>0</v>
      </c>
      <c r="K27" s="50">
        <f>0</f>
        <v>0</v>
      </c>
      <c r="L27" s="50">
        <f>0</f>
        <v>0</v>
      </c>
      <c r="M27" s="50">
        <f>0</f>
        <v>0</v>
      </c>
      <c r="N27" s="50">
        <f>0</f>
        <v>0</v>
      </c>
      <c r="O27" s="50">
        <f>0</f>
        <v>0</v>
      </c>
      <c r="P27" s="50">
        <f>0</f>
        <v>0</v>
      </c>
      <c r="Q27" s="50">
        <f>0</f>
        <v>0</v>
      </c>
      <c r="R27" s="50">
        <f>0</f>
        <v>0</v>
      </c>
      <c r="S27" s="50">
        <f>0</f>
        <v>0</v>
      </c>
      <c r="T27" s="50">
        <f>0</f>
        <v>0</v>
      </c>
    </row>
    <row r="28" spans="1:21" ht="17.25" customHeight="1">
      <c r="A28" s="45" t="s">
        <v>94</v>
      </c>
      <c r="B28" s="64" t="s">
        <v>95</v>
      </c>
      <c r="C28" s="46">
        <f>0</f>
        <v>0</v>
      </c>
      <c r="D28" s="47">
        <f>0</f>
        <v>0</v>
      </c>
      <c r="E28" s="47">
        <f>0</f>
        <v>0</v>
      </c>
      <c r="F28" s="48">
        <f>0</f>
        <v>0</v>
      </c>
      <c r="G28" s="49">
        <f>0</f>
        <v>0</v>
      </c>
      <c r="H28" s="50">
        <f>0</f>
        <v>0</v>
      </c>
      <c r="I28" s="50">
        <f>0</f>
        <v>0</v>
      </c>
      <c r="J28" s="50">
        <f>0</f>
        <v>0</v>
      </c>
      <c r="K28" s="50">
        <f>0</f>
        <v>0</v>
      </c>
      <c r="L28" s="50">
        <f>0</f>
        <v>0</v>
      </c>
      <c r="M28" s="50">
        <f>0</f>
        <v>0</v>
      </c>
      <c r="N28" s="50">
        <f>0</f>
        <v>0</v>
      </c>
      <c r="O28" s="50">
        <f>0</f>
        <v>0</v>
      </c>
      <c r="P28" s="50">
        <f>0</f>
        <v>0</v>
      </c>
      <c r="Q28" s="50">
        <f>0</f>
        <v>0</v>
      </c>
      <c r="R28" s="50">
        <f>0</f>
        <v>0</v>
      </c>
      <c r="S28" s="50">
        <f>0</f>
        <v>0</v>
      </c>
      <c r="T28" s="50">
        <f>0</f>
        <v>0</v>
      </c>
    </row>
    <row r="29" spans="1:21" ht="29.25" customHeight="1">
      <c r="A29" s="45" t="s">
        <v>96</v>
      </c>
      <c r="B29" s="64" t="s">
        <v>97</v>
      </c>
      <c r="C29" s="46">
        <f>3276671.26</f>
        <v>3276671.26</v>
      </c>
      <c r="D29" s="47">
        <f>3476749.94</f>
        <v>3476749.94</v>
      </c>
      <c r="E29" s="47">
        <f>3524868</f>
        <v>3524868</v>
      </c>
      <c r="F29" s="48">
        <f>3524868</f>
        <v>3524868</v>
      </c>
      <c r="G29" s="49">
        <f>4412195</f>
        <v>4412195</v>
      </c>
      <c r="H29" s="50">
        <f>0</f>
        <v>0</v>
      </c>
      <c r="I29" s="50">
        <f>0</f>
        <v>0</v>
      </c>
      <c r="J29" s="50">
        <f>0</f>
        <v>0</v>
      </c>
      <c r="K29" s="50">
        <f>0</f>
        <v>0</v>
      </c>
      <c r="L29" s="50">
        <f>0</f>
        <v>0</v>
      </c>
      <c r="M29" s="50">
        <f>0</f>
        <v>0</v>
      </c>
      <c r="N29" s="50">
        <f>0</f>
        <v>0</v>
      </c>
      <c r="O29" s="50">
        <f>0</f>
        <v>0</v>
      </c>
      <c r="P29" s="50">
        <f>0</f>
        <v>0</v>
      </c>
      <c r="Q29" s="50">
        <f>0</f>
        <v>0</v>
      </c>
      <c r="R29" s="50">
        <f>0</f>
        <v>0</v>
      </c>
      <c r="S29" s="50">
        <f>0</f>
        <v>0</v>
      </c>
      <c r="T29" s="50">
        <f>0</f>
        <v>0</v>
      </c>
    </row>
    <row r="30" spans="1:21" ht="17.25" customHeight="1">
      <c r="A30" s="45" t="s">
        <v>98</v>
      </c>
      <c r="B30" s="64" t="s">
        <v>95</v>
      </c>
      <c r="C30" s="46">
        <f>0</f>
        <v>0</v>
      </c>
      <c r="D30" s="47">
        <f>0</f>
        <v>0</v>
      </c>
      <c r="E30" s="47">
        <f>0</f>
        <v>0</v>
      </c>
      <c r="F30" s="48">
        <f>0</f>
        <v>0</v>
      </c>
      <c r="G30" s="49">
        <f>0</f>
        <v>0</v>
      </c>
      <c r="H30" s="50">
        <f>0</f>
        <v>0</v>
      </c>
      <c r="I30" s="50">
        <f>0</f>
        <v>0</v>
      </c>
      <c r="J30" s="50">
        <f>0</f>
        <v>0</v>
      </c>
      <c r="K30" s="50">
        <f>0</f>
        <v>0</v>
      </c>
      <c r="L30" s="50">
        <f>0</f>
        <v>0</v>
      </c>
      <c r="M30" s="50">
        <f>0</f>
        <v>0</v>
      </c>
      <c r="N30" s="50">
        <f>0</f>
        <v>0</v>
      </c>
      <c r="O30" s="50">
        <f>0</f>
        <v>0</v>
      </c>
      <c r="P30" s="50">
        <f>0</f>
        <v>0</v>
      </c>
      <c r="Q30" s="50">
        <f>0</f>
        <v>0</v>
      </c>
      <c r="R30" s="50">
        <f>0</f>
        <v>0</v>
      </c>
      <c r="S30" s="50">
        <f>0</f>
        <v>0</v>
      </c>
      <c r="T30" s="50">
        <f>0</f>
        <v>0</v>
      </c>
    </row>
    <row r="31" spans="1:21" ht="17.25" customHeight="1">
      <c r="A31" s="45" t="s">
        <v>99</v>
      </c>
      <c r="B31" s="64" t="s">
        <v>100</v>
      </c>
      <c r="C31" s="46">
        <f>4960000</f>
        <v>4960000</v>
      </c>
      <c r="D31" s="47">
        <f>4200000</f>
        <v>4200000</v>
      </c>
      <c r="E31" s="47">
        <f>5700000</f>
        <v>5700000</v>
      </c>
      <c r="F31" s="48">
        <f>5700000</f>
        <v>5700000</v>
      </c>
      <c r="G31" s="49">
        <f>10950000</f>
        <v>10950000</v>
      </c>
      <c r="H31" s="50">
        <f>0</f>
        <v>0</v>
      </c>
      <c r="I31" s="50">
        <f>0</f>
        <v>0</v>
      </c>
      <c r="J31" s="50">
        <f>0</f>
        <v>0</v>
      </c>
      <c r="K31" s="50">
        <f>0</f>
        <v>0</v>
      </c>
      <c r="L31" s="50">
        <f>0</f>
        <v>0</v>
      </c>
      <c r="M31" s="50">
        <f>0</f>
        <v>0</v>
      </c>
      <c r="N31" s="50">
        <f>0</f>
        <v>0</v>
      </c>
      <c r="O31" s="50">
        <f>0</f>
        <v>0</v>
      </c>
      <c r="P31" s="50">
        <f>0</f>
        <v>0</v>
      </c>
      <c r="Q31" s="50">
        <f>0</f>
        <v>0</v>
      </c>
      <c r="R31" s="50">
        <f>0</f>
        <v>0</v>
      </c>
      <c r="S31" s="50">
        <f>0</f>
        <v>0</v>
      </c>
      <c r="T31" s="50">
        <f>0</f>
        <v>0</v>
      </c>
    </row>
    <row r="32" spans="1:21" ht="17.25" customHeight="1">
      <c r="A32" s="45" t="s">
        <v>101</v>
      </c>
      <c r="B32" s="64" t="s">
        <v>95</v>
      </c>
      <c r="C32" s="46">
        <f>0</f>
        <v>0</v>
      </c>
      <c r="D32" s="47">
        <f>0</f>
        <v>0</v>
      </c>
      <c r="E32" s="47">
        <f>2547592</f>
        <v>2547592</v>
      </c>
      <c r="F32" s="48">
        <f>2547592</f>
        <v>2547592</v>
      </c>
      <c r="G32" s="49">
        <f>8801266</f>
        <v>8801266</v>
      </c>
      <c r="H32" s="50">
        <f>0</f>
        <v>0</v>
      </c>
      <c r="I32" s="50">
        <f>0</f>
        <v>0</v>
      </c>
      <c r="J32" s="50">
        <f>0</f>
        <v>0</v>
      </c>
      <c r="K32" s="50">
        <f>0</f>
        <v>0</v>
      </c>
      <c r="L32" s="50">
        <f>0</f>
        <v>0</v>
      </c>
      <c r="M32" s="50">
        <f>0</f>
        <v>0</v>
      </c>
      <c r="N32" s="50">
        <f>0</f>
        <v>0</v>
      </c>
      <c r="O32" s="50">
        <f>0</f>
        <v>0</v>
      </c>
      <c r="P32" s="50">
        <f>0</f>
        <v>0</v>
      </c>
      <c r="Q32" s="50">
        <f>0</f>
        <v>0</v>
      </c>
      <c r="R32" s="50">
        <f>0</f>
        <v>0</v>
      </c>
      <c r="S32" s="50">
        <f>0</f>
        <v>0</v>
      </c>
      <c r="T32" s="50">
        <f>0</f>
        <v>0</v>
      </c>
    </row>
    <row r="33" spans="1:21" ht="17.25" customHeight="1">
      <c r="A33" s="45" t="s">
        <v>102</v>
      </c>
      <c r="B33" s="64" t="s">
        <v>103</v>
      </c>
      <c r="C33" s="46">
        <f>0</f>
        <v>0</v>
      </c>
      <c r="D33" s="47">
        <f>0</f>
        <v>0</v>
      </c>
      <c r="E33" s="47">
        <f>500000</f>
        <v>500000</v>
      </c>
      <c r="F33" s="48">
        <f>500000</f>
        <v>500000</v>
      </c>
      <c r="G33" s="49">
        <f>0</f>
        <v>0</v>
      </c>
      <c r="H33" s="50">
        <f>0</f>
        <v>0</v>
      </c>
      <c r="I33" s="50">
        <f>0</f>
        <v>0</v>
      </c>
      <c r="J33" s="50">
        <f>0</f>
        <v>0</v>
      </c>
      <c r="K33" s="50">
        <f>0</f>
        <v>0</v>
      </c>
      <c r="L33" s="50">
        <f>0</f>
        <v>0</v>
      </c>
      <c r="M33" s="50">
        <f>0</f>
        <v>0</v>
      </c>
      <c r="N33" s="50">
        <f>0</f>
        <v>0</v>
      </c>
      <c r="O33" s="50">
        <f>0</f>
        <v>0</v>
      </c>
      <c r="P33" s="50">
        <f>0</f>
        <v>0</v>
      </c>
      <c r="Q33" s="50">
        <f>0</f>
        <v>0</v>
      </c>
      <c r="R33" s="50">
        <f>0</f>
        <v>0</v>
      </c>
      <c r="S33" s="50">
        <f>0</f>
        <v>0</v>
      </c>
      <c r="T33" s="50">
        <f>0</f>
        <v>0</v>
      </c>
    </row>
    <row r="34" spans="1:21" ht="17.25" customHeight="1">
      <c r="A34" s="45" t="s">
        <v>104</v>
      </c>
      <c r="B34" s="64" t="s">
        <v>95</v>
      </c>
      <c r="C34" s="46">
        <f>0</f>
        <v>0</v>
      </c>
      <c r="D34" s="47">
        <f>0</f>
        <v>0</v>
      </c>
      <c r="E34" s="47">
        <f>0</f>
        <v>0</v>
      </c>
      <c r="F34" s="48">
        <f>0</f>
        <v>0</v>
      </c>
      <c r="G34" s="49">
        <f>0</f>
        <v>0</v>
      </c>
      <c r="H34" s="50">
        <f>0</f>
        <v>0</v>
      </c>
      <c r="I34" s="50">
        <f>0</f>
        <v>0</v>
      </c>
      <c r="J34" s="50">
        <f>0</f>
        <v>0</v>
      </c>
      <c r="K34" s="50">
        <f>0</f>
        <v>0</v>
      </c>
      <c r="L34" s="50">
        <f>0</f>
        <v>0</v>
      </c>
      <c r="M34" s="50">
        <f>0</f>
        <v>0</v>
      </c>
      <c r="N34" s="50">
        <f>0</f>
        <v>0</v>
      </c>
      <c r="O34" s="50">
        <f>0</f>
        <v>0</v>
      </c>
      <c r="P34" s="50">
        <f>0</f>
        <v>0</v>
      </c>
      <c r="Q34" s="50">
        <f>0</f>
        <v>0</v>
      </c>
      <c r="R34" s="50">
        <f>0</f>
        <v>0</v>
      </c>
      <c r="S34" s="50">
        <f>0</f>
        <v>0</v>
      </c>
      <c r="T34" s="50">
        <f>0</f>
        <v>0</v>
      </c>
    </row>
    <row r="35" spans="1:21" ht="17.25" customHeight="1">
      <c r="A35" s="38">
        <v>5</v>
      </c>
      <c r="B35" s="39" t="s">
        <v>105</v>
      </c>
      <c r="C35" s="40">
        <f>7257180.85</f>
        <v>7257180.8499999996</v>
      </c>
      <c r="D35" s="41">
        <f>7229323</f>
        <v>7229323</v>
      </c>
      <c r="E35" s="41">
        <f>7177276</f>
        <v>7177276</v>
      </c>
      <c r="F35" s="42">
        <f>7177276</f>
        <v>7177276</v>
      </c>
      <c r="G35" s="43">
        <f>6560929</f>
        <v>6560929</v>
      </c>
      <c r="H35" s="44">
        <f>5788276</f>
        <v>5788276</v>
      </c>
      <c r="I35" s="44">
        <f>5164612</f>
        <v>5164612</v>
      </c>
      <c r="J35" s="44">
        <f>4342000</f>
        <v>4342000</v>
      </c>
      <c r="K35" s="44">
        <f>4442000</f>
        <v>4442000</v>
      </c>
      <c r="L35" s="44">
        <f>3742000</f>
        <v>3742000</v>
      </c>
      <c r="M35" s="44">
        <f>3892000</f>
        <v>3892000</v>
      </c>
      <c r="N35" s="44">
        <f>3992000</f>
        <v>3992000</v>
      </c>
      <c r="O35" s="44">
        <f t="shared" ref="O35:Q36" si="4">3700000</f>
        <v>3700000</v>
      </c>
      <c r="P35" s="44">
        <f t="shared" si="4"/>
        <v>3700000</v>
      </c>
      <c r="Q35" s="44">
        <f t="shared" si="4"/>
        <v>3700000</v>
      </c>
      <c r="R35" s="44">
        <f>2300000</f>
        <v>2300000</v>
      </c>
      <c r="S35" s="44">
        <f>1700000</f>
        <v>1700000</v>
      </c>
      <c r="T35" s="44">
        <f>1700000</f>
        <v>1700000</v>
      </c>
      <c r="U35" s="81"/>
    </row>
    <row r="36" spans="1:21" ht="30.75" customHeight="1">
      <c r="A36" s="45" t="s">
        <v>106</v>
      </c>
      <c r="B36" s="64" t="s">
        <v>107</v>
      </c>
      <c r="C36" s="46">
        <f>7257180.85</f>
        <v>7257180.8499999996</v>
      </c>
      <c r="D36" s="47">
        <f>7229323</f>
        <v>7229323</v>
      </c>
      <c r="E36" s="47">
        <f>6677276</f>
        <v>6677276</v>
      </c>
      <c r="F36" s="48">
        <f>6677276</f>
        <v>6677276</v>
      </c>
      <c r="G36" s="49">
        <f>6560929</f>
        <v>6560929</v>
      </c>
      <c r="H36" s="50">
        <f>5788276</f>
        <v>5788276</v>
      </c>
      <c r="I36" s="50">
        <f>5164612</f>
        <v>5164612</v>
      </c>
      <c r="J36" s="50">
        <f>4342000</f>
        <v>4342000</v>
      </c>
      <c r="K36" s="50">
        <f>4442000</f>
        <v>4442000</v>
      </c>
      <c r="L36" s="50">
        <f>3742000</f>
        <v>3742000</v>
      </c>
      <c r="M36" s="50">
        <f>3892000</f>
        <v>3892000</v>
      </c>
      <c r="N36" s="50">
        <f>3992000</f>
        <v>3992000</v>
      </c>
      <c r="O36" s="50">
        <f t="shared" si="4"/>
        <v>3700000</v>
      </c>
      <c r="P36" s="50">
        <f t="shared" si="4"/>
        <v>3700000</v>
      </c>
      <c r="Q36" s="50">
        <f t="shared" si="4"/>
        <v>3700000</v>
      </c>
      <c r="R36" s="50">
        <f>2300000</f>
        <v>2300000</v>
      </c>
      <c r="S36" s="50">
        <f>1700000</f>
        <v>1700000</v>
      </c>
      <c r="T36" s="50">
        <f>1700000</f>
        <v>1700000</v>
      </c>
    </row>
    <row r="37" spans="1:21" ht="52.5" customHeight="1">
      <c r="A37" s="45" t="s">
        <v>108</v>
      </c>
      <c r="B37" s="64" t="s">
        <v>109</v>
      </c>
      <c r="C37" s="46">
        <f>2000000</f>
        <v>2000000</v>
      </c>
      <c r="D37" s="47">
        <f>2000000</f>
        <v>2000000</v>
      </c>
      <c r="E37" s="47">
        <f>2000000</f>
        <v>2000000</v>
      </c>
      <c r="F37" s="48">
        <f>2000000</f>
        <v>2000000</v>
      </c>
      <c r="G37" s="49">
        <f>2000000</f>
        <v>2000000</v>
      </c>
      <c r="H37" s="50">
        <f>0</f>
        <v>0</v>
      </c>
      <c r="I37" s="50">
        <f>0</f>
        <v>0</v>
      </c>
      <c r="J37" s="50">
        <f>0</f>
        <v>0</v>
      </c>
      <c r="K37" s="50">
        <f>0</f>
        <v>0</v>
      </c>
      <c r="L37" s="50">
        <f>0</f>
        <v>0</v>
      </c>
      <c r="M37" s="50">
        <f>0</f>
        <v>0</v>
      </c>
      <c r="N37" s="50">
        <f>0</f>
        <v>0</v>
      </c>
      <c r="O37" s="50">
        <f>0</f>
        <v>0</v>
      </c>
      <c r="P37" s="50">
        <f>0</f>
        <v>0</v>
      </c>
      <c r="Q37" s="50">
        <f>0</f>
        <v>0</v>
      </c>
      <c r="R37" s="50">
        <f>0</f>
        <v>0</v>
      </c>
      <c r="S37" s="50">
        <f>0</f>
        <v>0</v>
      </c>
      <c r="T37" s="50">
        <f>0</f>
        <v>0</v>
      </c>
    </row>
    <row r="38" spans="1:21" ht="36">
      <c r="A38" s="45" t="s">
        <v>110</v>
      </c>
      <c r="B38" s="64" t="s">
        <v>111</v>
      </c>
      <c r="C38" s="46">
        <f>0</f>
        <v>0</v>
      </c>
      <c r="D38" s="47">
        <f>0</f>
        <v>0</v>
      </c>
      <c r="E38" s="47">
        <f>0</f>
        <v>0</v>
      </c>
      <c r="F38" s="48">
        <f>0</f>
        <v>0</v>
      </c>
      <c r="G38" s="49">
        <f>0</f>
        <v>0</v>
      </c>
      <c r="H38" s="50">
        <f>0</f>
        <v>0</v>
      </c>
      <c r="I38" s="50">
        <f>0</f>
        <v>0</v>
      </c>
      <c r="J38" s="50">
        <f>0</f>
        <v>0</v>
      </c>
      <c r="K38" s="50">
        <f>0</f>
        <v>0</v>
      </c>
      <c r="L38" s="50">
        <f>0</f>
        <v>0</v>
      </c>
      <c r="M38" s="50">
        <f>0</f>
        <v>0</v>
      </c>
      <c r="N38" s="50">
        <f>0</f>
        <v>0</v>
      </c>
      <c r="O38" s="50">
        <f>0</f>
        <v>0</v>
      </c>
      <c r="P38" s="50">
        <f>0</f>
        <v>0</v>
      </c>
      <c r="Q38" s="50">
        <f>0</f>
        <v>0</v>
      </c>
      <c r="R38" s="50">
        <f>0</f>
        <v>0</v>
      </c>
      <c r="S38" s="50">
        <f>0</f>
        <v>0</v>
      </c>
      <c r="T38" s="50">
        <f>0</f>
        <v>0</v>
      </c>
    </row>
    <row r="39" spans="1:21" ht="36">
      <c r="A39" s="45" t="s">
        <v>112</v>
      </c>
      <c r="B39" s="64" t="s">
        <v>113</v>
      </c>
      <c r="C39" s="46">
        <f>0</f>
        <v>0</v>
      </c>
      <c r="D39" s="47">
        <f>0</f>
        <v>0</v>
      </c>
      <c r="E39" s="47">
        <f>0</f>
        <v>0</v>
      </c>
      <c r="F39" s="48">
        <f>0</f>
        <v>0</v>
      </c>
      <c r="G39" s="49">
        <f>0</f>
        <v>0</v>
      </c>
      <c r="H39" s="50">
        <f>0</f>
        <v>0</v>
      </c>
      <c r="I39" s="50">
        <f>0</f>
        <v>0</v>
      </c>
      <c r="J39" s="50">
        <f>0</f>
        <v>0</v>
      </c>
      <c r="K39" s="50">
        <f>0</f>
        <v>0</v>
      </c>
      <c r="L39" s="50">
        <f>0</f>
        <v>0</v>
      </c>
      <c r="M39" s="50">
        <f>0</f>
        <v>0</v>
      </c>
      <c r="N39" s="50">
        <f>0</f>
        <v>0</v>
      </c>
      <c r="O39" s="50">
        <f>0</f>
        <v>0</v>
      </c>
      <c r="P39" s="50">
        <f>0</f>
        <v>0</v>
      </c>
      <c r="Q39" s="50">
        <f>0</f>
        <v>0</v>
      </c>
      <c r="R39" s="50">
        <f>0</f>
        <v>0</v>
      </c>
      <c r="S39" s="50">
        <f>0</f>
        <v>0</v>
      </c>
      <c r="T39" s="50">
        <f>0</f>
        <v>0</v>
      </c>
    </row>
    <row r="40" spans="1:21" ht="36">
      <c r="A40" s="45" t="s">
        <v>114</v>
      </c>
      <c r="B40" s="64" t="s">
        <v>115</v>
      </c>
      <c r="C40" s="46">
        <f>2000000</f>
        <v>2000000</v>
      </c>
      <c r="D40" s="47">
        <f>2000000</f>
        <v>2000000</v>
      </c>
      <c r="E40" s="47">
        <f>2000000</f>
        <v>2000000</v>
      </c>
      <c r="F40" s="48">
        <f>2000000</f>
        <v>2000000</v>
      </c>
      <c r="G40" s="49">
        <f>2000000</f>
        <v>2000000</v>
      </c>
      <c r="H40" s="50">
        <f>0</f>
        <v>0</v>
      </c>
      <c r="I40" s="50">
        <f>0</f>
        <v>0</v>
      </c>
      <c r="J40" s="50">
        <f>0</f>
        <v>0</v>
      </c>
      <c r="K40" s="50">
        <f>0</f>
        <v>0</v>
      </c>
      <c r="L40" s="50">
        <f>0</f>
        <v>0</v>
      </c>
      <c r="M40" s="50">
        <f>0</f>
        <v>0</v>
      </c>
      <c r="N40" s="50">
        <f>0</f>
        <v>0</v>
      </c>
      <c r="O40" s="50">
        <f>0</f>
        <v>0</v>
      </c>
      <c r="P40" s="50">
        <f>0</f>
        <v>0</v>
      </c>
      <c r="Q40" s="50">
        <f>0</f>
        <v>0</v>
      </c>
      <c r="R40" s="50">
        <f>0</f>
        <v>0</v>
      </c>
      <c r="S40" s="50">
        <f>0</f>
        <v>0</v>
      </c>
      <c r="T40" s="50">
        <f>0</f>
        <v>0</v>
      </c>
    </row>
    <row r="41" spans="1:21" ht="19.5" customHeight="1">
      <c r="A41" s="45" t="s">
        <v>116</v>
      </c>
      <c r="B41" s="64" t="s">
        <v>117</v>
      </c>
      <c r="C41" s="46">
        <f>0</f>
        <v>0</v>
      </c>
      <c r="D41" s="47">
        <f>0</f>
        <v>0</v>
      </c>
      <c r="E41" s="47">
        <f>500000</f>
        <v>500000</v>
      </c>
      <c r="F41" s="48">
        <f>500000</f>
        <v>500000</v>
      </c>
      <c r="G41" s="49">
        <f>0</f>
        <v>0</v>
      </c>
      <c r="H41" s="50">
        <f>0</f>
        <v>0</v>
      </c>
      <c r="I41" s="50">
        <f>0</f>
        <v>0</v>
      </c>
      <c r="J41" s="50">
        <f>0</f>
        <v>0</v>
      </c>
      <c r="K41" s="50">
        <f>0</f>
        <v>0</v>
      </c>
      <c r="L41" s="50">
        <f>0</f>
        <v>0</v>
      </c>
      <c r="M41" s="50">
        <f>0</f>
        <v>0</v>
      </c>
      <c r="N41" s="50">
        <f>0</f>
        <v>0</v>
      </c>
      <c r="O41" s="50">
        <f>0</f>
        <v>0</v>
      </c>
      <c r="P41" s="50">
        <f>0</f>
        <v>0</v>
      </c>
      <c r="Q41" s="50">
        <f>0</f>
        <v>0</v>
      </c>
      <c r="R41" s="50">
        <f>0</f>
        <v>0</v>
      </c>
      <c r="S41" s="50">
        <f>0</f>
        <v>0</v>
      </c>
      <c r="T41" s="50">
        <f>0</f>
        <v>0</v>
      </c>
    </row>
    <row r="42" spans="1:21" ht="19.5" customHeight="1">
      <c r="A42" s="38">
        <v>6</v>
      </c>
      <c r="B42" s="39" t="s">
        <v>118</v>
      </c>
      <c r="C42" s="40">
        <f>51708987.45</f>
        <v>51708987.450000003</v>
      </c>
      <c r="D42" s="41">
        <f>48024902.57</f>
        <v>48024902.57</v>
      </c>
      <c r="E42" s="41">
        <f>46392865</f>
        <v>46392865</v>
      </c>
      <c r="F42" s="42">
        <f>46392865</f>
        <v>46392865</v>
      </c>
      <c r="G42" s="43">
        <f>50127174</f>
        <v>50127174</v>
      </c>
      <c r="H42" s="44">
        <f>43684136</f>
        <v>43684136</v>
      </c>
      <c r="I42" s="44">
        <f>37864762</f>
        <v>37864762</v>
      </c>
      <c r="J42" s="44">
        <f>32868000</f>
        <v>32868000</v>
      </c>
      <c r="K42" s="44">
        <f>28426000</f>
        <v>28426000</v>
      </c>
      <c r="L42" s="44">
        <f>24684000</f>
        <v>24684000</v>
      </c>
      <c r="M42" s="44">
        <f>20792000</f>
        <v>20792000</v>
      </c>
      <c r="N42" s="44">
        <f>16800000</f>
        <v>16800000</v>
      </c>
      <c r="O42" s="44">
        <f>13100000</f>
        <v>13100000</v>
      </c>
      <c r="P42" s="44">
        <f>9400000</f>
        <v>9400000</v>
      </c>
      <c r="Q42" s="44">
        <f>5700000</f>
        <v>5700000</v>
      </c>
      <c r="R42" s="44">
        <f>3400000</f>
        <v>3400000</v>
      </c>
      <c r="S42" s="44">
        <f>1700000</f>
        <v>1700000</v>
      </c>
      <c r="T42" s="44">
        <f>0</f>
        <v>0</v>
      </c>
      <c r="U42" s="81"/>
    </row>
    <row r="43" spans="1:21" ht="66.75" customHeight="1">
      <c r="A43" s="38">
        <v>7</v>
      </c>
      <c r="B43" s="39" t="s">
        <v>119</v>
      </c>
      <c r="C43" s="40">
        <f>3928571.45</f>
        <v>3928571.45</v>
      </c>
      <c r="D43" s="41">
        <f>3273809.57</f>
        <v>3273809.57</v>
      </c>
      <c r="E43" s="41">
        <f>2619048</f>
        <v>2619048</v>
      </c>
      <c r="F43" s="42">
        <f>2619048</f>
        <v>2619048</v>
      </c>
      <c r="G43" s="43">
        <f>1964286</f>
        <v>1964286</v>
      </c>
      <c r="H43" s="44">
        <f>1309524</f>
        <v>1309524</v>
      </c>
      <c r="I43" s="44">
        <f>654762</f>
        <v>654762</v>
      </c>
      <c r="J43" s="44">
        <f>0</f>
        <v>0</v>
      </c>
      <c r="K43" s="44">
        <f>0</f>
        <v>0</v>
      </c>
      <c r="L43" s="44">
        <f>0</f>
        <v>0</v>
      </c>
      <c r="M43" s="44">
        <f>0</f>
        <v>0</v>
      </c>
      <c r="N43" s="44">
        <f>0</f>
        <v>0</v>
      </c>
      <c r="O43" s="44">
        <f>0</f>
        <v>0</v>
      </c>
      <c r="P43" s="44">
        <f>0</f>
        <v>0</v>
      </c>
      <c r="Q43" s="44">
        <f>0</f>
        <v>0</v>
      </c>
      <c r="R43" s="44">
        <f>0</f>
        <v>0</v>
      </c>
      <c r="S43" s="44">
        <f>0</f>
        <v>0</v>
      </c>
      <c r="T43" s="44">
        <f>0</f>
        <v>0</v>
      </c>
      <c r="U43" s="81"/>
    </row>
    <row r="44" spans="1:21" ht="28.5" customHeight="1">
      <c r="A44" s="38">
        <v>8</v>
      </c>
      <c r="B44" s="39" t="s">
        <v>120</v>
      </c>
      <c r="C44" s="51" t="s">
        <v>121</v>
      </c>
      <c r="D44" s="52" t="s">
        <v>121</v>
      </c>
      <c r="E44" s="52" t="s">
        <v>121</v>
      </c>
      <c r="F44" s="53" t="s">
        <v>121</v>
      </c>
      <c r="G44" s="54" t="s">
        <v>121</v>
      </c>
      <c r="H44" s="55" t="s">
        <v>121</v>
      </c>
      <c r="I44" s="55" t="s">
        <v>121</v>
      </c>
      <c r="J44" s="55" t="s">
        <v>121</v>
      </c>
      <c r="K44" s="55" t="s">
        <v>121</v>
      </c>
      <c r="L44" s="55" t="s">
        <v>121</v>
      </c>
      <c r="M44" s="55" t="s">
        <v>121</v>
      </c>
      <c r="N44" s="55" t="s">
        <v>121</v>
      </c>
      <c r="O44" s="55" t="s">
        <v>121</v>
      </c>
      <c r="P44" s="55" t="s">
        <v>121</v>
      </c>
      <c r="Q44" s="55" t="s">
        <v>121</v>
      </c>
      <c r="R44" s="55" t="s">
        <v>121</v>
      </c>
      <c r="S44" s="55" t="s">
        <v>121</v>
      </c>
      <c r="T44" s="55" t="s">
        <v>121</v>
      </c>
      <c r="U44" s="81"/>
    </row>
    <row r="45" spans="1:21" ht="31.5" customHeight="1">
      <c r="A45" s="45" t="s">
        <v>122</v>
      </c>
      <c r="B45" s="64" t="s">
        <v>123</v>
      </c>
      <c r="C45" s="46">
        <f>6689493.43</f>
        <v>6689493.4299999997</v>
      </c>
      <c r="D45" s="47">
        <f>6008937.14</f>
        <v>6008937.1399999997</v>
      </c>
      <c r="E45" s="47">
        <f>7309055</f>
        <v>7309055</v>
      </c>
      <c r="F45" s="48">
        <f>8371358</f>
        <v>8371358</v>
      </c>
      <c r="G45" s="49">
        <f>5422635</f>
        <v>5422635</v>
      </c>
      <c r="H45" s="50">
        <f>8544830</f>
        <v>8544830</v>
      </c>
      <c r="I45" s="50">
        <f>10417889</f>
        <v>10417889</v>
      </c>
      <c r="J45" s="50">
        <f>12194475</f>
        <v>12194475</v>
      </c>
      <c r="K45" s="50">
        <f>13865288</f>
        <v>13865288</v>
      </c>
      <c r="L45" s="50">
        <f>15342928</f>
        <v>15342928</v>
      </c>
      <c r="M45" s="50">
        <f>16748790</f>
        <v>16748790</v>
      </c>
      <c r="N45" s="50">
        <f>18071798</f>
        <v>18071798</v>
      </c>
      <c r="O45" s="50">
        <f>19300527</f>
        <v>19300527</v>
      </c>
      <c r="P45" s="50">
        <f>20423234</f>
        <v>20423234</v>
      </c>
      <c r="Q45" s="50">
        <f>21592574</f>
        <v>21592574</v>
      </c>
      <c r="R45" s="50">
        <f>22640786</f>
        <v>22640786</v>
      </c>
      <c r="S45" s="50">
        <f>23555227</f>
        <v>23555227</v>
      </c>
      <c r="T45" s="50">
        <f>24323022</f>
        <v>24323022</v>
      </c>
    </row>
    <row r="46" spans="1:21" ht="43.5" customHeight="1">
      <c r="A46" s="45" t="s">
        <v>124</v>
      </c>
      <c r="B46" s="64" t="s">
        <v>125</v>
      </c>
      <c r="C46" s="46">
        <f>12199669.56</f>
        <v>12199669.560000001</v>
      </c>
      <c r="D46" s="47">
        <f>9485687.08</f>
        <v>9485687.0800000001</v>
      </c>
      <c r="E46" s="47">
        <f>10833923</f>
        <v>10833923</v>
      </c>
      <c r="F46" s="48">
        <f>11896226</f>
        <v>11896226</v>
      </c>
      <c r="G46" s="49">
        <f>9834830</f>
        <v>9834830</v>
      </c>
      <c r="H46" s="50">
        <f>8544830</f>
        <v>8544830</v>
      </c>
      <c r="I46" s="50">
        <f>10417889</f>
        <v>10417889</v>
      </c>
      <c r="J46" s="50">
        <f>12194475</f>
        <v>12194475</v>
      </c>
      <c r="K46" s="50">
        <f>13865288</f>
        <v>13865288</v>
      </c>
      <c r="L46" s="50">
        <f>15342928</f>
        <v>15342928</v>
      </c>
      <c r="M46" s="50">
        <f>16748790</f>
        <v>16748790</v>
      </c>
      <c r="N46" s="50">
        <f>18071798</f>
        <v>18071798</v>
      </c>
      <c r="O46" s="50">
        <f>19300527</f>
        <v>19300527</v>
      </c>
      <c r="P46" s="50">
        <f>20423234</f>
        <v>20423234</v>
      </c>
      <c r="Q46" s="50">
        <f>21592574</f>
        <v>21592574</v>
      </c>
      <c r="R46" s="50">
        <f>22640786</f>
        <v>22640786</v>
      </c>
      <c r="S46" s="50">
        <f>23555227</f>
        <v>23555227</v>
      </c>
      <c r="T46" s="50">
        <f>24323022</f>
        <v>24323022</v>
      </c>
    </row>
    <row r="47" spans="1:21" ht="18" customHeight="1">
      <c r="A47" s="38">
        <v>9</v>
      </c>
      <c r="B47" s="39" t="s">
        <v>126</v>
      </c>
      <c r="C47" s="51" t="s">
        <v>121</v>
      </c>
      <c r="D47" s="52" t="s">
        <v>121</v>
      </c>
      <c r="E47" s="52" t="s">
        <v>121</v>
      </c>
      <c r="F47" s="53" t="s">
        <v>121</v>
      </c>
      <c r="G47" s="54" t="s">
        <v>121</v>
      </c>
      <c r="H47" s="55" t="s">
        <v>121</v>
      </c>
      <c r="I47" s="55" t="s">
        <v>121</v>
      </c>
      <c r="J47" s="55" t="s">
        <v>121</v>
      </c>
      <c r="K47" s="55" t="s">
        <v>121</v>
      </c>
      <c r="L47" s="55" t="s">
        <v>121</v>
      </c>
      <c r="M47" s="55" t="s">
        <v>121</v>
      </c>
      <c r="N47" s="55" t="s">
        <v>121</v>
      </c>
      <c r="O47" s="55" t="s">
        <v>121</v>
      </c>
      <c r="P47" s="55" t="s">
        <v>121</v>
      </c>
      <c r="Q47" s="55" t="s">
        <v>121</v>
      </c>
      <c r="R47" s="55" t="s">
        <v>121</v>
      </c>
      <c r="S47" s="55" t="s">
        <v>121</v>
      </c>
      <c r="T47" s="55" t="s">
        <v>121</v>
      </c>
      <c r="U47" s="81"/>
    </row>
    <row r="48" spans="1:21" ht="84">
      <c r="A48" s="45" t="s">
        <v>127</v>
      </c>
      <c r="B48" s="64" t="s">
        <v>128</v>
      </c>
      <c r="C48" s="56">
        <f>0.0754</f>
        <v>7.5399999999999995E-2</v>
      </c>
      <c r="D48" s="57">
        <f>0.0715</f>
        <v>7.1499999999999994E-2</v>
      </c>
      <c r="E48" s="57">
        <f>0.062</f>
        <v>6.2E-2</v>
      </c>
      <c r="F48" s="58">
        <f>0.0616</f>
        <v>6.1600000000000002E-2</v>
      </c>
      <c r="G48" s="59">
        <f>0.0562</f>
        <v>5.62E-2</v>
      </c>
      <c r="H48" s="60">
        <f>0.077</f>
        <v>7.6999999999999999E-2</v>
      </c>
      <c r="I48" s="60">
        <f>0.0692</f>
        <v>6.9199999999999998E-2</v>
      </c>
      <c r="J48" s="60">
        <f>0.0601</f>
        <v>6.0100000000000001E-2</v>
      </c>
      <c r="K48" s="60">
        <f>0.0574</f>
        <v>5.74E-2</v>
      </c>
      <c r="L48" s="60">
        <f>0.0495</f>
        <v>4.9500000000000002E-2</v>
      </c>
      <c r="M48" s="60">
        <f>0.0307</f>
        <v>3.0700000000000002E-2</v>
      </c>
      <c r="N48" s="60">
        <f>0.0298</f>
        <v>2.98E-2</v>
      </c>
      <c r="O48" s="60">
        <f>0.0265</f>
        <v>2.6499999999999999E-2</v>
      </c>
      <c r="P48" s="60">
        <f>0.0252</f>
        <v>2.52E-2</v>
      </c>
      <c r="Q48" s="60">
        <f>0.0239</f>
        <v>2.3900000000000001E-2</v>
      </c>
      <c r="R48" s="60">
        <f>0.0146</f>
        <v>1.46E-2</v>
      </c>
      <c r="S48" s="60">
        <f>0.0103</f>
        <v>1.03E-2</v>
      </c>
      <c r="T48" s="60">
        <f>0.0097</f>
        <v>9.7000000000000003E-3</v>
      </c>
    </row>
    <row r="49" spans="1:21" ht="84">
      <c r="A49" s="45" t="s">
        <v>129</v>
      </c>
      <c r="B49" s="64" t="s">
        <v>130</v>
      </c>
      <c r="C49" s="56">
        <f>0.0578</f>
        <v>5.7799999999999997E-2</v>
      </c>
      <c r="D49" s="57">
        <f>0.0547</f>
        <v>5.4699999999999999E-2</v>
      </c>
      <c r="E49" s="57">
        <f>0.0473</f>
        <v>4.7300000000000002E-2</v>
      </c>
      <c r="F49" s="58">
        <f>0.047</f>
        <v>4.7E-2</v>
      </c>
      <c r="G49" s="59">
        <f>0.0428</f>
        <v>4.2799999999999998E-2</v>
      </c>
      <c r="H49" s="60">
        <f>0.077</f>
        <v>7.6999999999999999E-2</v>
      </c>
      <c r="I49" s="60">
        <f>0.0692</f>
        <v>6.9199999999999998E-2</v>
      </c>
      <c r="J49" s="60">
        <f>0.0601</f>
        <v>6.0100000000000001E-2</v>
      </c>
      <c r="K49" s="60">
        <f>0.0574</f>
        <v>5.74E-2</v>
      </c>
      <c r="L49" s="60">
        <f>0.0495</f>
        <v>4.9500000000000002E-2</v>
      </c>
      <c r="M49" s="60">
        <f>0.0307</f>
        <v>3.0700000000000002E-2</v>
      </c>
      <c r="N49" s="60">
        <f>0.0298</f>
        <v>2.98E-2</v>
      </c>
      <c r="O49" s="60">
        <f>0.0265</f>
        <v>2.6499999999999999E-2</v>
      </c>
      <c r="P49" s="60">
        <f>0.0252</f>
        <v>2.52E-2</v>
      </c>
      <c r="Q49" s="60">
        <f>0.0239</f>
        <v>2.3900000000000001E-2</v>
      </c>
      <c r="R49" s="60">
        <f>0.0146</f>
        <v>1.46E-2</v>
      </c>
      <c r="S49" s="60">
        <f>0.0103</f>
        <v>1.03E-2</v>
      </c>
      <c r="T49" s="60">
        <f>0.0097</f>
        <v>9.7000000000000003E-3</v>
      </c>
    </row>
    <row r="50" spans="1:21" ht="60">
      <c r="A50" s="45" t="s">
        <v>131</v>
      </c>
      <c r="B50" s="64" t="s">
        <v>132</v>
      </c>
      <c r="C50" s="46">
        <f>0</f>
        <v>0</v>
      </c>
      <c r="D50" s="47">
        <f>0</f>
        <v>0</v>
      </c>
      <c r="E50" s="47">
        <f>0</f>
        <v>0</v>
      </c>
      <c r="F50" s="48">
        <f>0</f>
        <v>0</v>
      </c>
      <c r="G50" s="49">
        <f>0</f>
        <v>0</v>
      </c>
      <c r="H50" s="50">
        <f>0</f>
        <v>0</v>
      </c>
      <c r="I50" s="50">
        <f>0</f>
        <v>0</v>
      </c>
      <c r="J50" s="50">
        <f>0</f>
        <v>0</v>
      </c>
      <c r="K50" s="50">
        <f>0</f>
        <v>0</v>
      </c>
      <c r="L50" s="50">
        <f>0</f>
        <v>0</v>
      </c>
      <c r="M50" s="50">
        <f>0</f>
        <v>0</v>
      </c>
      <c r="N50" s="50">
        <f>0</f>
        <v>0</v>
      </c>
      <c r="O50" s="50">
        <f>0</f>
        <v>0</v>
      </c>
      <c r="P50" s="50">
        <f>0</f>
        <v>0</v>
      </c>
      <c r="Q50" s="50">
        <f>0</f>
        <v>0</v>
      </c>
      <c r="R50" s="50">
        <f>0</f>
        <v>0</v>
      </c>
      <c r="S50" s="50">
        <f>0</f>
        <v>0</v>
      </c>
      <c r="T50" s="50">
        <f>0</f>
        <v>0</v>
      </c>
    </row>
    <row r="51" spans="1:21" ht="84">
      <c r="A51" s="45" t="s">
        <v>133</v>
      </c>
      <c r="B51" s="64" t="s">
        <v>134</v>
      </c>
      <c r="C51" s="56">
        <f>0.0578</f>
        <v>5.7799999999999997E-2</v>
      </c>
      <c r="D51" s="57">
        <f>0.0547</f>
        <v>5.4699999999999999E-2</v>
      </c>
      <c r="E51" s="57">
        <f>0.0473</f>
        <v>4.7300000000000002E-2</v>
      </c>
      <c r="F51" s="58">
        <f>0.047</f>
        <v>4.7E-2</v>
      </c>
      <c r="G51" s="59">
        <f>0.0428</f>
        <v>4.2799999999999998E-2</v>
      </c>
      <c r="H51" s="60">
        <f>0.077</f>
        <v>7.6999999999999999E-2</v>
      </c>
      <c r="I51" s="60">
        <f>0.0692</f>
        <v>6.9199999999999998E-2</v>
      </c>
      <c r="J51" s="60">
        <f>0.0601</f>
        <v>6.0100000000000001E-2</v>
      </c>
      <c r="K51" s="60">
        <f>0.0574</f>
        <v>5.74E-2</v>
      </c>
      <c r="L51" s="60">
        <f>0.0495</f>
        <v>4.9500000000000002E-2</v>
      </c>
      <c r="M51" s="60">
        <f>0.0307</f>
        <v>3.0700000000000002E-2</v>
      </c>
      <c r="N51" s="60">
        <f>0.0298</f>
        <v>2.98E-2</v>
      </c>
      <c r="O51" s="60">
        <f>0.0265</f>
        <v>2.6499999999999999E-2</v>
      </c>
      <c r="P51" s="60">
        <f>0.0252</f>
        <v>2.52E-2</v>
      </c>
      <c r="Q51" s="60">
        <f>0.0239</f>
        <v>2.3900000000000001E-2</v>
      </c>
      <c r="R51" s="60">
        <f>0.0146</f>
        <v>1.46E-2</v>
      </c>
      <c r="S51" s="60">
        <f>0.0103</f>
        <v>1.03E-2</v>
      </c>
      <c r="T51" s="60">
        <f>0.0097</f>
        <v>9.7000000000000003E-3</v>
      </c>
    </row>
    <row r="52" spans="1:21" ht="60">
      <c r="A52" s="61" t="s">
        <v>135</v>
      </c>
      <c r="B52" s="65" t="s">
        <v>136</v>
      </c>
      <c r="C52" s="56">
        <f>0.0824</f>
        <v>8.2400000000000001E-2</v>
      </c>
      <c r="D52" s="57">
        <f>0.0912</f>
        <v>9.1200000000000003E-2</v>
      </c>
      <c r="E52" s="57">
        <f>0.0975</f>
        <v>9.7500000000000003E-2</v>
      </c>
      <c r="F52" s="58">
        <f>0.0973</f>
        <v>9.7299999999999998E-2</v>
      </c>
      <c r="G52" s="59">
        <f>0.077</f>
        <v>7.6999999999999999E-2</v>
      </c>
      <c r="H52" s="60">
        <f>0.0778</f>
        <v>7.7799999999999994E-2</v>
      </c>
      <c r="I52" s="60">
        <f>0.0798</f>
        <v>7.9799999999999996E-2</v>
      </c>
      <c r="J52" s="60">
        <f>0.0911</f>
        <v>9.11E-2</v>
      </c>
      <c r="K52" s="60">
        <f>0.0986</f>
        <v>9.8599999999999993E-2</v>
      </c>
      <c r="L52" s="60">
        <f>0.1051</f>
        <v>0.1051</v>
      </c>
      <c r="M52" s="60">
        <f>0.1112</f>
        <v>0.11119999999999999</v>
      </c>
      <c r="N52" s="60">
        <f>0.1175</f>
        <v>0.11749999999999999</v>
      </c>
      <c r="O52" s="60">
        <f>0.1204</f>
        <v>0.12039999999999999</v>
      </c>
      <c r="P52" s="60">
        <f>0.1238</f>
        <v>0.12379999999999999</v>
      </c>
      <c r="Q52" s="60">
        <f>0.1272</f>
        <v>0.12720000000000001</v>
      </c>
      <c r="R52" s="60">
        <f>0.1297</f>
        <v>0.12970000000000001</v>
      </c>
      <c r="S52" s="60">
        <f>0.1314</f>
        <v>0.13139999999999999</v>
      </c>
      <c r="T52" s="60">
        <f>0.1323</f>
        <v>0.1323</v>
      </c>
    </row>
    <row r="53" spans="1:21" ht="81" customHeight="1">
      <c r="A53" s="45" t="s">
        <v>137</v>
      </c>
      <c r="B53" s="64" t="s">
        <v>138</v>
      </c>
      <c r="C53" s="51" t="s">
        <v>121</v>
      </c>
      <c r="D53" s="52" t="s">
        <v>121</v>
      </c>
      <c r="E53" s="52" t="s">
        <v>121</v>
      </c>
      <c r="F53" s="53" t="s">
        <v>121</v>
      </c>
      <c r="G53" s="59">
        <f>0.0904</f>
        <v>9.0399999999999994E-2</v>
      </c>
      <c r="H53" s="60">
        <f>0.0886</f>
        <v>8.8599999999999998E-2</v>
      </c>
      <c r="I53" s="60">
        <f>0.0841</f>
        <v>8.4099999999999994E-2</v>
      </c>
      <c r="J53" s="60">
        <f>0.0782</f>
        <v>7.8200000000000006E-2</v>
      </c>
      <c r="K53" s="60">
        <f>0.0829</f>
        <v>8.2900000000000001E-2</v>
      </c>
      <c r="L53" s="60">
        <f>0.0898</f>
        <v>8.9800000000000005E-2</v>
      </c>
      <c r="M53" s="60">
        <f>0.0983</f>
        <v>9.8299999999999998E-2</v>
      </c>
      <c r="N53" s="60">
        <f>0.105</f>
        <v>0.105</v>
      </c>
      <c r="O53" s="60">
        <f>0.1113</f>
        <v>0.1113</v>
      </c>
      <c r="P53" s="60">
        <f>0.1164</f>
        <v>0.1164</v>
      </c>
      <c r="Q53" s="60">
        <f>0.1206</f>
        <v>0.1206</v>
      </c>
      <c r="R53" s="60">
        <f>0.1238</f>
        <v>0.12379999999999999</v>
      </c>
      <c r="S53" s="60">
        <f>0.1269</f>
        <v>0.12690000000000001</v>
      </c>
      <c r="T53" s="60">
        <f>0.1294</f>
        <v>0.12939999999999999</v>
      </c>
    </row>
    <row r="54" spans="1:21" ht="84" customHeight="1">
      <c r="A54" s="45" t="s">
        <v>139</v>
      </c>
      <c r="B54" s="64" t="s">
        <v>140</v>
      </c>
      <c r="C54" s="51" t="s">
        <v>121</v>
      </c>
      <c r="D54" s="52" t="s">
        <v>121</v>
      </c>
      <c r="E54" s="52" t="s">
        <v>121</v>
      </c>
      <c r="F54" s="53" t="s">
        <v>121</v>
      </c>
      <c r="G54" s="59">
        <f>0.0903</f>
        <v>9.0300000000000005E-2</v>
      </c>
      <c r="H54" s="60">
        <f>0.0885</f>
        <v>8.8499999999999995E-2</v>
      </c>
      <c r="I54" s="60">
        <f>0.084</f>
        <v>8.4000000000000005E-2</v>
      </c>
      <c r="J54" s="60">
        <f>0.0782</f>
        <v>7.8200000000000006E-2</v>
      </c>
      <c r="K54" s="60">
        <f>0.0829</f>
        <v>8.2900000000000001E-2</v>
      </c>
      <c r="L54" s="60">
        <f>0.0898</f>
        <v>8.9800000000000005E-2</v>
      </c>
      <c r="M54" s="60">
        <f>0.0983</f>
        <v>9.8299999999999998E-2</v>
      </c>
      <c r="N54" s="60">
        <f>0.105</f>
        <v>0.105</v>
      </c>
      <c r="O54" s="60">
        <f>0.1113</f>
        <v>0.1113</v>
      </c>
      <c r="P54" s="60">
        <f>0.1164</f>
        <v>0.1164</v>
      </c>
      <c r="Q54" s="60">
        <f>0.1206</f>
        <v>0.1206</v>
      </c>
      <c r="R54" s="60">
        <f>0.1238</f>
        <v>0.12379999999999999</v>
      </c>
      <c r="S54" s="60">
        <f>0.1269</f>
        <v>0.12690000000000001</v>
      </c>
      <c r="T54" s="60">
        <f>0.1294</f>
        <v>0.12939999999999999</v>
      </c>
    </row>
    <row r="55" spans="1:21" ht="95.25" customHeight="1">
      <c r="A55" s="45" t="s">
        <v>141</v>
      </c>
      <c r="B55" s="64" t="s">
        <v>142</v>
      </c>
      <c r="C55" s="51" t="s">
        <v>121</v>
      </c>
      <c r="D55" s="52" t="s">
        <v>121</v>
      </c>
      <c r="E55" s="52" t="s">
        <v>121</v>
      </c>
      <c r="F55" s="53" t="s">
        <v>121</v>
      </c>
      <c r="G55" s="62" t="str">
        <f>IF(G51&lt;=G53,"Spełniona","Nie spełniona")</f>
        <v>Spełniona</v>
      </c>
      <c r="H55" s="63" t="str">
        <f t="shared" ref="H55:T55" si="5">IF(H51&lt;=H53,"Spełniona","Nie spełniona")</f>
        <v>Spełniona</v>
      </c>
      <c r="I55" s="63" t="str">
        <f t="shared" si="5"/>
        <v>Spełniona</v>
      </c>
      <c r="J55" s="63" t="str">
        <f t="shared" si="5"/>
        <v>Spełniona</v>
      </c>
      <c r="K55" s="63" t="str">
        <f t="shared" si="5"/>
        <v>Spełniona</v>
      </c>
      <c r="L55" s="63" t="str">
        <f t="shared" si="5"/>
        <v>Spełniona</v>
      </c>
      <c r="M55" s="63" t="str">
        <f t="shared" si="5"/>
        <v>Spełniona</v>
      </c>
      <c r="N55" s="63" t="str">
        <f t="shared" si="5"/>
        <v>Spełniona</v>
      </c>
      <c r="O55" s="63" t="str">
        <f t="shared" si="5"/>
        <v>Spełniona</v>
      </c>
      <c r="P55" s="63" t="str">
        <f t="shared" si="5"/>
        <v>Spełniona</v>
      </c>
      <c r="Q55" s="63" t="str">
        <f t="shared" si="5"/>
        <v>Spełniona</v>
      </c>
      <c r="R55" s="63" t="str">
        <f t="shared" si="5"/>
        <v>Spełniona</v>
      </c>
      <c r="S55" s="63" t="str">
        <f t="shared" si="5"/>
        <v>Spełniona</v>
      </c>
      <c r="T55" s="63" t="str">
        <f t="shared" si="5"/>
        <v>Spełniona</v>
      </c>
    </row>
    <row r="56" spans="1:21" ht="93" customHeight="1">
      <c r="A56" s="45" t="s">
        <v>143</v>
      </c>
      <c r="B56" s="64" t="s">
        <v>144</v>
      </c>
      <c r="C56" s="51" t="s">
        <v>121</v>
      </c>
      <c r="D56" s="52" t="s">
        <v>121</v>
      </c>
      <c r="E56" s="52" t="s">
        <v>121</v>
      </c>
      <c r="F56" s="53" t="s">
        <v>121</v>
      </c>
      <c r="G56" s="62" t="str">
        <f>IF(G51&lt;=G54,"Spełniona","Nie spełniona")</f>
        <v>Spełniona</v>
      </c>
      <c r="H56" s="63" t="str">
        <f t="shared" ref="H56:T56" si="6">IF(H51&lt;=H54,"Spełniona","Nie spełniona")</f>
        <v>Spełniona</v>
      </c>
      <c r="I56" s="63" t="str">
        <f t="shared" si="6"/>
        <v>Spełniona</v>
      </c>
      <c r="J56" s="63" t="str">
        <f t="shared" si="6"/>
        <v>Spełniona</v>
      </c>
      <c r="K56" s="63" t="str">
        <f t="shared" si="6"/>
        <v>Spełniona</v>
      </c>
      <c r="L56" s="63" t="str">
        <f t="shared" si="6"/>
        <v>Spełniona</v>
      </c>
      <c r="M56" s="63" t="str">
        <f t="shared" si="6"/>
        <v>Spełniona</v>
      </c>
      <c r="N56" s="63" t="str">
        <f t="shared" si="6"/>
        <v>Spełniona</v>
      </c>
      <c r="O56" s="63" t="str">
        <f t="shared" si="6"/>
        <v>Spełniona</v>
      </c>
      <c r="P56" s="63" t="str">
        <f t="shared" si="6"/>
        <v>Spełniona</v>
      </c>
      <c r="Q56" s="63" t="str">
        <f t="shared" si="6"/>
        <v>Spełniona</v>
      </c>
      <c r="R56" s="63" t="str">
        <f t="shared" si="6"/>
        <v>Spełniona</v>
      </c>
      <c r="S56" s="63" t="str">
        <f t="shared" si="6"/>
        <v>Spełniona</v>
      </c>
      <c r="T56" s="63" t="str">
        <f t="shared" si="6"/>
        <v>Spełniona</v>
      </c>
    </row>
    <row r="57" spans="1:21" ht="29.25" customHeight="1">
      <c r="A57" s="38">
        <v>10</v>
      </c>
      <c r="B57" s="39" t="s">
        <v>145</v>
      </c>
      <c r="C57" s="40">
        <f>0</f>
        <v>0</v>
      </c>
      <c r="D57" s="41">
        <f>0</f>
        <v>0</v>
      </c>
      <c r="E57" s="41">
        <f>0</f>
        <v>0</v>
      </c>
      <c r="F57" s="42">
        <f>0</f>
        <v>0</v>
      </c>
      <c r="G57" s="43">
        <f>0</f>
        <v>0</v>
      </c>
      <c r="H57" s="44">
        <f>5788276</f>
        <v>5788276</v>
      </c>
      <c r="I57" s="44">
        <f>5164612</f>
        <v>5164612</v>
      </c>
      <c r="J57" s="44">
        <f>4342000</f>
        <v>4342000</v>
      </c>
      <c r="K57" s="44">
        <f>4442000</f>
        <v>4442000</v>
      </c>
      <c r="L57" s="44">
        <f>3742000</f>
        <v>3742000</v>
      </c>
      <c r="M57" s="44">
        <f>3892000</f>
        <v>3892000</v>
      </c>
      <c r="N57" s="44">
        <f>3992000</f>
        <v>3992000</v>
      </c>
      <c r="O57" s="44">
        <f t="shared" ref="O57:Q58" si="7">3700000</f>
        <v>3700000</v>
      </c>
      <c r="P57" s="44">
        <f t="shared" si="7"/>
        <v>3700000</v>
      </c>
      <c r="Q57" s="44">
        <f t="shared" si="7"/>
        <v>3700000</v>
      </c>
      <c r="R57" s="44">
        <f>2300000</f>
        <v>2300000</v>
      </c>
      <c r="S57" s="44">
        <f>1700000</f>
        <v>1700000</v>
      </c>
      <c r="T57" s="44">
        <f>1700000</f>
        <v>1700000</v>
      </c>
      <c r="U57" s="81"/>
    </row>
    <row r="58" spans="1:21" ht="29.25" customHeight="1">
      <c r="A58" s="45" t="s">
        <v>146</v>
      </c>
      <c r="B58" s="64" t="s">
        <v>147</v>
      </c>
      <c r="C58" s="46">
        <f>0</f>
        <v>0</v>
      </c>
      <c r="D58" s="47">
        <f>0</f>
        <v>0</v>
      </c>
      <c r="E58" s="47">
        <f>0</f>
        <v>0</v>
      </c>
      <c r="F58" s="48">
        <f>0</f>
        <v>0</v>
      </c>
      <c r="G58" s="49">
        <f>0</f>
        <v>0</v>
      </c>
      <c r="H58" s="50">
        <f>5788276</f>
        <v>5788276</v>
      </c>
      <c r="I58" s="50">
        <f>5164612</f>
        <v>5164612</v>
      </c>
      <c r="J58" s="50">
        <f>4342000</f>
        <v>4342000</v>
      </c>
      <c r="K58" s="50">
        <f>4442000</f>
        <v>4442000</v>
      </c>
      <c r="L58" s="50">
        <f>3742000</f>
        <v>3742000</v>
      </c>
      <c r="M58" s="50">
        <f>3892000</f>
        <v>3892000</v>
      </c>
      <c r="N58" s="50">
        <f>3992000</f>
        <v>3992000</v>
      </c>
      <c r="O58" s="50">
        <f t="shared" si="7"/>
        <v>3700000</v>
      </c>
      <c r="P58" s="50">
        <f t="shared" si="7"/>
        <v>3700000</v>
      </c>
      <c r="Q58" s="50">
        <f t="shared" si="7"/>
        <v>3700000</v>
      </c>
      <c r="R58" s="50">
        <f>2300000</f>
        <v>2300000</v>
      </c>
      <c r="S58" s="50">
        <f>1700000</f>
        <v>1700000</v>
      </c>
      <c r="T58" s="50">
        <f>1700000</f>
        <v>1700000</v>
      </c>
    </row>
    <row r="59" spans="1:21" ht="29.25" customHeight="1">
      <c r="A59" s="38">
        <v>11</v>
      </c>
      <c r="B59" s="39" t="s">
        <v>148</v>
      </c>
      <c r="C59" s="51" t="s">
        <v>121</v>
      </c>
      <c r="D59" s="52" t="s">
        <v>121</v>
      </c>
      <c r="E59" s="52" t="s">
        <v>121</v>
      </c>
      <c r="F59" s="53" t="s">
        <v>121</v>
      </c>
      <c r="G59" s="54" t="s">
        <v>121</v>
      </c>
      <c r="H59" s="55" t="s">
        <v>121</v>
      </c>
      <c r="I59" s="55" t="s">
        <v>121</v>
      </c>
      <c r="J59" s="55" t="s">
        <v>121</v>
      </c>
      <c r="K59" s="55" t="s">
        <v>121</v>
      </c>
      <c r="L59" s="55" t="s">
        <v>121</v>
      </c>
      <c r="M59" s="55" t="s">
        <v>121</v>
      </c>
      <c r="N59" s="55" t="s">
        <v>121</v>
      </c>
      <c r="O59" s="55" t="s">
        <v>121</v>
      </c>
      <c r="P59" s="55" t="s">
        <v>121</v>
      </c>
      <c r="Q59" s="55" t="s">
        <v>121</v>
      </c>
      <c r="R59" s="55" t="s">
        <v>121</v>
      </c>
      <c r="S59" s="55" t="s">
        <v>121</v>
      </c>
      <c r="T59" s="55" t="s">
        <v>121</v>
      </c>
      <c r="U59" s="81"/>
    </row>
    <row r="60" spans="1:21" ht="29.25" customHeight="1">
      <c r="A60" s="45" t="s">
        <v>149</v>
      </c>
      <c r="B60" s="64" t="s">
        <v>150</v>
      </c>
      <c r="C60" s="46">
        <f>65172879.09</f>
        <v>65172879.090000004</v>
      </c>
      <c r="D60" s="47">
        <f>64574748.58</f>
        <v>64574748.579999998</v>
      </c>
      <c r="E60" s="47">
        <f>67969509</f>
        <v>67969509</v>
      </c>
      <c r="F60" s="48">
        <f>68307770</f>
        <v>68307770</v>
      </c>
      <c r="G60" s="49">
        <f>73502995</f>
        <v>73502995</v>
      </c>
      <c r="H60" s="50">
        <f>74773570</f>
        <v>74773570</v>
      </c>
      <c r="I60" s="50">
        <f>76642909</f>
        <v>76642909</v>
      </c>
      <c r="J60" s="50">
        <f>78558982</f>
        <v>78558982</v>
      </c>
      <c r="K60" s="50">
        <f>80522957</f>
        <v>80522957</v>
      </c>
      <c r="L60" s="50">
        <f>82536031</f>
        <v>82536031</v>
      </c>
      <c r="M60" s="50">
        <f>84599432</f>
        <v>84599432</v>
      </c>
      <c r="N60" s="50">
        <f>86714418</f>
        <v>86714418</v>
      </c>
      <c r="O60" s="50">
        <f>88882278</f>
        <v>88882278</v>
      </c>
      <c r="P60" s="50">
        <f>91104335</f>
        <v>91104335</v>
      </c>
      <c r="Q60" s="50">
        <f>93381943</f>
        <v>93381943</v>
      </c>
      <c r="R60" s="50">
        <f>95716492</f>
        <v>95716492</v>
      </c>
      <c r="S60" s="50">
        <f>98109404</f>
        <v>98109404</v>
      </c>
      <c r="T60" s="50">
        <f>100562139</f>
        <v>100562139</v>
      </c>
    </row>
    <row r="61" spans="1:21" ht="29.25" customHeight="1">
      <c r="A61" s="45" t="s">
        <v>151</v>
      </c>
      <c r="B61" s="64" t="s">
        <v>152</v>
      </c>
      <c r="C61" s="46">
        <f>9963467.6</f>
        <v>9963467.5999999996</v>
      </c>
      <c r="D61" s="47">
        <f>9861886.2</f>
        <v>9861886.1999999993</v>
      </c>
      <c r="E61" s="47">
        <f>11210886</f>
        <v>11210886</v>
      </c>
      <c r="F61" s="48">
        <f>10919036</f>
        <v>10919036</v>
      </c>
      <c r="G61" s="49">
        <f>11871437</f>
        <v>11871437</v>
      </c>
      <c r="H61" s="50">
        <f>11942591</f>
        <v>11942591</v>
      </c>
      <c r="I61" s="50">
        <f>12241156</f>
        <v>12241156</v>
      </c>
      <c r="J61" s="50">
        <f>12547185</f>
        <v>12547185</v>
      </c>
      <c r="K61" s="50">
        <f>12860865</f>
        <v>12860865</v>
      </c>
      <c r="L61" s="50">
        <f>13182387</f>
        <v>13182387</v>
      </c>
      <c r="M61" s="50">
        <f>13511947</f>
        <v>13511947</v>
      </c>
      <c r="N61" s="50">
        <f>13849746</f>
        <v>13849746</v>
      </c>
      <c r="O61" s="50">
        <f>14195990</f>
        <v>14195990</v>
      </c>
      <c r="P61" s="50">
        <f>14550890</f>
        <v>14550890</v>
      </c>
      <c r="Q61" s="50">
        <f>14914662</f>
        <v>14914662</v>
      </c>
      <c r="R61" s="50">
        <f>15287529</f>
        <v>15287529</v>
      </c>
      <c r="S61" s="50">
        <f>15669717</f>
        <v>15669717</v>
      </c>
      <c r="T61" s="50">
        <f>16061460</f>
        <v>16061460</v>
      </c>
    </row>
    <row r="62" spans="1:21" ht="30.75" customHeight="1">
      <c r="A62" s="45" t="s">
        <v>153</v>
      </c>
      <c r="B62" s="64" t="s">
        <v>154</v>
      </c>
      <c r="C62" s="46">
        <f>2598399.8</f>
        <v>2598399.7999999998</v>
      </c>
      <c r="D62" s="47">
        <f>4693324.07</f>
        <v>4693324.07</v>
      </c>
      <c r="E62" s="47">
        <f>23776558</f>
        <v>23776558</v>
      </c>
      <c r="F62" s="48">
        <f>22572336</f>
        <v>22572336</v>
      </c>
      <c r="G62" s="49">
        <f>34580478</f>
        <v>34580478</v>
      </c>
      <c r="H62" s="50">
        <f>5709308</f>
        <v>5709308</v>
      </c>
      <c r="I62" s="50">
        <f>2459059</f>
        <v>2459059</v>
      </c>
      <c r="J62" s="50">
        <f>374400</f>
        <v>374400</v>
      </c>
      <c r="K62" s="50">
        <f>0</f>
        <v>0</v>
      </c>
      <c r="L62" s="50">
        <f>0</f>
        <v>0</v>
      </c>
      <c r="M62" s="50">
        <f>0</f>
        <v>0</v>
      </c>
      <c r="N62" s="50">
        <f>0</f>
        <v>0</v>
      </c>
      <c r="O62" s="50">
        <f>0</f>
        <v>0</v>
      </c>
      <c r="P62" s="50">
        <f>0</f>
        <v>0</v>
      </c>
      <c r="Q62" s="50">
        <f>0</f>
        <v>0</v>
      </c>
      <c r="R62" s="50">
        <f>0</f>
        <v>0</v>
      </c>
      <c r="S62" s="50">
        <f>0</f>
        <v>0</v>
      </c>
      <c r="T62" s="50">
        <f>0</f>
        <v>0</v>
      </c>
    </row>
    <row r="63" spans="1:21" ht="18" customHeight="1">
      <c r="A63" s="45" t="s">
        <v>155</v>
      </c>
      <c r="B63" s="64" t="s">
        <v>156</v>
      </c>
      <c r="C63" s="46">
        <f>1723051.81</f>
        <v>1723051.81</v>
      </c>
      <c r="D63" s="47">
        <f>860587.73</f>
        <v>860587.73</v>
      </c>
      <c r="E63" s="47">
        <f>1372496</f>
        <v>1372496</v>
      </c>
      <c r="F63" s="48">
        <f>1422056</f>
        <v>1422056</v>
      </c>
      <c r="G63" s="49">
        <f>2539849</f>
        <v>2539849</v>
      </c>
      <c r="H63" s="50">
        <f>1630201</f>
        <v>1630201</v>
      </c>
      <c r="I63" s="50">
        <f>1259059</f>
        <v>1259059</v>
      </c>
      <c r="J63" s="50">
        <f>374400</f>
        <v>374400</v>
      </c>
      <c r="K63" s="50">
        <f>0</f>
        <v>0</v>
      </c>
      <c r="L63" s="50">
        <f>0</f>
        <v>0</v>
      </c>
      <c r="M63" s="50">
        <f>0</f>
        <v>0</v>
      </c>
      <c r="N63" s="50">
        <f>0</f>
        <v>0</v>
      </c>
      <c r="O63" s="50">
        <f>0</f>
        <v>0</v>
      </c>
      <c r="P63" s="50">
        <f>0</f>
        <v>0</v>
      </c>
      <c r="Q63" s="50">
        <f>0</f>
        <v>0</v>
      </c>
      <c r="R63" s="50">
        <f>0</f>
        <v>0</v>
      </c>
      <c r="S63" s="50">
        <f>0</f>
        <v>0</v>
      </c>
      <c r="T63" s="50">
        <f>0</f>
        <v>0</v>
      </c>
    </row>
    <row r="64" spans="1:21" ht="18" customHeight="1">
      <c r="A64" s="45" t="s">
        <v>157</v>
      </c>
      <c r="B64" s="64" t="s">
        <v>158</v>
      </c>
      <c r="C64" s="46">
        <f>875347.99</f>
        <v>875347.99</v>
      </c>
      <c r="D64" s="47">
        <f>3832736.34</f>
        <v>3832736.34</v>
      </c>
      <c r="E64" s="47">
        <f>22404062</f>
        <v>22404062</v>
      </c>
      <c r="F64" s="48">
        <f>21150280</f>
        <v>21150280</v>
      </c>
      <c r="G64" s="49">
        <f>32040629</f>
        <v>32040629</v>
      </c>
      <c r="H64" s="50">
        <f>4079107</f>
        <v>4079107</v>
      </c>
      <c r="I64" s="50">
        <f>1200000</f>
        <v>1200000</v>
      </c>
      <c r="J64" s="50">
        <f>0</f>
        <v>0</v>
      </c>
      <c r="K64" s="50">
        <f>0</f>
        <v>0</v>
      </c>
      <c r="L64" s="50">
        <f>0</f>
        <v>0</v>
      </c>
      <c r="M64" s="50">
        <f>0</f>
        <v>0</v>
      </c>
      <c r="N64" s="50">
        <f>0</f>
        <v>0</v>
      </c>
      <c r="O64" s="50">
        <f>0</f>
        <v>0</v>
      </c>
      <c r="P64" s="50">
        <f>0</f>
        <v>0</v>
      </c>
      <c r="Q64" s="50">
        <f>0</f>
        <v>0</v>
      </c>
      <c r="R64" s="50">
        <f>0</f>
        <v>0</v>
      </c>
      <c r="S64" s="50">
        <f>0</f>
        <v>0</v>
      </c>
      <c r="T64" s="50">
        <f>0</f>
        <v>0</v>
      </c>
    </row>
    <row r="65" spans="1:21" ht="18" customHeight="1">
      <c r="A65" s="45" t="s">
        <v>159</v>
      </c>
      <c r="B65" s="64" t="s">
        <v>160</v>
      </c>
      <c r="C65" s="46">
        <f>754548.64</f>
        <v>754548.64</v>
      </c>
      <c r="D65" s="47">
        <f>3638806.34</f>
        <v>3638806.34</v>
      </c>
      <c r="E65" s="47">
        <f>19320326</f>
        <v>19320326</v>
      </c>
      <c r="F65" s="48">
        <f>18013794</f>
        <v>18013794</v>
      </c>
      <c r="G65" s="49">
        <f>31680810</f>
        <v>31680810</v>
      </c>
      <c r="H65" s="50">
        <f>4078045</f>
        <v>4078045</v>
      </c>
      <c r="I65" s="50">
        <f>1200000</f>
        <v>1200000</v>
      </c>
      <c r="J65" s="50">
        <f>0</f>
        <v>0</v>
      </c>
      <c r="K65" s="50">
        <f>0</f>
        <v>0</v>
      </c>
      <c r="L65" s="50">
        <f>0</f>
        <v>0</v>
      </c>
      <c r="M65" s="50">
        <f>0</f>
        <v>0</v>
      </c>
      <c r="N65" s="50">
        <f>0</f>
        <v>0</v>
      </c>
      <c r="O65" s="50">
        <f>0</f>
        <v>0</v>
      </c>
      <c r="P65" s="50">
        <f>0</f>
        <v>0</v>
      </c>
      <c r="Q65" s="50">
        <f>0</f>
        <v>0</v>
      </c>
      <c r="R65" s="50">
        <f>0</f>
        <v>0</v>
      </c>
      <c r="S65" s="50">
        <f>0</f>
        <v>0</v>
      </c>
      <c r="T65" s="50">
        <f>0</f>
        <v>0</v>
      </c>
    </row>
    <row r="66" spans="1:21" ht="18" customHeight="1">
      <c r="A66" s="45" t="s">
        <v>161</v>
      </c>
      <c r="B66" s="64" t="s">
        <v>162</v>
      </c>
      <c r="C66" s="46">
        <f>5975191.67</f>
        <v>5975191.6699999999</v>
      </c>
      <c r="D66" s="47">
        <f>4953899.43</f>
        <v>4953899.43</v>
      </c>
      <c r="E66" s="47">
        <f>8877262</f>
        <v>8877262</v>
      </c>
      <c r="F66" s="48">
        <f>10420576</f>
        <v>10420576</v>
      </c>
      <c r="G66" s="49">
        <f>6163000</f>
        <v>6163000</v>
      </c>
      <c r="H66" s="50">
        <f>1884822</f>
        <v>1884822</v>
      </c>
      <c r="I66" s="50">
        <f>5323277</f>
        <v>5323277</v>
      </c>
      <c r="J66" s="50">
        <f>8452475</f>
        <v>8452475</v>
      </c>
      <c r="K66" s="50">
        <f>9843288</f>
        <v>9843288</v>
      </c>
      <c r="L66" s="50">
        <f>11940928</f>
        <v>11940928</v>
      </c>
      <c r="M66" s="50">
        <f>13206790</f>
        <v>13206790</v>
      </c>
      <c r="N66" s="50">
        <f>14629798</f>
        <v>14629798</v>
      </c>
      <c r="O66" s="50">
        <f>15900527</f>
        <v>15900527</v>
      </c>
      <c r="P66" s="50">
        <f>17023234</f>
        <v>17023234</v>
      </c>
      <c r="Q66" s="50">
        <f>18192574</f>
        <v>18192574</v>
      </c>
      <c r="R66" s="50">
        <f>20640786</f>
        <v>20640786</v>
      </c>
      <c r="S66" s="50">
        <f>22155227</f>
        <v>22155227</v>
      </c>
      <c r="T66" s="50">
        <f>22923022</f>
        <v>22923022</v>
      </c>
    </row>
    <row r="67" spans="1:21" ht="18" customHeight="1">
      <c r="A67" s="45" t="s">
        <v>163</v>
      </c>
      <c r="B67" s="64" t="s">
        <v>164</v>
      </c>
      <c r="C67" s="46">
        <f>151426.54</f>
        <v>151426.54</v>
      </c>
      <c r="D67" s="47">
        <f>89494</f>
        <v>89494</v>
      </c>
      <c r="E67" s="47">
        <f>712834</f>
        <v>712834</v>
      </c>
      <c r="F67" s="48">
        <f>712834</f>
        <v>712834</v>
      </c>
      <c r="G67" s="49">
        <f>329819</f>
        <v>329819</v>
      </c>
      <c r="H67" s="50">
        <f>1062</f>
        <v>1062</v>
      </c>
      <c r="I67" s="50">
        <f>0</f>
        <v>0</v>
      </c>
      <c r="J67" s="50">
        <f>0</f>
        <v>0</v>
      </c>
      <c r="K67" s="50">
        <f>0</f>
        <v>0</v>
      </c>
      <c r="L67" s="50">
        <f>0</f>
        <v>0</v>
      </c>
      <c r="M67" s="50">
        <f>0</f>
        <v>0</v>
      </c>
      <c r="N67" s="50">
        <f>0</f>
        <v>0</v>
      </c>
      <c r="O67" s="50">
        <f>0</f>
        <v>0</v>
      </c>
      <c r="P67" s="50">
        <f>0</f>
        <v>0</v>
      </c>
      <c r="Q67" s="50">
        <f>0</f>
        <v>0</v>
      </c>
      <c r="R67" s="50">
        <f>0</f>
        <v>0</v>
      </c>
      <c r="S67" s="50">
        <f>0</f>
        <v>0</v>
      </c>
      <c r="T67" s="50">
        <f>0</f>
        <v>0</v>
      </c>
    </row>
    <row r="68" spans="1:21" ht="44.25" customHeight="1">
      <c r="A68" s="38">
        <v>12</v>
      </c>
      <c r="B68" s="39" t="s">
        <v>165</v>
      </c>
      <c r="C68" s="51" t="s">
        <v>121</v>
      </c>
      <c r="D68" s="52" t="s">
        <v>121</v>
      </c>
      <c r="E68" s="52" t="s">
        <v>121</v>
      </c>
      <c r="F68" s="53" t="s">
        <v>121</v>
      </c>
      <c r="G68" s="54" t="s">
        <v>121</v>
      </c>
      <c r="H68" s="55" t="s">
        <v>121</v>
      </c>
      <c r="I68" s="55" t="s">
        <v>121</v>
      </c>
      <c r="J68" s="55" t="s">
        <v>121</v>
      </c>
      <c r="K68" s="55" t="s">
        <v>121</v>
      </c>
      <c r="L68" s="55" t="s">
        <v>121</v>
      </c>
      <c r="M68" s="55" t="s">
        <v>121</v>
      </c>
      <c r="N68" s="55" t="s">
        <v>121</v>
      </c>
      <c r="O68" s="55" t="s">
        <v>121</v>
      </c>
      <c r="P68" s="55" t="s">
        <v>121</v>
      </c>
      <c r="Q68" s="55" t="s">
        <v>121</v>
      </c>
      <c r="R68" s="55" t="s">
        <v>121</v>
      </c>
      <c r="S68" s="55" t="s">
        <v>121</v>
      </c>
      <c r="T68" s="55" t="s">
        <v>121</v>
      </c>
      <c r="U68" s="81"/>
    </row>
    <row r="69" spans="1:21" ht="40.5" customHeight="1">
      <c r="A69" s="45" t="s">
        <v>166</v>
      </c>
      <c r="B69" s="64" t="s">
        <v>167</v>
      </c>
      <c r="C69" s="46">
        <f>1464674.96</f>
        <v>1464674.96</v>
      </c>
      <c r="D69" s="47">
        <f>1030177.5</f>
        <v>1030177.5</v>
      </c>
      <c r="E69" s="47">
        <f t="shared" ref="E69:F71" si="8">1195267</f>
        <v>1195267</v>
      </c>
      <c r="F69" s="48">
        <f t="shared" si="8"/>
        <v>1195267</v>
      </c>
      <c r="G69" s="49">
        <f>2106997</f>
        <v>2106997</v>
      </c>
      <c r="H69" s="50">
        <f>1183210</f>
        <v>1183210</v>
      </c>
      <c r="I69" s="50">
        <f>820459</f>
        <v>820459</v>
      </c>
      <c r="J69" s="50">
        <f>0</f>
        <v>0</v>
      </c>
      <c r="K69" s="50">
        <f>0</f>
        <v>0</v>
      </c>
      <c r="L69" s="50">
        <f>0</f>
        <v>0</v>
      </c>
      <c r="M69" s="50">
        <f>0</f>
        <v>0</v>
      </c>
      <c r="N69" s="50">
        <f>0</f>
        <v>0</v>
      </c>
      <c r="O69" s="50">
        <f>0</f>
        <v>0</v>
      </c>
      <c r="P69" s="50">
        <f>0</f>
        <v>0</v>
      </c>
      <c r="Q69" s="50">
        <f>0</f>
        <v>0</v>
      </c>
      <c r="R69" s="50">
        <f>0</f>
        <v>0</v>
      </c>
      <c r="S69" s="50">
        <f>0</f>
        <v>0</v>
      </c>
      <c r="T69" s="50">
        <f>0</f>
        <v>0</v>
      </c>
    </row>
    <row r="70" spans="1:21" ht="27" customHeight="1">
      <c r="A70" s="45" t="s">
        <v>168</v>
      </c>
      <c r="B70" s="66" t="s">
        <v>169</v>
      </c>
      <c r="C70" s="46">
        <f>1385887.31</f>
        <v>1385887.31</v>
      </c>
      <c r="D70" s="47">
        <f>1007962.48</f>
        <v>1007962.48</v>
      </c>
      <c r="E70" s="47">
        <f t="shared" si="8"/>
        <v>1195267</v>
      </c>
      <c r="F70" s="48">
        <f t="shared" si="8"/>
        <v>1195267</v>
      </c>
      <c r="G70" s="49">
        <f>1976621</f>
        <v>1976621</v>
      </c>
      <c r="H70" s="50">
        <f>1072017</f>
        <v>1072017</v>
      </c>
      <c r="I70" s="50">
        <f>708425</f>
        <v>708425</v>
      </c>
      <c r="J70" s="50">
        <f>0</f>
        <v>0</v>
      </c>
      <c r="K70" s="50">
        <f>0</f>
        <v>0</v>
      </c>
      <c r="L70" s="50">
        <f>0</f>
        <v>0</v>
      </c>
      <c r="M70" s="50">
        <f>0</f>
        <v>0</v>
      </c>
      <c r="N70" s="50">
        <f>0</f>
        <v>0</v>
      </c>
      <c r="O70" s="50">
        <f>0</f>
        <v>0</v>
      </c>
      <c r="P70" s="50">
        <f>0</f>
        <v>0</v>
      </c>
      <c r="Q70" s="50">
        <f>0</f>
        <v>0</v>
      </c>
      <c r="R70" s="50">
        <f>0</f>
        <v>0</v>
      </c>
      <c r="S70" s="50">
        <f>0</f>
        <v>0</v>
      </c>
      <c r="T70" s="50">
        <f>0</f>
        <v>0</v>
      </c>
    </row>
    <row r="71" spans="1:21" ht="42.75" customHeight="1">
      <c r="A71" s="45" t="s">
        <v>170</v>
      </c>
      <c r="B71" s="66" t="s">
        <v>171</v>
      </c>
      <c r="C71" s="46">
        <f>1385887.31</f>
        <v>1385887.31</v>
      </c>
      <c r="D71" s="47">
        <f>1007962.48</f>
        <v>1007962.48</v>
      </c>
      <c r="E71" s="47">
        <f t="shared" si="8"/>
        <v>1195267</v>
      </c>
      <c r="F71" s="48">
        <f t="shared" si="8"/>
        <v>1195267</v>
      </c>
      <c r="G71" s="49">
        <f>1152214</f>
        <v>1152214</v>
      </c>
      <c r="H71" s="50">
        <f>368911</f>
        <v>368911</v>
      </c>
      <c r="I71" s="50">
        <f>0</f>
        <v>0</v>
      </c>
      <c r="J71" s="50">
        <f>0</f>
        <v>0</v>
      </c>
      <c r="K71" s="50">
        <f>0</f>
        <v>0</v>
      </c>
      <c r="L71" s="50">
        <f>0</f>
        <v>0</v>
      </c>
      <c r="M71" s="50">
        <f>0</f>
        <v>0</v>
      </c>
      <c r="N71" s="50">
        <f>0</f>
        <v>0</v>
      </c>
      <c r="O71" s="50">
        <f>0</f>
        <v>0</v>
      </c>
      <c r="P71" s="50">
        <f>0</f>
        <v>0</v>
      </c>
      <c r="Q71" s="50">
        <f>0</f>
        <v>0</v>
      </c>
      <c r="R71" s="50">
        <f>0</f>
        <v>0</v>
      </c>
      <c r="S71" s="50">
        <f>0</f>
        <v>0</v>
      </c>
      <c r="T71" s="50">
        <f>0</f>
        <v>0</v>
      </c>
    </row>
    <row r="72" spans="1:21" ht="47.25" customHeight="1">
      <c r="A72" s="45" t="s">
        <v>172</v>
      </c>
      <c r="B72" s="64" t="s">
        <v>173</v>
      </c>
      <c r="C72" s="46">
        <f>0</f>
        <v>0</v>
      </c>
      <c r="D72" s="47">
        <f>0</f>
        <v>0</v>
      </c>
      <c r="E72" s="47">
        <f>940361</f>
        <v>940361</v>
      </c>
      <c r="F72" s="48">
        <f>940361</f>
        <v>940361</v>
      </c>
      <c r="G72" s="49">
        <f>0</f>
        <v>0</v>
      </c>
      <c r="H72" s="50">
        <f>0</f>
        <v>0</v>
      </c>
      <c r="I72" s="50">
        <f>0</f>
        <v>0</v>
      </c>
      <c r="J72" s="50">
        <f>0</f>
        <v>0</v>
      </c>
      <c r="K72" s="50">
        <f>0</f>
        <v>0</v>
      </c>
      <c r="L72" s="50">
        <f>0</f>
        <v>0</v>
      </c>
      <c r="M72" s="50">
        <f>0</f>
        <v>0</v>
      </c>
      <c r="N72" s="50">
        <f>0</f>
        <v>0</v>
      </c>
      <c r="O72" s="50">
        <f>0</f>
        <v>0</v>
      </c>
      <c r="P72" s="50">
        <f>0</f>
        <v>0</v>
      </c>
      <c r="Q72" s="50">
        <f>0</f>
        <v>0</v>
      </c>
      <c r="R72" s="50">
        <f>0</f>
        <v>0</v>
      </c>
      <c r="S72" s="50">
        <f>0</f>
        <v>0</v>
      </c>
      <c r="T72" s="50">
        <f>0</f>
        <v>0</v>
      </c>
    </row>
    <row r="73" spans="1:21" ht="24">
      <c r="A73" s="45" t="s">
        <v>174</v>
      </c>
      <c r="B73" s="66" t="s">
        <v>169</v>
      </c>
      <c r="C73" s="46">
        <f>0</f>
        <v>0</v>
      </c>
      <c r="D73" s="47">
        <f>0</f>
        <v>0</v>
      </c>
      <c r="E73" s="47">
        <f>676681</f>
        <v>676681</v>
      </c>
      <c r="F73" s="48">
        <f>676681</f>
        <v>676681</v>
      </c>
      <c r="G73" s="49">
        <f>0</f>
        <v>0</v>
      </c>
      <c r="H73" s="50">
        <f>0</f>
        <v>0</v>
      </c>
      <c r="I73" s="50">
        <f>0</f>
        <v>0</v>
      </c>
      <c r="J73" s="50">
        <f>0</f>
        <v>0</v>
      </c>
      <c r="K73" s="50">
        <f>0</f>
        <v>0</v>
      </c>
      <c r="L73" s="50">
        <f>0</f>
        <v>0</v>
      </c>
      <c r="M73" s="50">
        <f>0</f>
        <v>0</v>
      </c>
      <c r="N73" s="50">
        <f>0</f>
        <v>0</v>
      </c>
      <c r="O73" s="50">
        <f>0</f>
        <v>0</v>
      </c>
      <c r="P73" s="50">
        <f>0</f>
        <v>0</v>
      </c>
      <c r="Q73" s="50">
        <f>0</f>
        <v>0</v>
      </c>
      <c r="R73" s="50">
        <f>0</f>
        <v>0</v>
      </c>
      <c r="S73" s="50">
        <f>0</f>
        <v>0</v>
      </c>
      <c r="T73" s="50">
        <f>0</f>
        <v>0</v>
      </c>
    </row>
    <row r="74" spans="1:21" ht="45" customHeight="1">
      <c r="A74" s="45" t="s">
        <v>175</v>
      </c>
      <c r="B74" s="66" t="s">
        <v>176</v>
      </c>
      <c r="C74" s="46">
        <f>0</f>
        <v>0</v>
      </c>
      <c r="D74" s="47">
        <f>0</f>
        <v>0</v>
      </c>
      <c r="E74" s="47">
        <f>676681</f>
        <v>676681</v>
      </c>
      <c r="F74" s="48">
        <f>676681</f>
        <v>676681</v>
      </c>
      <c r="G74" s="49">
        <f>0</f>
        <v>0</v>
      </c>
      <c r="H74" s="50">
        <f>0</f>
        <v>0</v>
      </c>
      <c r="I74" s="50">
        <f>0</f>
        <v>0</v>
      </c>
      <c r="J74" s="50">
        <f>0</f>
        <v>0</v>
      </c>
      <c r="K74" s="50">
        <f>0</f>
        <v>0</v>
      </c>
      <c r="L74" s="50">
        <f>0</f>
        <v>0</v>
      </c>
      <c r="M74" s="50">
        <f>0</f>
        <v>0</v>
      </c>
      <c r="N74" s="50">
        <f>0</f>
        <v>0</v>
      </c>
      <c r="O74" s="50">
        <f>0</f>
        <v>0</v>
      </c>
      <c r="P74" s="50">
        <f>0</f>
        <v>0</v>
      </c>
      <c r="Q74" s="50">
        <f>0</f>
        <v>0</v>
      </c>
      <c r="R74" s="50">
        <f>0</f>
        <v>0</v>
      </c>
      <c r="S74" s="50">
        <f>0</f>
        <v>0</v>
      </c>
      <c r="T74" s="50">
        <f>0</f>
        <v>0</v>
      </c>
    </row>
    <row r="75" spans="1:21" ht="48.75" customHeight="1">
      <c r="A75" s="45" t="s">
        <v>177</v>
      </c>
      <c r="B75" s="64" t="s">
        <v>178</v>
      </c>
      <c r="C75" s="46">
        <f>1657551.81</f>
        <v>1657551.81</v>
      </c>
      <c r="D75" s="47">
        <f>860587.73</f>
        <v>860587.73</v>
      </c>
      <c r="E75" s="47">
        <f>1292496</f>
        <v>1292496</v>
      </c>
      <c r="F75" s="48">
        <f>1292496</f>
        <v>1292496</v>
      </c>
      <c r="G75" s="49">
        <f>2194649</f>
        <v>2194649</v>
      </c>
      <c r="H75" s="50">
        <f>1253801</f>
        <v>1253801</v>
      </c>
      <c r="I75" s="50">
        <f>884659</f>
        <v>884659</v>
      </c>
      <c r="J75" s="50">
        <f>0</f>
        <v>0</v>
      </c>
      <c r="K75" s="50">
        <f>0</f>
        <v>0</v>
      </c>
      <c r="L75" s="50">
        <f>0</f>
        <v>0</v>
      </c>
      <c r="M75" s="50">
        <f>0</f>
        <v>0</v>
      </c>
      <c r="N75" s="50">
        <f>0</f>
        <v>0</v>
      </c>
      <c r="O75" s="50">
        <f>0</f>
        <v>0</v>
      </c>
      <c r="P75" s="50">
        <f>0</f>
        <v>0</v>
      </c>
      <c r="Q75" s="50">
        <f>0</f>
        <v>0</v>
      </c>
      <c r="R75" s="50">
        <f>0</f>
        <v>0</v>
      </c>
      <c r="S75" s="50">
        <f>0</f>
        <v>0</v>
      </c>
      <c r="T75" s="50">
        <f>0</f>
        <v>0</v>
      </c>
    </row>
    <row r="76" spans="1:21" ht="27.75" customHeight="1">
      <c r="A76" s="45" t="s">
        <v>179</v>
      </c>
      <c r="B76" s="66" t="s">
        <v>180</v>
      </c>
      <c r="C76" s="46">
        <f>1511772.32</f>
        <v>1511772.32</v>
      </c>
      <c r="D76" s="47">
        <f>860587.73</f>
        <v>860587.73</v>
      </c>
      <c r="E76" s="47">
        <f>1195267</f>
        <v>1195267</v>
      </c>
      <c r="F76" s="48">
        <f>1195267</f>
        <v>1195267</v>
      </c>
      <c r="G76" s="49">
        <f>1976621</f>
        <v>1976621</v>
      </c>
      <c r="H76" s="50">
        <f>1072017</f>
        <v>1072017</v>
      </c>
      <c r="I76" s="50">
        <f>708425</f>
        <v>708425</v>
      </c>
      <c r="J76" s="50">
        <f>0</f>
        <v>0</v>
      </c>
      <c r="K76" s="50">
        <f>0</f>
        <v>0</v>
      </c>
      <c r="L76" s="50">
        <f>0</f>
        <v>0</v>
      </c>
      <c r="M76" s="50">
        <f>0</f>
        <v>0</v>
      </c>
      <c r="N76" s="50">
        <f>0</f>
        <v>0</v>
      </c>
      <c r="O76" s="50">
        <f>0</f>
        <v>0</v>
      </c>
      <c r="P76" s="50">
        <f>0</f>
        <v>0</v>
      </c>
      <c r="Q76" s="50">
        <f>0</f>
        <v>0</v>
      </c>
      <c r="R76" s="50">
        <f>0</f>
        <v>0</v>
      </c>
      <c r="S76" s="50">
        <f>0</f>
        <v>0</v>
      </c>
      <c r="T76" s="50">
        <f>0</f>
        <v>0</v>
      </c>
    </row>
    <row r="77" spans="1:21" ht="57.75" customHeight="1">
      <c r="A77" s="45" t="s">
        <v>181</v>
      </c>
      <c r="B77" s="64" t="s">
        <v>182</v>
      </c>
      <c r="C77" s="46">
        <f>1511772.32</f>
        <v>1511772.32</v>
      </c>
      <c r="D77" s="47">
        <f>860587.73</f>
        <v>860587.73</v>
      </c>
      <c r="E77" s="47">
        <f>1195267</f>
        <v>1195267</v>
      </c>
      <c r="F77" s="48">
        <f>1195267</f>
        <v>1195267</v>
      </c>
      <c r="G77" s="49">
        <f>1152214</f>
        <v>1152214</v>
      </c>
      <c r="H77" s="50">
        <f>368911</f>
        <v>368911</v>
      </c>
      <c r="I77" s="50">
        <f>0</f>
        <v>0</v>
      </c>
      <c r="J77" s="50">
        <f>0</f>
        <v>0</v>
      </c>
      <c r="K77" s="50">
        <f>0</f>
        <v>0</v>
      </c>
      <c r="L77" s="50">
        <f>0</f>
        <v>0</v>
      </c>
      <c r="M77" s="50">
        <f>0</f>
        <v>0</v>
      </c>
      <c r="N77" s="50">
        <f>0</f>
        <v>0</v>
      </c>
      <c r="O77" s="50">
        <f>0</f>
        <v>0</v>
      </c>
      <c r="P77" s="50">
        <f>0</f>
        <v>0</v>
      </c>
      <c r="Q77" s="50">
        <f>0</f>
        <v>0</v>
      </c>
      <c r="R77" s="50">
        <f>0</f>
        <v>0</v>
      </c>
      <c r="S77" s="50">
        <f>0</f>
        <v>0</v>
      </c>
      <c r="T77" s="50">
        <f>0</f>
        <v>0</v>
      </c>
    </row>
    <row r="78" spans="1:21" ht="51.75" customHeight="1">
      <c r="A78" s="45" t="s">
        <v>183</v>
      </c>
      <c r="B78" s="64" t="s">
        <v>184</v>
      </c>
      <c r="C78" s="46">
        <f>117799.35</f>
        <v>117799.35</v>
      </c>
      <c r="D78" s="47">
        <f>11600</f>
        <v>11600</v>
      </c>
      <c r="E78" s="47">
        <f>1039997</f>
        <v>1039997</v>
      </c>
      <c r="F78" s="48">
        <f>1039997</f>
        <v>1039997</v>
      </c>
      <c r="G78" s="49">
        <f>259819</f>
        <v>259819</v>
      </c>
      <c r="H78" s="50">
        <f>1062</f>
        <v>1062</v>
      </c>
      <c r="I78" s="50">
        <f>0</f>
        <v>0</v>
      </c>
      <c r="J78" s="50">
        <f>0</f>
        <v>0</v>
      </c>
      <c r="K78" s="50">
        <f>0</f>
        <v>0</v>
      </c>
      <c r="L78" s="50">
        <f>0</f>
        <v>0</v>
      </c>
      <c r="M78" s="50">
        <f>0</f>
        <v>0</v>
      </c>
      <c r="N78" s="50">
        <f>0</f>
        <v>0</v>
      </c>
      <c r="O78" s="50">
        <f>0</f>
        <v>0</v>
      </c>
      <c r="P78" s="50">
        <f>0</f>
        <v>0</v>
      </c>
      <c r="Q78" s="50">
        <f>0</f>
        <v>0</v>
      </c>
      <c r="R78" s="50">
        <f>0</f>
        <v>0</v>
      </c>
      <c r="S78" s="50">
        <f>0</f>
        <v>0</v>
      </c>
      <c r="T78" s="50">
        <f>0</f>
        <v>0</v>
      </c>
    </row>
    <row r="79" spans="1:21" ht="30.75" customHeight="1">
      <c r="A79" s="45" t="s">
        <v>185</v>
      </c>
      <c r="B79" s="66" t="s">
        <v>186</v>
      </c>
      <c r="C79" s="46">
        <f>0</f>
        <v>0</v>
      </c>
      <c r="D79" s="47">
        <f>1120</f>
        <v>1120</v>
      </c>
      <c r="E79" s="47">
        <f>675561</f>
        <v>675561</v>
      </c>
      <c r="F79" s="48">
        <f>675561</f>
        <v>675561</v>
      </c>
      <c r="G79" s="49">
        <f>0</f>
        <v>0</v>
      </c>
      <c r="H79" s="50">
        <f>0</f>
        <v>0</v>
      </c>
      <c r="I79" s="50">
        <f>0</f>
        <v>0</v>
      </c>
      <c r="J79" s="50">
        <f>0</f>
        <v>0</v>
      </c>
      <c r="K79" s="50">
        <f>0</f>
        <v>0</v>
      </c>
      <c r="L79" s="50">
        <f>0</f>
        <v>0</v>
      </c>
      <c r="M79" s="50">
        <f>0</f>
        <v>0</v>
      </c>
      <c r="N79" s="50">
        <f>0</f>
        <v>0</v>
      </c>
      <c r="O79" s="50">
        <f>0</f>
        <v>0</v>
      </c>
      <c r="P79" s="50">
        <f>0</f>
        <v>0</v>
      </c>
      <c r="Q79" s="50">
        <f>0</f>
        <v>0</v>
      </c>
      <c r="R79" s="50">
        <f>0</f>
        <v>0</v>
      </c>
      <c r="S79" s="50">
        <f>0</f>
        <v>0</v>
      </c>
      <c r="T79" s="50">
        <f>0</f>
        <v>0</v>
      </c>
    </row>
    <row r="80" spans="1:21" ht="66.75" customHeight="1">
      <c r="A80" s="45" t="s">
        <v>187</v>
      </c>
      <c r="B80" s="64" t="s">
        <v>188</v>
      </c>
      <c r="C80" s="46">
        <f>0</f>
        <v>0</v>
      </c>
      <c r="D80" s="47">
        <f>1120</f>
        <v>1120</v>
      </c>
      <c r="E80" s="47">
        <f>675561</f>
        <v>675561</v>
      </c>
      <c r="F80" s="48">
        <f>675561</f>
        <v>675561</v>
      </c>
      <c r="G80" s="49">
        <f>0</f>
        <v>0</v>
      </c>
      <c r="H80" s="50">
        <f>0</f>
        <v>0</v>
      </c>
      <c r="I80" s="50">
        <f>0</f>
        <v>0</v>
      </c>
      <c r="J80" s="50">
        <f>0</f>
        <v>0</v>
      </c>
      <c r="K80" s="50">
        <f>0</f>
        <v>0</v>
      </c>
      <c r="L80" s="50">
        <f>0</f>
        <v>0</v>
      </c>
      <c r="M80" s="50">
        <f>0</f>
        <v>0</v>
      </c>
      <c r="N80" s="50">
        <f>0</f>
        <v>0</v>
      </c>
      <c r="O80" s="50">
        <f>0</f>
        <v>0</v>
      </c>
      <c r="P80" s="50">
        <f>0</f>
        <v>0</v>
      </c>
      <c r="Q80" s="50">
        <f>0</f>
        <v>0</v>
      </c>
      <c r="R80" s="50">
        <f>0</f>
        <v>0</v>
      </c>
      <c r="S80" s="50">
        <f>0</f>
        <v>0</v>
      </c>
      <c r="T80" s="50">
        <f>0</f>
        <v>0</v>
      </c>
    </row>
    <row r="81" spans="1:21" ht="74.25" customHeight="1">
      <c r="A81" s="45" t="s">
        <v>189</v>
      </c>
      <c r="B81" s="64" t="s">
        <v>190</v>
      </c>
      <c r="C81" s="46">
        <f>263578.84</f>
        <v>263578.84000000003</v>
      </c>
      <c r="D81" s="47">
        <f>10480</f>
        <v>10480</v>
      </c>
      <c r="E81" s="47">
        <f t="shared" ref="E81:F84" si="9">461665</f>
        <v>461665</v>
      </c>
      <c r="F81" s="48">
        <f t="shared" si="9"/>
        <v>461665</v>
      </c>
      <c r="G81" s="49">
        <f>477847</f>
        <v>477847</v>
      </c>
      <c r="H81" s="50">
        <f>182846</f>
        <v>182846</v>
      </c>
      <c r="I81" s="50">
        <f>176234</f>
        <v>176234</v>
      </c>
      <c r="J81" s="50">
        <f>0</f>
        <v>0</v>
      </c>
      <c r="K81" s="50">
        <f>0</f>
        <v>0</v>
      </c>
      <c r="L81" s="50">
        <f>0</f>
        <v>0</v>
      </c>
      <c r="M81" s="50">
        <f>0</f>
        <v>0</v>
      </c>
      <c r="N81" s="50">
        <f>0</f>
        <v>0</v>
      </c>
      <c r="O81" s="50">
        <f>0</f>
        <v>0</v>
      </c>
      <c r="P81" s="50">
        <f>0</f>
        <v>0</v>
      </c>
      <c r="Q81" s="50">
        <f>0</f>
        <v>0</v>
      </c>
      <c r="R81" s="50">
        <f>0</f>
        <v>0</v>
      </c>
      <c r="S81" s="50">
        <f>0</f>
        <v>0</v>
      </c>
      <c r="T81" s="50">
        <f>0</f>
        <v>0</v>
      </c>
    </row>
    <row r="82" spans="1:21" ht="33" customHeight="1">
      <c r="A82" s="45" t="s">
        <v>191</v>
      </c>
      <c r="B82" s="64" t="s">
        <v>192</v>
      </c>
      <c r="C82" s="46">
        <f>263578.84</f>
        <v>263578.84000000003</v>
      </c>
      <c r="D82" s="47">
        <f>10480</f>
        <v>10480</v>
      </c>
      <c r="E82" s="47">
        <f t="shared" si="9"/>
        <v>461665</v>
      </c>
      <c r="F82" s="48">
        <f t="shared" si="9"/>
        <v>461665</v>
      </c>
      <c r="G82" s="49">
        <f>276880</f>
        <v>276880</v>
      </c>
      <c r="H82" s="50">
        <f>1062</f>
        <v>1062</v>
      </c>
      <c r="I82" s="50">
        <f>0</f>
        <v>0</v>
      </c>
      <c r="J82" s="50">
        <f>0</f>
        <v>0</v>
      </c>
      <c r="K82" s="50">
        <f>0</f>
        <v>0</v>
      </c>
      <c r="L82" s="50">
        <f>0</f>
        <v>0</v>
      </c>
      <c r="M82" s="50">
        <f>0</f>
        <v>0</v>
      </c>
      <c r="N82" s="50">
        <f>0</f>
        <v>0</v>
      </c>
      <c r="O82" s="50">
        <f>0</f>
        <v>0</v>
      </c>
      <c r="P82" s="50">
        <f>0</f>
        <v>0</v>
      </c>
      <c r="Q82" s="50">
        <f>0</f>
        <v>0</v>
      </c>
      <c r="R82" s="50">
        <f>0</f>
        <v>0</v>
      </c>
      <c r="S82" s="50">
        <f>0</f>
        <v>0</v>
      </c>
      <c r="T82" s="50">
        <f>0</f>
        <v>0</v>
      </c>
    </row>
    <row r="83" spans="1:21" ht="69.75" customHeight="1">
      <c r="A83" s="45" t="s">
        <v>193</v>
      </c>
      <c r="B83" s="64" t="s">
        <v>194</v>
      </c>
      <c r="C83" s="46">
        <f>48172</f>
        <v>48172</v>
      </c>
      <c r="D83" s="47">
        <f>10480</f>
        <v>10480</v>
      </c>
      <c r="E83" s="47">
        <f t="shared" si="9"/>
        <v>461665</v>
      </c>
      <c r="F83" s="48">
        <f t="shared" si="9"/>
        <v>461665</v>
      </c>
      <c r="G83" s="49">
        <f>477847</f>
        <v>477847</v>
      </c>
      <c r="H83" s="50">
        <f>182846</f>
        <v>182846</v>
      </c>
      <c r="I83" s="50">
        <f>176234</f>
        <v>176234</v>
      </c>
      <c r="J83" s="50">
        <f>0</f>
        <v>0</v>
      </c>
      <c r="K83" s="50">
        <f>0</f>
        <v>0</v>
      </c>
      <c r="L83" s="50">
        <f>0</f>
        <v>0</v>
      </c>
      <c r="M83" s="50">
        <f>0</f>
        <v>0</v>
      </c>
      <c r="N83" s="50">
        <f>0</f>
        <v>0</v>
      </c>
      <c r="O83" s="50">
        <f>0</f>
        <v>0</v>
      </c>
      <c r="P83" s="50">
        <f>0</f>
        <v>0</v>
      </c>
      <c r="Q83" s="50">
        <f>0</f>
        <v>0</v>
      </c>
      <c r="R83" s="50">
        <f>0</f>
        <v>0</v>
      </c>
      <c r="S83" s="50">
        <f>0</f>
        <v>0</v>
      </c>
      <c r="T83" s="50">
        <f>0</f>
        <v>0</v>
      </c>
    </row>
    <row r="84" spans="1:21" ht="33.75" customHeight="1">
      <c r="A84" s="45" t="s">
        <v>195</v>
      </c>
      <c r="B84" s="64" t="s">
        <v>192</v>
      </c>
      <c r="C84" s="46">
        <f>48172</f>
        <v>48172</v>
      </c>
      <c r="D84" s="47">
        <f>10480</f>
        <v>10480</v>
      </c>
      <c r="E84" s="47">
        <f t="shared" si="9"/>
        <v>461665</v>
      </c>
      <c r="F84" s="48">
        <f t="shared" si="9"/>
        <v>461665</v>
      </c>
      <c r="G84" s="49">
        <f>276880</f>
        <v>276880</v>
      </c>
      <c r="H84" s="50">
        <f>1062</f>
        <v>1062</v>
      </c>
      <c r="I84" s="50">
        <f>0</f>
        <v>0</v>
      </c>
      <c r="J84" s="50">
        <f>0</f>
        <v>0</v>
      </c>
      <c r="K84" s="50">
        <f>0</f>
        <v>0</v>
      </c>
      <c r="L84" s="50">
        <f>0</f>
        <v>0</v>
      </c>
      <c r="M84" s="50">
        <f>0</f>
        <v>0</v>
      </c>
      <c r="N84" s="50">
        <f>0</f>
        <v>0</v>
      </c>
      <c r="O84" s="50">
        <f>0</f>
        <v>0</v>
      </c>
      <c r="P84" s="50">
        <f>0</f>
        <v>0</v>
      </c>
      <c r="Q84" s="50">
        <f>0</f>
        <v>0</v>
      </c>
      <c r="R84" s="50">
        <f>0</f>
        <v>0</v>
      </c>
      <c r="S84" s="50">
        <f>0</f>
        <v>0</v>
      </c>
      <c r="T84" s="50">
        <f>0</f>
        <v>0</v>
      </c>
    </row>
    <row r="85" spans="1:21" ht="84" customHeight="1">
      <c r="A85" s="45" t="s">
        <v>196</v>
      </c>
      <c r="B85" s="64" t="s">
        <v>197</v>
      </c>
      <c r="C85" s="46">
        <f>0</f>
        <v>0</v>
      </c>
      <c r="D85" s="47">
        <f>0</f>
        <v>0</v>
      </c>
      <c r="E85" s="47">
        <f>0</f>
        <v>0</v>
      </c>
      <c r="F85" s="48">
        <f>0</f>
        <v>0</v>
      </c>
      <c r="G85" s="49">
        <f>0</f>
        <v>0</v>
      </c>
      <c r="H85" s="50">
        <f>0</f>
        <v>0</v>
      </c>
      <c r="I85" s="50">
        <f>0</f>
        <v>0</v>
      </c>
      <c r="J85" s="50">
        <f>0</f>
        <v>0</v>
      </c>
      <c r="K85" s="50">
        <f>0</f>
        <v>0</v>
      </c>
      <c r="L85" s="50">
        <f>0</f>
        <v>0</v>
      </c>
      <c r="M85" s="50">
        <f>0</f>
        <v>0</v>
      </c>
      <c r="N85" s="50">
        <f>0</f>
        <v>0</v>
      </c>
      <c r="O85" s="50">
        <f>0</f>
        <v>0</v>
      </c>
      <c r="P85" s="50">
        <f>0</f>
        <v>0</v>
      </c>
      <c r="Q85" s="50">
        <f>0</f>
        <v>0</v>
      </c>
      <c r="R85" s="50">
        <f>0</f>
        <v>0</v>
      </c>
      <c r="S85" s="50">
        <f>0</f>
        <v>0</v>
      </c>
      <c r="T85" s="50">
        <f>0</f>
        <v>0</v>
      </c>
    </row>
    <row r="86" spans="1:21" ht="28.5" customHeight="1">
      <c r="A86" s="45" t="s">
        <v>198</v>
      </c>
      <c r="B86" s="64" t="s">
        <v>192</v>
      </c>
      <c r="C86" s="46">
        <f>0</f>
        <v>0</v>
      </c>
      <c r="D86" s="47">
        <f>0</f>
        <v>0</v>
      </c>
      <c r="E86" s="47">
        <f>0</f>
        <v>0</v>
      </c>
      <c r="F86" s="48">
        <f>0</f>
        <v>0</v>
      </c>
      <c r="G86" s="49">
        <f>0</f>
        <v>0</v>
      </c>
      <c r="H86" s="50">
        <f>0</f>
        <v>0</v>
      </c>
      <c r="I86" s="50">
        <f>0</f>
        <v>0</v>
      </c>
      <c r="J86" s="50">
        <f>0</f>
        <v>0</v>
      </c>
      <c r="K86" s="50">
        <f>0</f>
        <v>0</v>
      </c>
      <c r="L86" s="50">
        <f>0</f>
        <v>0</v>
      </c>
      <c r="M86" s="50">
        <f>0</f>
        <v>0</v>
      </c>
      <c r="N86" s="50">
        <f>0</f>
        <v>0</v>
      </c>
      <c r="O86" s="50">
        <f>0</f>
        <v>0</v>
      </c>
      <c r="P86" s="50">
        <f>0</f>
        <v>0</v>
      </c>
      <c r="Q86" s="50">
        <f>0</f>
        <v>0</v>
      </c>
      <c r="R86" s="50">
        <f>0</f>
        <v>0</v>
      </c>
      <c r="S86" s="50">
        <f>0</f>
        <v>0</v>
      </c>
      <c r="T86" s="50">
        <f>0</f>
        <v>0</v>
      </c>
    </row>
    <row r="87" spans="1:21" ht="81.75" customHeight="1">
      <c r="A87" s="45" t="s">
        <v>199</v>
      </c>
      <c r="B87" s="64" t="s">
        <v>200</v>
      </c>
      <c r="C87" s="46">
        <f>0</f>
        <v>0</v>
      </c>
      <c r="D87" s="47">
        <f>0</f>
        <v>0</v>
      </c>
      <c r="E87" s="47">
        <f>0</f>
        <v>0</v>
      </c>
      <c r="F87" s="48">
        <f>0</f>
        <v>0</v>
      </c>
      <c r="G87" s="49">
        <f>0</f>
        <v>0</v>
      </c>
      <c r="H87" s="50">
        <f>0</f>
        <v>0</v>
      </c>
      <c r="I87" s="50">
        <f>0</f>
        <v>0</v>
      </c>
      <c r="J87" s="50">
        <f>0</f>
        <v>0</v>
      </c>
      <c r="K87" s="50">
        <f>0</f>
        <v>0</v>
      </c>
      <c r="L87" s="50">
        <f>0</f>
        <v>0</v>
      </c>
      <c r="M87" s="50">
        <f>0</f>
        <v>0</v>
      </c>
      <c r="N87" s="50">
        <f>0</f>
        <v>0</v>
      </c>
      <c r="O87" s="50">
        <f>0</f>
        <v>0</v>
      </c>
      <c r="P87" s="50">
        <f>0</f>
        <v>0</v>
      </c>
      <c r="Q87" s="50">
        <f>0</f>
        <v>0</v>
      </c>
      <c r="R87" s="50">
        <f>0</f>
        <v>0</v>
      </c>
      <c r="S87" s="50">
        <f>0</f>
        <v>0</v>
      </c>
      <c r="T87" s="50">
        <f>0</f>
        <v>0</v>
      </c>
    </row>
    <row r="88" spans="1:21" ht="30.75" customHeight="1">
      <c r="A88" s="45" t="s">
        <v>201</v>
      </c>
      <c r="B88" s="64" t="s">
        <v>192</v>
      </c>
      <c r="C88" s="46">
        <f>0</f>
        <v>0</v>
      </c>
      <c r="D88" s="47">
        <f>0</f>
        <v>0</v>
      </c>
      <c r="E88" s="47">
        <f>0</f>
        <v>0</v>
      </c>
      <c r="F88" s="48">
        <f>0</f>
        <v>0</v>
      </c>
      <c r="G88" s="49">
        <f>0</f>
        <v>0</v>
      </c>
      <c r="H88" s="50">
        <f>0</f>
        <v>0</v>
      </c>
      <c r="I88" s="50">
        <f>0</f>
        <v>0</v>
      </c>
      <c r="J88" s="50">
        <f>0</f>
        <v>0</v>
      </c>
      <c r="K88" s="50">
        <f>0</f>
        <v>0</v>
      </c>
      <c r="L88" s="50">
        <f>0</f>
        <v>0</v>
      </c>
      <c r="M88" s="50">
        <f>0</f>
        <v>0</v>
      </c>
      <c r="N88" s="50">
        <f>0</f>
        <v>0</v>
      </c>
      <c r="O88" s="50">
        <f>0</f>
        <v>0</v>
      </c>
      <c r="P88" s="50">
        <f>0</f>
        <v>0</v>
      </c>
      <c r="Q88" s="50">
        <f>0</f>
        <v>0</v>
      </c>
      <c r="R88" s="50">
        <f>0</f>
        <v>0</v>
      </c>
      <c r="S88" s="50">
        <f>0</f>
        <v>0</v>
      </c>
      <c r="T88" s="50">
        <f>0</f>
        <v>0</v>
      </c>
    </row>
    <row r="89" spans="1:21" ht="48">
      <c r="A89" s="38">
        <v>13</v>
      </c>
      <c r="B89" s="39" t="s">
        <v>202</v>
      </c>
      <c r="C89" s="51" t="s">
        <v>121</v>
      </c>
      <c r="D89" s="52" t="s">
        <v>121</v>
      </c>
      <c r="E89" s="52" t="s">
        <v>121</v>
      </c>
      <c r="F89" s="53" t="s">
        <v>121</v>
      </c>
      <c r="G89" s="54" t="s">
        <v>121</v>
      </c>
      <c r="H89" s="55" t="s">
        <v>121</v>
      </c>
      <c r="I89" s="55" t="s">
        <v>121</v>
      </c>
      <c r="J89" s="55" t="s">
        <v>121</v>
      </c>
      <c r="K89" s="55" t="s">
        <v>121</v>
      </c>
      <c r="L89" s="55" t="s">
        <v>121</v>
      </c>
      <c r="M89" s="55" t="s">
        <v>121</v>
      </c>
      <c r="N89" s="55" t="s">
        <v>121</v>
      </c>
      <c r="O89" s="55" t="s">
        <v>121</v>
      </c>
      <c r="P89" s="55" t="s">
        <v>121</v>
      </c>
      <c r="Q89" s="55" t="s">
        <v>121</v>
      </c>
      <c r="R89" s="55" t="s">
        <v>121</v>
      </c>
      <c r="S89" s="55" t="s">
        <v>121</v>
      </c>
      <c r="T89" s="55" t="s">
        <v>121</v>
      </c>
      <c r="U89" s="81"/>
    </row>
    <row r="90" spans="1:21" ht="60">
      <c r="A90" s="45" t="s">
        <v>203</v>
      </c>
      <c r="B90" s="64" t="s">
        <v>204</v>
      </c>
      <c r="C90" s="46">
        <f>3928571.45</f>
        <v>3928571.45</v>
      </c>
      <c r="D90" s="47">
        <f>3273809.57</f>
        <v>3273809.57</v>
      </c>
      <c r="E90" s="47">
        <f>2619048</f>
        <v>2619048</v>
      </c>
      <c r="F90" s="48">
        <f>2619048</f>
        <v>2619048</v>
      </c>
      <c r="G90" s="49">
        <f>1964286</f>
        <v>1964286</v>
      </c>
      <c r="H90" s="50">
        <f>1309524</f>
        <v>1309524</v>
      </c>
      <c r="I90" s="50">
        <f>654762</f>
        <v>654762</v>
      </c>
      <c r="J90" s="50">
        <f>0</f>
        <v>0</v>
      </c>
      <c r="K90" s="50">
        <f>0</f>
        <v>0</v>
      </c>
      <c r="L90" s="50">
        <f>0</f>
        <v>0</v>
      </c>
      <c r="M90" s="50">
        <f>0</f>
        <v>0</v>
      </c>
      <c r="N90" s="50">
        <f>0</f>
        <v>0</v>
      </c>
      <c r="O90" s="50">
        <f>0</f>
        <v>0</v>
      </c>
      <c r="P90" s="50">
        <f>0</f>
        <v>0</v>
      </c>
      <c r="Q90" s="50">
        <f>0</f>
        <v>0</v>
      </c>
      <c r="R90" s="50">
        <f>0</f>
        <v>0</v>
      </c>
      <c r="S90" s="50">
        <f>0</f>
        <v>0</v>
      </c>
      <c r="T90" s="50">
        <f>0</f>
        <v>0</v>
      </c>
    </row>
    <row r="91" spans="1:21" ht="54" customHeight="1">
      <c r="A91" s="45" t="s">
        <v>205</v>
      </c>
      <c r="B91" s="64" t="s">
        <v>206</v>
      </c>
      <c r="C91" s="46">
        <f>0</f>
        <v>0</v>
      </c>
      <c r="D91" s="47">
        <f>0</f>
        <v>0</v>
      </c>
      <c r="E91" s="47">
        <f>0</f>
        <v>0</v>
      </c>
      <c r="F91" s="48">
        <f>0</f>
        <v>0</v>
      </c>
      <c r="G91" s="49">
        <f>0</f>
        <v>0</v>
      </c>
      <c r="H91" s="50">
        <f>0</f>
        <v>0</v>
      </c>
      <c r="I91" s="50">
        <f>0</f>
        <v>0</v>
      </c>
      <c r="J91" s="50">
        <f>0</f>
        <v>0</v>
      </c>
      <c r="K91" s="50">
        <f>0</f>
        <v>0</v>
      </c>
      <c r="L91" s="50">
        <f>0</f>
        <v>0</v>
      </c>
      <c r="M91" s="50">
        <f>0</f>
        <v>0</v>
      </c>
      <c r="N91" s="50">
        <f>0</f>
        <v>0</v>
      </c>
      <c r="O91" s="50">
        <f>0</f>
        <v>0</v>
      </c>
      <c r="P91" s="50">
        <f>0</f>
        <v>0</v>
      </c>
      <c r="Q91" s="50">
        <f>0</f>
        <v>0</v>
      </c>
      <c r="R91" s="50">
        <f>0</f>
        <v>0</v>
      </c>
      <c r="S91" s="50">
        <f>0</f>
        <v>0</v>
      </c>
      <c r="T91" s="50">
        <f>0</f>
        <v>0</v>
      </c>
    </row>
    <row r="92" spans="1:21" ht="42" customHeight="1">
      <c r="A92" s="45" t="s">
        <v>207</v>
      </c>
      <c r="B92" s="64" t="s">
        <v>208</v>
      </c>
      <c r="C92" s="46">
        <f>0</f>
        <v>0</v>
      </c>
      <c r="D92" s="47">
        <f>0</f>
        <v>0</v>
      </c>
      <c r="E92" s="47">
        <f>0</f>
        <v>0</v>
      </c>
      <c r="F92" s="48">
        <f>0</f>
        <v>0</v>
      </c>
      <c r="G92" s="49">
        <f>0</f>
        <v>0</v>
      </c>
      <c r="H92" s="50">
        <f>0</f>
        <v>0</v>
      </c>
      <c r="I92" s="50">
        <f>0</f>
        <v>0</v>
      </c>
      <c r="J92" s="50">
        <f>0</f>
        <v>0</v>
      </c>
      <c r="K92" s="50">
        <f>0</f>
        <v>0</v>
      </c>
      <c r="L92" s="50">
        <f>0</f>
        <v>0</v>
      </c>
      <c r="M92" s="50">
        <f>0</f>
        <v>0</v>
      </c>
      <c r="N92" s="50">
        <f>0</f>
        <v>0</v>
      </c>
      <c r="O92" s="50">
        <f>0</f>
        <v>0</v>
      </c>
      <c r="P92" s="50">
        <f>0</f>
        <v>0</v>
      </c>
      <c r="Q92" s="50">
        <f>0</f>
        <v>0</v>
      </c>
      <c r="R92" s="50">
        <f>0</f>
        <v>0</v>
      </c>
      <c r="S92" s="50">
        <f>0</f>
        <v>0</v>
      </c>
      <c r="T92" s="50">
        <f>0</f>
        <v>0</v>
      </c>
    </row>
    <row r="93" spans="1:21" ht="60">
      <c r="A93" s="45" t="s">
        <v>209</v>
      </c>
      <c r="B93" s="64" t="s">
        <v>210</v>
      </c>
      <c r="C93" s="46">
        <f>2233504.87</f>
        <v>2233504.87</v>
      </c>
      <c r="D93" s="47">
        <f>654761.88</f>
        <v>654761.88</v>
      </c>
      <c r="E93" s="47">
        <f t="shared" ref="E93:J93" si="10">654762</f>
        <v>654762</v>
      </c>
      <c r="F93" s="48">
        <f t="shared" si="10"/>
        <v>654762</v>
      </c>
      <c r="G93" s="49">
        <f t="shared" si="10"/>
        <v>654762</v>
      </c>
      <c r="H93" s="50">
        <f t="shared" si="10"/>
        <v>654762</v>
      </c>
      <c r="I93" s="50">
        <f t="shared" si="10"/>
        <v>654762</v>
      </c>
      <c r="J93" s="50">
        <f t="shared" si="10"/>
        <v>654762</v>
      </c>
      <c r="K93" s="50">
        <f>0</f>
        <v>0</v>
      </c>
      <c r="L93" s="50">
        <f>0</f>
        <v>0</v>
      </c>
      <c r="M93" s="50">
        <f>0</f>
        <v>0</v>
      </c>
      <c r="N93" s="50">
        <f>0</f>
        <v>0</v>
      </c>
      <c r="O93" s="50">
        <f>0</f>
        <v>0</v>
      </c>
      <c r="P93" s="50">
        <f>0</f>
        <v>0</v>
      </c>
      <c r="Q93" s="50">
        <f>0</f>
        <v>0</v>
      </c>
      <c r="R93" s="50">
        <f>0</f>
        <v>0</v>
      </c>
      <c r="S93" s="50">
        <f>0</f>
        <v>0</v>
      </c>
      <c r="T93" s="50">
        <f>0</f>
        <v>0</v>
      </c>
    </row>
    <row r="94" spans="1:21" ht="60">
      <c r="A94" s="45" t="s">
        <v>211</v>
      </c>
      <c r="B94" s="64" t="s">
        <v>212</v>
      </c>
      <c r="C94" s="46">
        <f>0</f>
        <v>0</v>
      </c>
      <c r="D94" s="47">
        <f>0</f>
        <v>0</v>
      </c>
      <c r="E94" s="47">
        <f>0</f>
        <v>0</v>
      </c>
      <c r="F94" s="48">
        <f>0</f>
        <v>0</v>
      </c>
      <c r="G94" s="49">
        <f>0</f>
        <v>0</v>
      </c>
      <c r="H94" s="50">
        <f>0</f>
        <v>0</v>
      </c>
      <c r="I94" s="50">
        <f>0</f>
        <v>0</v>
      </c>
      <c r="J94" s="50">
        <f>0</f>
        <v>0</v>
      </c>
      <c r="K94" s="50">
        <f>0</f>
        <v>0</v>
      </c>
      <c r="L94" s="50">
        <f>0</f>
        <v>0</v>
      </c>
      <c r="M94" s="50">
        <f>0</f>
        <v>0</v>
      </c>
      <c r="N94" s="50">
        <f>0</f>
        <v>0</v>
      </c>
      <c r="O94" s="50">
        <f>0</f>
        <v>0</v>
      </c>
      <c r="P94" s="50">
        <f>0</f>
        <v>0</v>
      </c>
      <c r="Q94" s="50">
        <f>0</f>
        <v>0</v>
      </c>
      <c r="R94" s="50">
        <f>0</f>
        <v>0</v>
      </c>
      <c r="S94" s="50">
        <f>0</f>
        <v>0</v>
      </c>
      <c r="T94" s="50">
        <f>0</f>
        <v>0</v>
      </c>
    </row>
    <row r="95" spans="1:21" ht="59.25" customHeight="1">
      <c r="A95" s="45" t="s">
        <v>213</v>
      </c>
      <c r="B95" s="64" t="s">
        <v>214</v>
      </c>
      <c r="C95" s="46">
        <f>0</f>
        <v>0</v>
      </c>
      <c r="D95" s="47">
        <f>0</f>
        <v>0</v>
      </c>
      <c r="E95" s="47">
        <f>0</f>
        <v>0</v>
      </c>
      <c r="F95" s="48">
        <f>0</f>
        <v>0</v>
      </c>
      <c r="G95" s="49">
        <f>0</f>
        <v>0</v>
      </c>
      <c r="H95" s="50">
        <f>0</f>
        <v>0</v>
      </c>
      <c r="I95" s="50">
        <f>0</f>
        <v>0</v>
      </c>
      <c r="J95" s="50">
        <f>0</f>
        <v>0</v>
      </c>
      <c r="K95" s="50">
        <f>0</f>
        <v>0</v>
      </c>
      <c r="L95" s="50">
        <f>0</f>
        <v>0</v>
      </c>
      <c r="M95" s="50">
        <f>0</f>
        <v>0</v>
      </c>
      <c r="N95" s="50">
        <f>0</f>
        <v>0</v>
      </c>
      <c r="O95" s="50">
        <f>0</f>
        <v>0</v>
      </c>
      <c r="P95" s="50">
        <f>0</f>
        <v>0</v>
      </c>
      <c r="Q95" s="50">
        <f>0</f>
        <v>0</v>
      </c>
      <c r="R95" s="50">
        <f>0</f>
        <v>0</v>
      </c>
      <c r="S95" s="50">
        <f>0</f>
        <v>0</v>
      </c>
      <c r="T95" s="50">
        <f>0</f>
        <v>0</v>
      </c>
    </row>
    <row r="96" spans="1:21" ht="41.25" customHeight="1">
      <c r="A96" s="45" t="s">
        <v>215</v>
      </c>
      <c r="B96" s="64" t="s">
        <v>216</v>
      </c>
      <c r="C96" s="46">
        <f>0</f>
        <v>0</v>
      </c>
      <c r="D96" s="47">
        <f>0</f>
        <v>0</v>
      </c>
      <c r="E96" s="47">
        <f>0</f>
        <v>0</v>
      </c>
      <c r="F96" s="48">
        <f>0</f>
        <v>0</v>
      </c>
      <c r="G96" s="49">
        <f>0</f>
        <v>0</v>
      </c>
      <c r="H96" s="50">
        <f>0</f>
        <v>0</v>
      </c>
      <c r="I96" s="50">
        <f>0</f>
        <v>0</v>
      </c>
      <c r="J96" s="50">
        <f>0</f>
        <v>0</v>
      </c>
      <c r="K96" s="50">
        <f>0</f>
        <v>0</v>
      </c>
      <c r="L96" s="50">
        <f>0</f>
        <v>0</v>
      </c>
      <c r="M96" s="50">
        <f>0</f>
        <v>0</v>
      </c>
      <c r="N96" s="50">
        <f>0</f>
        <v>0</v>
      </c>
      <c r="O96" s="50">
        <f>0</f>
        <v>0</v>
      </c>
      <c r="P96" s="50">
        <f>0</f>
        <v>0</v>
      </c>
      <c r="Q96" s="50">
        <f>0</f>
        <v>0</v>
      </c>
      <c r="R96" s="50">
        <f>0</f>
        <v>0</v>
      </c>
      <c r="S96" s="50">
        <f>0</f>
        <v>0</v>
      </c>
      <c r="T96" s="50">
        <f>0</f>
        <v>0</v>
      </c>
    </row>
    <row r="97" spans="1:21" ht="18" customHeight="1">
      <c r="A97" s="38">
        <v>14</v>
      </c>
      <c r="B97" s="39" t="s">
        <v>217</v>
      </c>
      <c r="C97" s="51" t="s">
        <v>121</v>
      </c>
      <c r="D97" s="52" t="s">
        <v>121</v>
      </c>
      <c r="E97" s="52" t="s">
        <v>121</v>
      </c>
      <c r="F97" s="53" t="s">
        <v>121</v>
      </c>
      <c r="G97" s="54" t="s">
        <v>121</v>
      </c>
      <c r="H97" s="55" t="s">
        <v>121</v>
      </c>
      <c r="I97" s="55" t="s">
        <v>121</v>
      </c>
      <c r="J97" s="55" t="s">
        <v>121</v>
      </c>
      <c r="K97" s="55" t="s">
        <v>121</v>
      </c>
      <c r="L97" s="55" t="s">
        <v>121</v>
      </c>
      <c r="M97" s="55" t="s">
        <v>121</v>
      </c>
      <c r="N97" s="55" t="s">
        <v>121</v>
      </c>
      <c r="O97" s="55" t="s">
        <v>121</v>
      </c>
      <c r="P97" s="55" t="s">
        <v>121</v>
      </c>
      <c r="Q97" s="55" t="s">
        <v>121</v>
      </c>
      <c r="R97" s="55" t="s">
        <v>121</v>
      </c>
      <c r="S97" s="55" t="s">
        <v>121</v>
      </c>
      <c r="T97" s="55" t="s">
        <v>121</v>
      </c>
      <c r="U97" s="81"/>
    </row>
    <row r="98" spans="1:21" ht="58.5" customHeight="1">
      <c r="A98" s="45" t="s">
        <v>218</v>
      </c>
      <c r="B98" s="64" t="s">
        <v>219</v>
      </c>
      <c r="C98" s="46">
        <f>7257180.85</f>
        <v>7257180.8499999996</v>
      </c>
      <c r="D98" s="47">
        <f>7229323</f>
        <v>7229323</v>
      </c>
      <c r="E98" s="47">
        <f>6677276</f>
        <v>6677276</v>
      </c>
      <c r="F98" s="48">
        <f>6677276</f>
        <v>6677276</v>
      </c>
      <c r="G98" s="49">
        <f>6560929</f>
        <v>6560929</v>
      </c>
      <c r="H98" s="50">
        <f>5588276</f>
        <v>5588276</v>
      </c>
      <c r="I98" s="50">
        <f>4864612</f>
        <v>4864612</v>
      </c>
      <c r="J98" s="50">
        <f>3842000</f>
        <v>3842000</v>
      </c>
      <c r="K98" s="50">
        <f>3942000</f>
        <v>3942000</v>
      </c>
      <c r="L98" s="50">
        <f>3192000</f>
        <v>3192000</v>
      </c>
      <c r="M98" s="50">
        <f>3192000</f>
        <v>3192000</v>
      </c>
      <c r="N98" s="50">
        <f>3292000</f>
        <v>3292000</v>
      </c>
      <c r="O98" s="50">
        <f>2500000</f>
        <v>2500000</v>
      </c>
      <c r="P98" s="50">
        <f>2500000</f>
        <v>2500000</v>
      </c>
      <c r="Q98" s="50">
        <f>2500000</f>
        <v>2500000</v>
      </c>
      <c r="R98" s="50">
        <f>1000000</f>
        <v>1000000</v>
      </c>
      <c r="S98" s="50">
        <f>400000</f>
        <v>400000</v>
      </c>
      <c r="T98" s="50">
        <f>400000</f>
        <v>400000</v>
      </c>
    </row>
    <row r="99" spans="1:21" ht="28.5" customHeight="1">
      <c r="A99" s="45" t="s">
        <v>220</v>
      </c>
      <c r="B99" s="64" t="s">
        <v>221</v>
      </c>
      <c r="C99" s="46">
        <f>3928571.45</f>
        <v>3928571.45</v>
      </c>
      <c r="D99" s="47">
        <f>3273809.57</f>
        <v>3273809.57</v>
      </c>
      <c r="E99" s="47">
        <f>2619048</f>
        <v>2619048</v>
      </c>
      <c r="F99" s="48">
        <f>2619048</f>
        <v>2619048</v>
      </c>
      <c r="G99" s="49">
        <f>1964286</f>
        <v>1964286</v>
      </c>
      <c r="H99" s="50">
        <f>1309524</f>
        <v>1309524</v>
      </c>
      <c r="I99" s="50">
        <f>654762</f>
        <v>654762</v>
      </c>
      <c r="J99" s="50">
        <f>0</f>
        <v>0</v>
      </c>
      <c r="K99" s="50">
        <f>0</f>
        <v>0</v>
      </c>
      <c r="L99" s="50">
        <f>0</f>
        <v>0</v>
      </c>
      <c r="M99" s="50">
        <f>0</f>
        <v>0</v>
      </c>
      <c r="N99" s="50">
        <f>0</f>
        <v>0</v>
      </c>
      <c r="O99" s="50">
        <f>0</f>
        <v>0</v>
      </c>
      <c r="P99" s="50">
        <f>0</f>
        <v>0</v>
      </c>
      <c r="Q99" s="50">
        <f>0</f>
        <v>0</v>
      </c>
      <c r="R99" s="50">
        <f>0</f>
        <v>0</v>
      </c>
      <c r="S99" s="50">
        <f>0</f>
        <v>0</v>
      </c>
      <c r="T99" s="50">
        <f>0</f>
        <v>0</v>
      </c>
    </row>
    <row r="100" spans="1:21" ht="17.25" customHeight="1">
      <c r="A100" s="45" t="s">
        <v>222</v>
      </c>
      <c r="B100" s="64" t="s">
        <v>223</v>
      </c>
      <c r="C100" s="46">
        <f>2233504.87</f>
        <v>2233504.87</v>
      </c>
      <c r="D100" s="47">
        <f>654761.88</f>
        <v>654761.88</v>
      </c>
      <c r="E100" s="47">
        <f>654762</f>
        <v>654762</v>
      </c>
      <c r="F100" s="48">
        <f>654762</f>
        <v>654762</v>
      </c>
      <c r="G100" s="49">
        <f>654762</f>
        <v>654762</v>
      </c>
      <c r="H100" s="50">
        <f>654762</f>
        <v>654762</v>
      </c>
      <c r="I100" s="50">
        <f>654762</f>
        <v>654762</v>
      </c>
      <c r="J100" s="50">
        <f>654762</f>
        <v>654762</v>
      </c>
      <c r="K100" s="50">
        <f>0</f>
        <v>0</v>
      </c>
      <c r="L100" s="50">
        <f>0</f>
        <v>0</v>
      </c>
      <c r="M100" s="50">
        <f>0</f>
        <v>0</v>
      </c>
      <c r="N100" s="50">
        <f>0</f>
        <v>0</v>
      </c>
      <c r="O100" s="50">
        <f>0</f>
        <v>0</v>
      </c>
      <c r="P100" s="50">
        <f>0</f>
        <v>0</v>
      </c>
      <c r="Q100" s="50">
        <f>0</f>
        <v>0</v>
      </c>
      <c r="R100" s="50">
        <f>0</f>
        <v>0</v>
      </c>
      <c r="S100" s="50">
        <f>0</f>
        <v>0</v>
      </c>
      <c r="T100" s="50">
        <f>0</f>
        <v>0</v>
      </c>
    </row>
    <row r="101" spans="1:21" ht="32.25" customHeight="1">
      <c r="A101" s="45" t="s">
        <v>224</v>
      </c>
      <c r="B101" s="64" t="s">
        <v>225</v>
      </c>
      <c r="C101" s="46">
        <f>0</f>
        <v>0</v>
      </c>
      <c r="D101" s="47">
        <f>0</f>
        <v>0</v>
      </c>
      <c r="E101" s="47">
        <f>0</f>
        <v>0</v>
      </c>
      <c r="F101" s="48">
        <f>0</f>
        <v>0</v>
      </c>
      <c r="G101" s="49">
        <f>0</f>
        <v>0</v>
      </c>
      <c r="H101" s="50">
        <f>0</f>
        <v>0</v>
      </c>
      <c r="I101" s="50">
        <f>0</f>
        <v>0</v>
      </c>
      <c r="J101" s="50">
        <f>0</f>
        <v>0</v>
      </c>
      <c r="K101" s="50">
        <f>0</f>
        <v>0</v>
      </c>
      <c r="L101" s="50">
        <f>0</f>
        <v>0</v>
      </c>
      <c r="M101" s="50">
        <f>0</f>
        <v>0</v>
      </c>
      <c r="N101" s="50">
        <f>0</f>
        <v>0</v>
      </c>
      <c r="O101" s="50">
        <f>0</f>
        <v>0</v>
      </c>
      <c r="P101" s="50">
        <f>0</f>
        <v>0</v>
      </c>
      <c r="Q101" s="50">
        <f>0</f>
        <v>0</v>
      </c>
      <c r="R101" s="50">
        <f>0</f>
        <v>0</v>
      </c>
      <c r="S101" s="50">
        <f>0</f>
        <v>0</v>
      </c>
      <c r="T101" s="50">
        <f>0</f>
        <v>0</v>
      </c>
    </row>
    <row r="102" spans="1:21" ht="39" customHeight="1">
      <c r="A102" s="45" t="s">
        <v>226</v>
      </c>
      <c r="B102" s="64" t="s">
        <v>227</v>
      </c>
      <c r="C102" s="46">
        <f>2233504.87</f>
        <v>2233504.87</v>
      </c>
      <c r="D102" s="47">
        <f>654761.88</f>
        <v>654761.88</v>
      </c>
      <c r="E102" s="47">
        <f t="shared" ref="E102:J102" si="11">654762</f>
        <v>654762</v>
      </c>
      <c r="F102" s="48">
        <f t="shared" si="11"/>
        <v>654762</v>
      </c>
      <c r="G102" s="49">
        <f t="shared" si="11"/>
        <v>654762</v>
      </c>
      <c r="H102" s="50">
        <f t="shared" si="11"/>
        <v>654762</v>
      </c>
      <c r="I102" s="50">
        <f t="shared" si="11"/>
        <v>654762</v>
      </c>
      <c r="J102" s="50">
        <f t="shared" si="11"/>
        <v>654762</v>
      </c>
      <c r="K102" s="50">
        <f>0</f>
        <v>0</v>
      </c>
      <c r="L102" s="50">
        <f>0</f>
        <v>0</v>
      </c>
      <c r="M102" s="50">
        <f>0</f>
        <v>0</v>
      </c>
      <c r="N102" s="50">
        <f>0</f>
        <v>0</v>
      </c>
      <c r="O102" s="50">
        <f>0</f>
        <v>0</v>
      </c>
      <c r="P102" s="50">
        <f>0</f>
        <v>0</v>
      </c>
      <c r="Q102" s="50">
        <f>0</f>
        <v>0</v>
      </c>
      <c r="R102" s="50">
        <f>0</f>
        <v>0</v>
      </c>
      <c r="S102" s="50">
        <f>0</f>
        <v>0</v>
      </c>
      <c r="T102" s="50">
        <f>0</f>
        <v>0</v>
      </c>
    </row>
    <row r="103" spans="1:21" ht="17.25" customHeight="1">
      <c r="A103" s="45" t="s">
        <v>228</v>
      </c>
      <c r="B103" s="64" t="s">
        <v>229</v>
      </c>
      <c r="C103" s="46">
        <f>0</f>
        <v>0</v>
      </c>
      <c r="D103" s="47">
        <f>0</f>
        <v>0</v>
      </c>
      <c r="E103" s="47">
        <f>0</f>
        <v>0</v>
      </c>
      <c r="F103" s="48">
        <f>0</f>
        <v>0</v>
      </c>
      <c r="G103" s="49">
        <f>0</f>
        <v>0</v>
      </c>
      <c r="H103" s="50">
        <f>0</f>
        <v>0</v>
      </c>
      <c r="I103" s="50">
        <f>0</f>
        <v>0</v>
      </c>
      <c r="J103" s="50">
        <f>0</f>
        <v>0</v>
      </c>
      <c r="K103" s="50">
        <f>0</f>
        <v>0</v>
      </c>
      <c r="L103" s="50">
        <f>0</f>
        <v>0</v>
      </c>
      <c r="M103" s="50">
        <f>0</f>
        <v>0</v>
      </c>
      <c r="N103" s="50">
        <f>0</f>
        <v>0</v>
      </c>
      <c r="O103" s="50">
        <f>0</f>
        <v>0</v>
      </c>
      <c r="P103" s="50">
        <f>0</f>
        <v>0</v>
      </c>
      <c r="Q103" s="50">
        <f>0</f>
        <v>0</v>
      </c>
      <c r="R103" s="50">
        <f>0</f>
        <v>0</v>
      </c>
      <c r="S103" s="50">
        <f>0</f>
        <v>0</v>
      </c>
      <c r="T103" s="50">
        <f>0</f>
        <v>0</v>
      </c>
    </row>
    <row r="104" spans="1:21" ht="33.75" customHeight="1">
      <c r="A104" s="67" t="s">
        <v>230</v>
      </c>
      <c r="B104" s="68" t="s">
        <v>231</v>
      </c>
      <c r="C104" s="69">
        <f>-71682.92</f>
        <v>-71682.92</v>
      </c>
      <c r="D104" s="70">
        <f>0</f>
        <v>0</v>
      </c>
      <c r="E104" s="70">
        <f>0</f>
        <v>0</v>
      </c>
      <c r="F104" s="71">
        <f>0</f>
        <v>0</v>
      </c>
      <c r="G104" s="72">
        <f>0</f>
        <v>0</v>
      </c>
      <c r="H104" s="73">
        <f>0</f>
        <v>0</v>
      </c>
      <c r="I104" s="73">
        <f>0</f>
        <v>0</v>
      </c>
      <c r="J104" s="73">
        <f>0</f>
        <v>0</v>
      </c>
      <c r="K104" s="73">
        <f>0</f>
        <v>0</v>
      </c>
      <c r="L104" s="73">
        <f>0</f>
        <v>0</v>
      </c>
      <c r="M104" s="73">
        <f>0</f>
        <v>0</v>
      </c>
      <c r="N104" s="73">
        <f>0</f>
        <v>0</v>
      </c>
      <c r="O104" s="73">
        <f>0</f>
        <v>0</v>
      </c>
      <c r="P104" s="73">
        <f>0</f>
        <v>0</v>
      </c>
      <c r="Q104" s="73">
        <f>0</f>
        <v>0</v>
      </c>
      <c r="R104" s="73">
        <f>0</f>
        <v>0</v>
      </c>
      <c r="S104" s="73">
        <f>0</f>
        <v>0</v>
      </c>
      <c r="T104" s="73">
        <f>0</f>
        <v>0</v>
      </c>
    </row>
    <row r="105" spans="1:21" ht="24" hidden="1">
      <c r="A105" s="88">
        <v>15</v>
      </c>
      <c r="B105" s="89" t="s">
        <v>299</v>
      </c>
      <c r="C105" s="90" t="s">
        <v>121</v>
      </c>
      <c r="D105" s="91" t="s">
        <v>121</v>
      </c>
      <c r="E105" s="91" t="s">
        <v>121</v>
      </c>
      <c r="F105" s="92" t="s">
        <v>121</v>
      </c>
      <c r="G105" s="93" t="s">
        <v>121</v>
      </c>
      <c r="H105" s="94" t="s">
        <v>121</v>
      </c>
      <c r="I105" s="94" t="s">
        <v>121</v>
      </c>
      <c r="J105" s="94" t="s">
        <v>121</v>
      </c>
      <c r="K105" s="94" t="s">
        <v>121</v>
      </c>
      <c r="L105" s="94" t="s">
        <v>121</v>
      </c>
      <c r="M105" s="94" t="s">
        <v>121</v>
      </c>
      <c r="N105" s="94" t="s">
        <v>121</v>
      </c>
      <c r="O105" s="94" t="s">
        <v>121</v>
      </c>
      <c r="P105" s="94" t="s">
        <v>121</v>
      </c>
      <c r="Q105" s="94" t="s">
        <v>121</v>
      </c>
      <c r="R105" s="94" t="s">
        <v>121</v>
      </c>
      <c r="S105" s="94" t="s">
        <v>121</v>
      </c>
      <c r="T105" s="94" t="s">
        <v>121</v>
      </c>
    </row>
    <row r="106" spans="1:21" ht="24" hidden="1">
      <c r="A106" s="95" t="s">
        <v>300</v>
      </c>
      <c r="B106" s="120" t="s">
        <v>301</v>
      </c>
      <c r="C106" s="96">
        <f>0</f>
        <v>0</v>
      </c>
      <c r="D106" s="97">
        <f>0</f>
        <v>0</v>
      </c>
      <c r="E106" s="97">
        <f>0</f>
        <v>0</v>
      </c>
      <c r="F106" s="98">
        <f>0</f>
        <v>0</v>
      </c>
      <c r="G106" s="99">
        <f>0</f>
        <v>0</v>
      </c>
      <c r="H106" s="100">
        <f>0</f>
        <v>0</v>
      </c>
      <c r="I106" s="100">
        <f>0</f>
        <v>0</v>
      </c>
      <c r="J106" s="100">
        <f>0</f>
        <v>0</v>
      </c>
      <c r="K106" s="100">
        <f>0</f>
        <v>0</v>
      </c>
      <c r="L106" s="100">
        <f>0</f>
        <v>0</v>
      </c>
      <c r="M106" s="100">
        <f>0</f>
        <v>0</v>
      </c>
      <c r="N106" s="100">
        <f>0</f>
        <v>0</v>
      </c>
      <c r="O106" s="100">
        <f>0</f>
        <v>0</v>
      </c>
      <c r="P106" s="100">
        <f>0</f>
        <v>0</v>
      </c>
      <c r="Q106" s="100">
        <f>0</f>
        <v>0</v>
      </c>
      <c r="R106" s="100">
        <f>0</f>
        <v>0</v>
      </c>
      <c r="S106" s="100">
        <f>0</f>
        <v>0</v>
      </c>
      <c r="T106" s="100">
        <f>0</f>
        <v>0</v>
      </c>
    </row>
    <row r="107" spans="1:21" hidden="1">
      <c r="A107" s="45" t="s">
        <v>302</v>
      </c>
      <c r="B107" s="64" t="s">
        <v>303</v>
      </c>
      <c r="C107" s="46">
        <f>0</f>
        <v>0</v>
      </c>
      <c r="D107" s="47">
        <f>0</f>
        <v>0</v>
      </c>
      <c r="E107" s="47">
        <f>0</f>
        <v>0</v>
      </c>
      <c r="F107" s="48">
        <f>0</f>
        <v>0</v>
      </c>
      <c r="G107" s="49">
        <f>0</f>
        <v>0</v>
      </c>
      <c r="H107" s="50">
        <f>0</f>
        <v>0</v>
      </c>
      <c r="I107" s="50">
        <f>0</f>
        <v>0</v>
      </c>
      <c r="J107" s="50">
        <f>0</f>
        <v>0</v>
      </c>
      <c r="K107" s="50">
        <f>0</f>
        <v>0</v>
      </c>
      <c r="L107" s="50">
        <f>0</f>
        <v>0</v>
      </c>
      <c r="M107" s="50">
        <f>0</f>
        <v>0</v>
      </c>
      <c r="N107" s="50">
        <f>0</f>
        <v>0</v>
      </c>
      <c r="O107" s="50">
        <f>0</f>
        <v>0</v>
      </c>
      <c r="P107" s="50">
        <f>0</f>
        <v>0</v>
      </c>
      <c r="Q107" s="50">
        <f>0</f>
        <v>0</v>
      </c>
      <c r="R107" s="50">
        <f>0</f>
        <v>0</v>
      </c>
      <c r="S107" s="50">
        <f>0</f>
        <v>0</v>
      </c>
      <c r="T107" s="50">
        <f>0</f>
        <v>0</v>
      </c>
    </row>
    <row r="108" spans="1:21" ht="48" hidden="1">
      <c r="A108" s="82" t="s">
        <v>304</v>
      </c>
      <c r="B108" s="119" t="s">
        <v>305</v>
      </c>
      <c r="C108" s="83">
        <f>0</f>
        <v>0</v>
      </c>
      <c r="D108" s="84">
        <f>0</f>
        <v>0</v>
      </c>
      <c r="E108" s="84">
        <f>0</f>
        <v>0</v>
      </c>
      <c r="F108" s="85">
        <f>0</f>
        <v>0</v>
      </c>
      <c r="G108" s="86">
        <f>0</f>
        <v>0</v>
      </c>
      <c r="H108" s="87">
        <f>0</f>
        <v>0</v>
      </c>
      <c r="I108" s="87">
        <f>0</f>
        <v>0</v>
      </c>
      <c r="J108" s="87">
        <f>0</f>
        <v>0</v>
      </c>
      <c r="K108" s="87">
        <f>0</f>
        <v>0</v>
      </c>
      <c r="L108" s="87">
        <f>0</f>
        <v>0</v>
      </c>
      <c r="M108" s="87">
        <f>0</f>
        <v>0</v>
      </c>
      <c r="N108" s="87">
        <f>0</f>
        <v>0</v>
      </c>
      <c r="O108" s="87">
        <f>0</f>
        <v>0</v>
      </c>
      <c r="P108" s="87">
        <f>0</f>
        <v>0</v>
      </c>
      <c r="Q108" s="87">
        <f>0</f>
        <v>0</v>
      </c>
      <c r="R108" s="87">
        <f>0</f>
        <v>0</v>
      </c>
      <c r="S108" s="87">
        <f>0</f>
        <v>0</v>
      </c>
      <c r="T108" s="87">
        <f>0</f>
        <v>0</v>
      </c>
    </row>
    <row r="109" spans="1:21" ht="48" hidden="1">
      <c r="A109" s="101">
        <v>16</v>
      </c>
      <c r="B109" s="102" t="s">
        <v>306</v>
      </c>
      <c r="C109" s="90" t="s">
        <v>121</v>
      </c>
      <c r="D109" s="91" t="s">
        <v>121</v>
      </c>
      <c r="E109" s="91" t="s">
        <v>121</v>
      </c>
      <c r="F109" s="92" t="s">
        <v>121</v>
      </c>
      <c r="G109" s="93" t="s">
        <v>121</v>
      </c>
      <c r="H109" s="93" t="s">
        <v>121</v>
      </c>
      <c r="I109" s="93" t="s">
        <v>121</v>
      </c>
      <c r="J109" s="93" t="s">
        <v>121</v>
      </c>
      <c r="K109" s="93" t="s">
        <v>121</v>
      </c>
      <c r="L109" s="93" t="s">
        <v>121</v>
      </c>
      <c r="M109" s="93" t="s">
        <v>121</v>
      </c>
      <c r="N109" s="93" t="s">
        <v>121</v>
      </c>
      <c r="O109" s="93" t="s">
        <v>121</v>
      </c>
      <c r="P109" s="93" t="s">
        <v>121</v>
      </c>
      <c r="Q109" s="93" t="s">
        <v>121</v>
      </c>
      <c r="R109" s="93" t="s">
        <v>121</v>
      </c>
      <c r="S109" s="93" t="s">
        <v>121</v>
      </c>
      <c r="T109" s="93" t="s">
        <v>121</v>
      </c>
    </row>
    <row r="110" spans="1:21" ht="24" hidden="1">
      <c r="A110" s="103" t="s">
        <v>307</v>
      </c>
      <c r="B110" s="121" t="s">
        <v>308</v>
      </c>
      <c r="C110" s="104" t="s">
        <v>121</v>
      </c>
      <c r="D110" s="105" t="s">
        <v>121</v>
      </c>
      <c r="E110" s="105" t="s">
        <v>121</v>
      </c>
      <c r="F110" s="106" t="s">
        <v>121</v>
      </c>
      <c r="G110" s="99" t="str">
        <f>+IF(G46&lt;0,G46,"")</f>
        <v/>
      </c>
      <c r="H110" s="99" t="str">
        <f t="shared" ref="H110:T110" si="12">+IF(H46&lt;0,H46,"")</f>
        <v/>
      </c>
      <c r="I110" s="99" t="str">
        <f t="shared" si="12"/>
        <v/>
      </c>
      <c r="J110" s="99" t="str">
        <f t="shared" si="12"/>
        <v/>
      </c>
      <c r="K110" s="99" t="str">
        <f t="shared" si="12"/>
        <v/>
      </c>
      <c r="L110" s="99" t="str">
        <f t="shared" si="12"/>
        <v/>
      </c>
      <c r="M110" s="99" t="str">
        <f t="shared" si="12"/>
        <v/>
      </c>
      <c r="N110" s="99" t="str">
        <f t="shared" si="12"/>
        <v/>
      </c>
      <c r="O110" s="99" t="str">
        <f t="shared" si="12"/>
        <v/>
      </c>
      <c r="P110" s="99" t="str">
        <f t="shared" si="12"/>
        <v/>
      </c>
      <c r="Q110" s="99" t="str">
        <f t="shared" si="12"/>
        <v/>
      </c>
      <c r="R110" s="99" t="str">
        <f t="shared" si="12"/>
        <v/>
      </c>
      <c r="S110" s="99" t="str">
        <f t="shared" si="12"/>
        <v/>
      </c>
      <c r="T110" s="99" t="str">
        <f t="shared" si="12"/>
        <v/>
      </c>
    </row>
    <row r="111" spans="1:21" ht="24" hidden="1">
      <c r="A111" s="107" t="s">
        <v>309</v>
      </c>
      <c r="B111" s="122" t="s">
        <v>310</v>
      </c>
      <c r="C111" s="108" t="s">
        <v>121</v>
      </c>
      <c r="D111" s="109" t="s">
        <v>121</v>
      </c>
      <c r="E111" s="109" t="s">
        <v>121</v>
      </c>
      <c r="F111" s="110" t="s">
        <v>121</v>
      </c>
      <c r="G111" s="111" t="str">
        <f>IF(G51&lt;=G53,"",G53- G51)</f>
        <v/>
      </c>
      <c r="H111" s="111" t="str">
        <f t="shared" ref="H111:T111" si="13">IF(H51&lt;=H53,"",H53- H51)</f>
        <v/>
      </c>
      <c r="I111" s="111" t="str">
        <f t="shared" si="13"/>
        <v/>
      </c>
      <c r="J111" s="111" t="str">
        <f t="shared" si="13"/>
        <v/>
      </c>
      <c r="K111" s="111" t="str">
        <f t="shared" si="13"/>
        <v/>
      </c>
      <c r="L111" s="111" t="str">
        <f t="shared" si="13"/>
        <v/>
      </c>
      <c r="M111" s="111" t="str">
        <f t="shared" si="13"/>
        <v/>
      </c>
      <c r="N111" s="111" t="str">
        <f t="shared" si="13"/>
        <v/>
      </c>
      <c r="O111" s="111" t="str">
        <f t="shared" si="13"/>
        <v/>
      </c>
      <c r="P111" s="111" t="str">
        <f t="shared" si="13"/>
        <v/>
      </c>
      <c r="Q111" s="111" t="str">
        <f t="shared" si="13"/>
        <v/>
      </c>
      <c r="R111" s="111" t="str">
        <f t="shared" si="13"/>
        <v/>
      </c>
      <c r="S111" s="111" t="str">
        <f t="shared" si="13"/>
        <v/>
      </c>
      <c r="T111" s="111" t="str">
        <f t="shared" si="13"/>
        <v/>
      </c>
    </row>
    <row r="112" spans="1:21" ht="24" hidden="1">
      <c r="A112" s="112" t="s">
        <v>311</v>
      </c>
      <c r="B112" s="123" t="s">
        <v>312</v>
      </c>
      <c r="C112" s="113" t="s">
        <v>121</v>
      </c>
      <c r="D112" s="114" t="s">
        <v>121</v>
      </c>
      <c r="E112" s="114" t="s">
        <v>121</v>
      </c>
      <c r="F112" s="115" t="s">
        <v>121</v>
      </c>
      <c r="G112" s="116" t="str">
        <f>IF(G51&lt;=G54,"",G54-G51)</f>
        <v/>
      </c>
      <c r="H112" s="116" t="str">
        <f t="shared" ref="H112:T112" si="14">IF(H51&lt;=H54,"",H54-H51)</f>
        <v/>
      </c>
      <c r="I112" s="116" t="str">
        <f t="shared" si="14"/>
        <v/>
      </c>
      <c r="J112" s="116" t="str">
        <f t="shared" si="14"/>
        <v/>
      </c>
      <c r="K112" s="116" t="str">
        <f t="shared" si="14"/>
        <v/>
      </c>
      <c r="L112" s="116" t="str">
        <f t="shared" si="14"/>
        <v/>
      </c>
      <c r="M112" s="116" t="str">
        <f t="shared" si="14"/>
        <v/>
      </c>
      <c r="N112" s="116" t="str">
        <f t="shared" si="14"/>
        <v/>
      </c>
      <c r="O112" s="116" t="str">
        <f t="shared" si="14"/>
        <v/>
      </c>
      <c r="P112" s="116" t="str">
        <f t="shared" si="14"/>
        <v/>
      </c>
      <c r="Q112" s="116" t="str">
        <f t="shared" si="14"/>
        <v/>
      </c>
      <c r="R112" s="116" t="str">
        <f t="shared" si="14"/>
        <v/>
      </c>
      <c r="S112" s="116" t="str">
        <f t="shared" si="14"/>
        <v/>
      </c>
      <c r="T112" s="116" t="str">
        <f t="shared" si="14"/>
        <v/>
      </c>
    </row>
    <row r="113" spans="1:2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74"/>
    </row>
  </sheetData>
  <sheetProtection formatCells="0" formatColumns="0" formatRows="0" insertColumns="0" deleteColumns="0"/>
  <mergeCells count="2">
    <mergeCell ref="C2:D2"/>
    <mergeCell ref="A1:T1"/>
  </mergeCells>
  <conditionalFormatting sqref="G55:T56">
    <cfRule type="expression" dxfId="0" priority="12" stopIfTrue="1">
      <formula>LEFT(G55,3)="Nie"</formula>
    </cfRule>
  </conditionalFormatting>
  <pageMargins left="0.15748031496062992" right="0.15748031496062992" top="1.31" bottom="1.35" header="0.73" footer="0.45"/>
  <pageSetup paperSize="9" scale="57" orientation="landscape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120" zoomScaleNormal="120" workbookViewId="0">
      <pane ySplit="4" topLeftCell="A5" activePane="bottomLeft" state="frozen"/>
      <selection pane="bottomLeft" activeCell="O11" sqref="O11"/>
    </sheetView>
  </sheetViews>
  <sheetFormatPr defaultRowHeight="12.75"/>
  <cols>
    <col min="1" max="1" width="7.85546875" style="2" customWidth="1"/>
    <col min="2" max="2" width="55" style="1" customWidth="1"/>
    <col min="3" max="3" width="19.42578125" style="2" customWidth="1"/>
    <col min="4" max="5" width="7.42578125" style="2" customWidth="1"/>
    <col min="6" max="6" width="13.7109375" style="1" customWidth="1"/>
    <col min="7" max="10" width="12.140625" style="1" customWidth="1"/>
    <col min="11" max="11" width="13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1" s="17" customFormat="1" ht="22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/>
    <row r="3" spans="1:11" ht="31.5" customHeight="1">
      <c r="A3" s="128" t="s">
        <v>1</v>
      </c>
      <c r="B3" s="128" t="s">
        <v>2</v>
      </c>
      <c r="C3" s="128" t="s">
        <v>3</v>
      </c>
      <c r="D3" s="128" t="s">
        <v>4</v>
      </c>
      <c r="E3" s="128"/>
      <c r="F3" s="128" t="s">
        <v>5</v>
      </c>
      <c r="G3" s="129"/>
      <c r="H3" s="129"/>
      <c r="I3" s="129"/>
      <c r="J3" s="21"/>
      <c r="K3" s="128" t="s">
        <v>6</v>
      </c>
    </row>
    <row r="4" spans="1:11" s="2" customFormat="1" ht="23.25" customHeight="1">
      <c r="A4" s="128"/>
      <c r="B4" s="128"/>
      <c r="C4" s="128"/>
      <c r="D4" s="3" t="s">
        <v>7</v>
      </c>
      <c r="E4" s="3" t="s">
        <v>8</v>
      </c>
      <c r="F4" s="128"/>
      <c r="G4" s="4">
        <v>2018</v>
      </c>
      <c r="H4" s="4">
        <v>2019</v>
      </c>
      <c r="I4" s="4">
        <v>2020</v>
      </c>
      <c r="J4" s="4">
        <v>2021</v>
      </c>
      <c r="K4" s="128"/>
    </row>
    <row r="5" spans="1:11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7" customFormat="1" ht="18.75" customHeight="1">
      <c r="A6" s="5" t="s">
        <v>9</v>
      </c>
      <c r="B6" s="126" t="s">
        <v>10</v>
      </c>
      <c r="C6" s="126"/>
      <c r="D6" s="126"/>
      <c r="E6" s="126"/>
      <c r="F6" s="6">
        <f t="shared" ref="F6:K7" si="0">SUM(F9,F19,F22)</f>
        <v>65353726</v>
      </c>
      <c r="G6" s="6">
        <f t="shared" si="0"/>
        <v>34580478</v>
      </c>
      <c r="H6" s="6">
        <f t="shared" si="0"/>
        <v>5709308</v>
      </c>
      <c r="I6" s="6">
        <f t="shared" si="0"/>
        <v>2459059</v>
      </c>
      <c r="J6" s="6">
        <f t="shared" si="0"/>
        <v>374400</v>
      </c>
      <c r="K6" s="6">
        <f t="shared" si="0"/>
        <v>43123245</v>
      </c>
    </row>
    <row r="7" spans="1:11" s="7" customFormat="1" ht="18.75" customHeight="1">
      <c r="A7" s="5" t="s">
        <v>11</v>
      </c>
      <c r="B7" s="126" t="s">
        <v>12</v>
      </c>
      <c r="C7" s="126"/>
      <c r="D7" s="126"/>
      <c r="E7" s="126"/>
      <c r="F7" s="6">
        <f t="shared" si="0"/>
        <v>6990898</v>
      </c>
      <c r="G7" s="6">
        <f t="shared" si="0"/>
        <v>2539849</v>
      </c>
      <c r="H7" s="6">
        <f t="shared" si="0"/>
        <v>1630201</v>
      </c>
      <c r="I7" s="6">
        <f t="shared" si="0"/>
        <v>1259059</v>
      </c>
      <c r="J7" s="6">
        <f t="shared" si="0"/>
        <v>374400</v>
      </c>
      <c r="K7" s="6">
        <f t="shared" si="0"/>
        <v>5803509</v>
      </c>
    </row>
    <row r="8" spans="1:11" s="7" customFormat="1" ht="18.75" customHeight="1">
      <c r="A8" s="5" t="s">
        <v>13</v>
      </c>
      <c r="B8" s="126" t="s">
        <v>14</v>
      </c>
      <c r="C8" s="126"/>
      <c r="D8" s="126"/>
      <c r="E8" s="126"/>
      <c r="F8" s="6">
        <f t="shared" ref="F8:K8" si="1">SUM(F17,F21,F26)</f>
        <v>58362828</v>
      </c>
      <c r="G8" s="6">
        <f t="shared" si="1"/>
        <v>32040629</v>
      </c>
      <c r="H8" s="6">
        <f t="shared" si="1"/>
        <v>4079107</v>
      </c>
      <c r="I8" s="6">
        <f t="shared" si="1"/>
        <v>1200000</v>
      </c>
      <c r="J8" s="6">
        <f t="shared" si="1"/>
        <v>0</v>
      </c>
      <c r="K8" s="6">
        <f t="shared" si="1"/>
        <v>37319736</v>
      </c>
    </row>
    <row r="9" spans="1:11" s="9" customFormat="1" ht="48.75" customHeight="1">
      <c r="A9" s="5" t="s">
        <v>15</v>
      </c>
      <c r="B9" s="126" t="s">
        <v>292</v>
      </c>
      <c r="C9" s="126"/>
      <c r="D9" s="126"/>
      <c r="E9" s="126"/>
      <c r="F9" s="8">
        <f t="shared" ref="F9:K9" si="2">SUM(F10,F17)</f>
        <v>5713055</v>
      </c>
      <c r="G9" s="8">
        <f t="shared" si="2"/>
        <v>2454468</v>
      </c>
      <c r="H9" s="8">
        <f t="shared" si="2"/>
        <v>1254863</v>
      </c>
      <c r="I9" s="8">
        <f t="shared" si="2"/>
        <v>884659</v>
      </c>
      <c r="J9" s="8">
        <f t="shared" si="2"/>
        <v>0</v>
      </c>
      <c r="K9" s="8">
        <f t="shared" si="2"/>
        <v>4593990</v>
      </c>
    </row>
    <row r="10" spans="1:11" s="7" customFormat="1" ht="18.75" customHeight="1">
      <c r="A10" s="5" t="s">
        <v>16</v>
      </c>
      <c r="B10" s="126" t="s">
        <v>12</v>
      </c>
      <c r="C10" s="126"/>
      <c r="D10" s="126"/>
      <c r="E10" s="126"/>
      <c r="F10" s="6">
        <f>SUM(F11:F16)</f>
        <v>5390938</v>
      </c>
      <c r="G10" s="6">
        <f t="shared" ref="G10:K10" si="3">SUM(G11:G16)</f>
        <v>2194649</v>
      </c>
      <c r="H10" s="6">
        <f t="shared" si="3"/>
        <v>1253801</v>
      </c>
      <c r="I10" s="6">
        <f t="shared" si="3"/>
        <v>884659</v>
      </c>
      <c r="J10" s="6">
        <f t="shared" si="3"/>
        <v>0</v>
      </c>
      <c r="K10" s="6">
        <f t="shared" si="3"/>
        <v>4333109</v>
      </c>
    </row>
    <row r="11" spans="1:11" s="27" customFormat="1" ht="43.5" customHeight="1">
      <c r="A11" s="22" t="s">
        <v>36</v>
      </c>
      <c r="B11" s="23" t="s">
        <v>240</v>
      </c>
      <c r="C11" s="24" t="s">
        <v>241</v>
      </c>
      <c r="D11" s="25">
        <v>2017</v>
      </c>
      <c r="E11" s="25">
        <v>2018</v>
      </c>
      <c r="F11" s="26">
        <v>571446</v>
      </c>
      <c r="G11" s="26">
        <v>220615</v>
      </c>
      <c r="H11" s="26"/>
      <c r="I11" s="26"/>
      <c r="J11" s="26"/>
      <c r="K11" s="26">
        <f t="shared" ref="K11:K16" si="4">SUM(G11:I11)</f>
        <v>220615</v>
      </c>
    </row>
    <row r="12" spans="1:11" s="27" customFormat="1" ht="43.5" customHeight="1">
      <c r="A12" s="22" t="s">
        <v>239</v>
      </c>
      <c r="B12" s="23" t="s">
        <v>248</v>
      </c>
      <c r="C12" s="24" t="s">
        <v>18</v>
      </c>
      <c r="D12" s="25">
        <v>2017</v>
      </c>
      <c r="E12" s="25">
        <v>2018</v>
      </c>
      <c r="F12" s="26">
        <v>830763</v>
      </c>
      <c r="G12" s="26">
        <v>165712</v>
      </c>
      <c r="H12" s="26"/>
      <c r="I12" s="26"/>
      <c r="J12" s="26"/>
      <c r="K12" s="26">
        <f t="shared" si="4"/>
        <v>165712</v>
      </c>
    </row>
    <row r="13" spans="1:11" s="15" customFormat="1" ht="18.75" customHeight="1">
      <c r="A13" s="10" t="s">
        <v>247</v>
      </c>
      <c r="B13" s="11" t="s">
        <v>252</v>
      </c>
      <c r="C13" s="12" t="s">
        <v>253</v>
      </c>
      <c r="D13" s="13">
        <v>2017</v>
      </c>
      <c r="E13" s="13">
        <v>2018</v>
      </c>
      <c r="F13" s="14">
        <v>33102</v>
      </c>
      <c r="G13" s="14">
        <v>6621</v>
      </c>
      <c r="H13" s="14"/>
      <c r="I13" s="14"/>
      <c r="J13" s="14"/>
      <c r="K13" s="14">
        <f t="shared" si="4"/>
        <v>6621</v>
      </c>
    </row>
    <row r="14" spans="1:11" s="27" customFormat="1" ht="42" customHeight="1">
      <c r="A14" s="22" t="s">
        <v>251</v>
      </c>
      <c r="B14" s="23" t="s">
        <v>256</v>
      </c>
      <c r="C14" s="24" t="s">
        <v>241</v>
      </c>
      <c r="D14" s="25">
        <v>2017</v>
      </c>
      <c r="E14" s="25">
        <v>2019</v>
      </c>
      <c r="F14" s="26">
        <v>514780</v>
      </c>
      <c r="G14" s="26">
        <v>259588</v>
      </c>
      <c r="H14" s="26">
        <v>239726</v>
      </c>
      <c r="I14" s="26"/>
      <c r="J14" s="26"/>
      <c r="K14" s="26">
        <f t="shared" si="4"/>
        <v>499314</v>
      </c>
    </row>
    <row r="15" spans="1:11" s="15" customFormat="1" ht="42" customHeight="1">
      <c r="A15" s="10" t="s">
        <v>255</v>
      </c>
      <c r="B15" s="11" t="s">
        <v>257</v>
      </c>
      <c r="C15" s="12" t="s">
        <v>18</v>
      </c>
      <c r="D15" s="13">
        <v>2018</v>
      </c>
      <c r="E15" s="13">
        <v>2019</v>
      </c>
      <c r="F15" s="14">
        <v>645924</v>
      </c>
      <c r="G15" s="14">
        <v>516739</v>
      </c>
      <c r="H15" s="14">
        <v>129185</v>
      </c>
      <c r="I15" s="14"/>
      <c r="J15" s="14"/>
      <c r="K15" s="14">
        <f t="shared" si="4"/>
        <v>645924</v>
      </c>
    </row>
    <row r="16" spans="1:11" s="27" customFormat="1" ht="48" customHeight="1">
      <c r="A16" s="22" t="s">
        <v>297</v>
      </c>
      <c r="B16" s="23" t="s">
        <v>298</v>
      </c>
      <c r="C16" s="24" t="s">
        <v>241</v>
      </c>
      <c r="D16" s="25">
        <v>2018</v>
      </c>
      <c r="E16" s="25">
        <v>2020</v>
      </c>
      <c r="F16" s="26">
        <v>2794923</v>
      </c>
      <c r="G16" s="26">
        <v>1025374</v>
      </c>
      <c r="H16" s="26">
        <v>884890</v>
      </c>
      <c r="I16" s="26">
        <v>884659</v>
      </c>
      <c r="J16" s="26"/>
      <c r="K16" s="26">
        <f t="shared" si="4"/>
        <v>2794923</v>
      </c>
    </row>
    <row r="17" spans="1:13" s="7" customFormat="1" ht="18.75" customHeight="1">
      <c r="A17" s="5" t="s">
        <v>19</v>
      </c>
      <c r="B17" s="126" t="s">
        <v>14</v>
      </c>
      <c r="C17" s="126"/>
      <c r="D17" s="126"/>
      <c r="E17" s="126"/>
      <c r="F17" s="6">
        <f t="shared" ref="F17:K17" si="5">SUM(F18:F18)</f>
        <v>322117</v>
      </c>
      <c r="G17" s="6">
        <f t="shared" si="5"/>
        <v>259819</v>
      </c>
      <c r="H17" s="6">
        <f t="shared" si="5"/>
        <v>1062</v>
      </c>
      <c r="I17" s="6">
        <f t="shared" si="5"/>
        <v>0</v>
      </c>
      <c r="J17" s="6">
        <f t="shared" si="5"/>
        <v>0</v>
      </c>
      <c r="K17" s="6">
        <f t="shared" si="5"/>
        <v>260881</v>
      </c>
      <c r="L17" s="16"/>
      <c r="M17" s="16"/>
    </row>
    <row r="18" spans="1:13" s="15" customFormat="1" ht="44.25" customHeight="1">
      <c r="A18" s="10" t="s">
        <v>37</v>
      </c>
      <c r="B18" s="11" t="s">
        <v>20</v>
      </c>
      <c r="C18" s="12" t="s">
        <v>17</v>
      </c>
      <c r="D18" s="13">
        <v>2016</v>
      </c>
      <c r="E18" s="13">
        <v>2019</v>
      </c>
      <c r="F18" s="14">
        <v>322117</v>
      </c>
      <c r="G18" s="14">
        <v>259819</v>
      </c>
      <c r="H18" s="14">
        <v>1062</v>
      </c>
      <c r="I18" s="14"/>
      <c r="J18" s="14"/>
      <c r="K18" s="14">
        <f>SUM(G18:I18)</f>
        <v>260881</v>
      </c>
    </row>
    <row r="19" spans="1:13" s="9" customFormat="1" ht="18.75" customHeight="1">
      <c r="A19" s="5" t="s">
        <v>21</v>
      </c>
      <c r="B19" s="126" t="s">
        <v>22</v>
      </c>
      <c r="C19" s="126"/>
      <c r="D19" s="126"/>
      <c r="E19" s="126"/>
      <c r="F19" s="8">
        <f t="shared" ref="F19:J19" si="6">SUM(F20:F21)</f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>SUM(G19:I19)</f>
        <v>0</v>
      </c>
    </row>
    <row r="20" spans="1:13" s="9" customFormat="1" ht="18.75" customHeight="1">
      <c r="A20" s="5" t="s">
        <v>242</v>
      </c>
      <c r="B20" s="126" t="s">
        <v>12</v>
      </c>
      <c r="C20" s="126"/>
      <c r="D20" s="126"/>
      <c r="E20" s="126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>SUM(G20:I20)</f>
        <v>0</v>
      </c>
    </row>
    <row r="21" spans="1:13" s="9" customFormat="1" ht="18.75" customHeight="1">
      <c r="A21" s="5" t="s">
        <v>243</v>
      </c>
      <c r="B21" s="126" t="s">
        <v>14</v>
      </c>
      <c r="C21" s="126"/>
      <c r="D21" s="126"/>
      <c r="E21" s="126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>SUM(G21:I21)</f>
        <v>0</v>
      </c>
    </row>
    <row r="22" spans="1:13" s="9" customFormat="1" ht="18.75" customHeight="1">
      <c r="A22" s="5" t="s">
        <v>25</v>
      </c>
      <c r="B22" s="126" t="s">
        <v>26</v>
      </c>
      <c r="C22" s="126"/>
      <c r="D22" s="126"/>
      <c r="E22" s="126"/>
      <c r="F22" s="8">
        <f>SUM(F23,F26)</f>
        <v>59640671</v>
      </c>
      <c r="G22" s="8">
        <f t="shared" ref="G22:K22" si="7">SUM(G23,G26)</f>
        <v>32126010</v>
      </c>
      <c r="H22" s="8">
        <f t="shared" si="7"/>
        <v>4454445</v>
      </c>
      <c r="I22" s="8">
        <f t="shared" si="7"/>
        <v>1574400</v>
      </c>
      <c r="J22" s="8">
        <f t="shared" si="7"/>
        <v>374400</v>
      </c>
      <c r="K22" s="8">
        <f t="shared" si="7"/>
        <v>38529255</v>
      </c>
    </row>
    <row r="23" spans="1:13" s="9" customFormat="1" ht="18.75" customHeight="1">
      <c r="A23" s="5" t="s">
        <v>27</v>
      </c>
      <c r="B23" s="126" t="s">
        <v>12</v>
      </c>
      <c r="C23" s="126"/>
      <c r="D23" s="126"/>
      <c r="E23" s="126"/>
      <c r="F23" s="8">
        <f>SUM(F24:F25)</f>
        <v>1599960</v>
      </c>
      <c r="G23" s="8">
        <f t="shared" ref="G23:K23" si="8">SUM(G24:G25)</f>
        <v>345200</v>
      </c>
      <c r="H23" s="8">
        <f t="shared" si="8"/>
        <v>376400</v>
      </c>
      <c r="I23" s="8">
        <f t="shared" si="8"/>
        <v>374400</v>
      </c>
      <c r="J23" s="8">
        <f t="shared" si="8"/>
        <v>374400</v>
      </c>
      <c r="K23" s="8">
        <f t="shared" si="8"/>
        <v>1470400</v>
      </c>
    </row>
    <row r="24" spans="1:13" s="15" customFormat="1" ht="36" customHeight="1">
      <c r="A24" s="10" t="s">
        <v>250</v>
      </c>
      <c r="B24" s="11" t="s">
        <v>249</v>
      </c>
      <c r="C24" s="12" t="s">
        <v>17</v>
      </c>
      <c r="D24" s="13">
        <v>2017</v>
      </c>
      <c r="E24" s="13">
        <v>2019</v>
      </c>
      <c r="F24" s="14">
        <v>240000</v>
      </c>
      <c r="G24" s="14">
        <v>80000</v>
      </c>
      <c r="H24" s="14">
        <v>80000</v>
      </c>
      <c r="I24" s="14"/>
      <c r="J24" s="14"/>
      <c r="K24" s="14">
        <f>SUM(G24:I24)</f>
        <v>160000</v>
      </c>
    </row>
    <row r="25" spans="1:13" s="15" customFormat="1" ht="52.5" customHeight="1">
      <c r="A25" s="10" t="s">
        <v>289</v>
      </c>
      <c r="B25" s="11" t="s">
        <v>290</v>
      </c>
      <c r="C25" s="12" t="s">
        <v>291</v>
      </c>
      <c r="D25" s="13">
        <v>2017</v>
      </c>
      <c r="E25" s="13">
        <v>2021</v>
      </c>
      <c r="F25" s="14">
        <v>1359960</v>
      </c>
      <c r="G25" s="14">
        <v>265200</v>
      </c>
      <c r="H25" s="14">
        <v>296400</v>
      </c>
      <c r="I25" s="14">
        <v>374400</v>
      </c>
      <c r="J25" s="14">
        <v>374400</v>
      </c>
      <c r="K25" s="14">
        <f>SUM(G25:J25)</f>
        <v>1310400</v>
      </c>
    </row>
    <row r="26" spans="1:13" s="9" customFormat="1" ht="18.75" customHeight="1">
      <c r="A26" s="5" t="s">
        <v>28</v>
      </c>
      <c r="B26" s="126" t="s">
        <v>14</v>
      </c>
      <c r="C26" s="126"/>
      <c r="D26" s="126"/>
      <c r="E26" s="126"/>
      <c r="F26" s="8">
        <f>SUM(F27:F55)</f>
        <v>58040711</v>
      </c>
      <c r="G26" s="8">
        <f t="shared" ref="G26:K26" si="9">SUM(G27:G55)</f>
        <v>31780810</v>
      </c>
      <c r="H26" s="8">
        <f t="shared" si="9"/>
        <v>4078045</v>
      </c>
      <c r="I26" s="8">
        <f t="shared" si="9"/>
        <v>1200000</v>
      </c>
      <c r="J26" s="8">
        <f t="shared" si="9"/>
        <v>0</v>
      </c>
      <c r="K26" s="8">
        <f t="shared" si="9"/>
        <v>37058855</v>
      </c>
    </row>
    <row r="27" spans="1:13" s="15" customFormat="1" ht="35.25" customHeight="1">
      <c r="A27" s="10" t="s">
        <v>29</v>
      </c>
      <c r="B27" s="11" t="s">
        <v>30</v>
      </c>
      <c r="C27" s="12" t="s">
        <v>31</v>
      </c>
      <c r="D27" s="13">
        <v>2014</v>
      </c>
      <c r="E27" s="13">
        <v>2019</v>
      </c>
      <c r="F27" s="14">
        <v>744637</v>
      </c>
      <c r="G27" s="14">
        <v>0</v>
      </c>
      <c r="H27" s="14">
        <v>150000</v>
      </c>
      <c r="I27" s="14"/>
      <c r="J27" s="14"/>
      <c r="K27" s="14">
        <f t="shared" ref="K27:K54" si="10">SUM(G27:I27)</f>
        <v>150000</v>
      </c>
    </row>
    <row r="28" spans="1:13" s="15" customFormat="1" ht="36.75" customHeight="1">
      <c r="A28" s="10" t="s">
        <v>38</v>
      </c>
      <c r="B28" s="11" t="s">
        <v>34</v>
      </c>
      <c r="C28" s="12" t="s">
        <v>31</v>
      </c>
      <c r="D28" s="13">
        <v>2016</v>
      </c>
      <c r="E28" s="13">
        <v>2018</v>
      </c>
      <c r="F28" s="14">
        <v>6140333</v>
      </c>
      <c r="G28" s="14">
        <v>6057633</v>
      </c>
      <c r="H28" s="14"/>
      <c r="I28" s="14"/>
      <c r="J28" s="14"/>
      <c r="K28" s="14">
        <f t="shared" si="10"/>
        <v>6057633</v>
      </c>
    </row>
    <row r="29" spans="1:13" s="15" customFormat="1" ht="35.25" customHeight="1">
      <c r="A29" s="10" t="s">
        <v>39</v>
      </c>
      <c r="B29" s="11" t="s">
        <v>35</v>
      </c>
      <c r="C29" s="12" t="s">
        <v>31</v>
      </c>
      <c r="D29" s="13">
        <v>2015</v>
      </c>
      <c r="E29" s="13">
        <v>2018</v>
      </c>
      <c r="F29" s="14">
        <v>750000</v>
      </c>
      <c r="G29" s="14">
        <v>150000</v>
      </c>
      <c r="H29" s="14"/>
      <c r="I29" s="14"/>
      <c r="J29" s="14"/>
      <c r="K29" s="14">
        <f t="shared" si="10"/>
        <v>150000</v>
      </c>
    </row>
    <row r="30" spans="1:13" s="15" customFormat="1" ht="51" customHeight="1">
      <c r="A30" s="22" t="s">
        <v>40</v>
      </c>
      <c r="B30" s="23" t="s">
        <v>32</v>
      </c>
      <c r="C30" s="24" t="s">
        <v>17</v>
      </c>
      <c r="D30" s="25">
        <v>2011</v>
      </c>
      <c r="E30" s="25">
        <v>2019</v>
      </c>
      <c r="F30" s="26">
        <v>1342416</v>
      </c>
      <c r="G30" s="26">
        <v>61350</v>
      </c>
      <c r="H30" s="26">
        <v>1000000</v>
      </c>
      <c r="I30" s="26"/>
      <c r="J30" s="26"/>
      <c r="K30" s="26">
        <f t="shared" si="10"/>
        <v>1061350</v>
      </c>
    </row>
    <row r="31" spans="1:13" s="15" customFormat="1" ht="34.5" customHeight="1">
      <c r="A31" s="10" t="s">
        <v>41</v>
      </c>
      <c r="B31" s="11" t="s">
        <v>244</v>
      </c>
      <c r="C31" s="12" t="s">
        <v>31</v>
      </c>
      <c r="D31" s="13">
        <v>2016</v>
      </c>
      <c r="E31" s="13">
        <v>2018</v>
      </c>
      <c r="F31" s="14">
        <v>549815</v>
      </c>
      <c r="G31" s="14">
        <v>500000</v>
      </c>
      <c r="H31" s="14"/>
      <c r="I31" s="14"/>
      <c r="J31" s="14"/>
      <c r="K31" s="14">
        <f t="shared" si="10"/>
        <v>500000</v>
      </c>
    </row>
    <row r="32" spans="1:13" s="15" customFormat="1" ht="68.25" customHeight="1">
      <c r="A32" s="10" t="s">
        <v>42</v>
      </c>
      <c r="B32" s="11" t="s">
        <v>33</v>
      </c>
      <c r="C32" s="12" t="s">
        <v>31</v>
      </c>
      <c r="D32" s="13">
        <v>2011</v>
      </c>
      <c r="E32" s="13">
        <v>2018</v>
      </c>
      <c r="F32" s="14">
        <v>31123790</v>
      </c>
      <c r="G32" s="14">
        <v>16000000</v>
      </c>
      <c r="H32" s="14"/>
      <c r="I32" s="14"/>
      <c r="J32" s="14"/>
      <c r="K32" s="14">
        <f t="shared" si="10"/>
        <v>16000000</v>
      </c>
    </row>
    <row r="33" spans="1:11" ht="36" customHeight="1">
      <c r="A33" s="10" t="s">
        <v>43</v>
      </c>
      <c r="B33" s="11" t="s">
        <v>234</v>
      </c>
      <c r="C33" s="12" t="s">
        <v>31</v>
      </c>
      <c r="D33" s="13">
        <v>2016</v>
      </c>
      <c r="E33" s="13">
        <v>2019</v>
      </c>
      <c r="F33" s="14">
        <v>395000</v>
      </c>
      <c r="G33" s="14">
        <v>75000</v>
      </c>
      <c r="H33" s="14">
        <v>80000</v>
      </c>
      <c r="I33" s="14"/>
      <c r="J33" s="14"/>
      <c r="K33" s="14">
        <f t="shared" si="10"/>
        <v>155000</v>
      </c>
    </row>
    <row r="34" spans="1:11" ht="46.5" customHeight="1">
      <c r="A34" s="10" t="s">
        <v>44</v>
      </c>
      <c r="B34" s="11" t="s">
        <v>235</v>
      </c>
      <c r="C34" s="12" t="s">
        <v>31</v>
      </c>
      <c r="D34" s="13">
        <v>2017</v>
      </c>
      <c r="E34" s="13">
        <v>2019</v>
      </c>
      <c r="F34" s="14">
        <v>200000</v>
      </c>
      <c r="G34" s="14">
        <v>0</v>
      </c>
      <c r="H34" s="14">
        <v>160000</v>
      </c>
      <c r="I34" s="14"/>
      <c r="J34" s="14"/>
      <c r="K34" s="14">
        <f t="shared" si="10"/>
        <v>160000</v>
      </c>
    </row>
    <row r="35" spans="1:11" ht="48.75" customHeight="1">
      <c r="A35" s="10" t="s">
        <v>45</v>
      </c>
      <c r="B35" s="11" t="s">
        <v>236</v>
      </c>
      <c r="C35" s="12" t="s">
        <v>31</v>
      </c>
      <c r="D35" s="13">
        <v>2017</v>
      </c>
      <c r="E35" s="13">
        <v>2018</v>
      </c>
      <c r="F35" s="14">
        <v>600000</v>
      </c>
      <c r="G35" s="14">
        <v>530000</v>
      </c>
      <c r="H35" s="14"/>
      <c r="I35" s="14"/>
      <c r="J35" s="14"/>
      <c r="K35" s="14">
        <f t="shared" si="10"/>
        <v>530000</v>
      </c>
    </row>
    <row r="36" spans="1:11" ht="33.75" customHeight="1">
      <c r="A36" s="10" t="s">
        <v>46</v>
      </c>
      <c r="B36" s="11" t="s">
        <v>237</v>
      </c>
      <c r="C36" s="12" t="s">
        <v>31</v>
      </c>
      <c r="D36" s="13">
        <v>2017</v>
      </c>
      <c r="E36" s="13">
        <v>2020</v>
      </c>
      <c r="F36" s="14">
        <v>300000</v>
      </c>
      <c r="G36" s="14">
        <v>0</v>
      </c>
      <c r="H36" s="14">
        <v>100000</v>
      </c>
      <c r="I36" s="14">
        <v>100000</v>
      </c>
      <c r="J36" s="14"/>
      <c r="K36" s="14">
        <f t="shared" si="10"/>
        <v>200000</v>
      </c>
    </row>
    <row r="37" spans="1:11" s="28" customFormat="1" ht="34.5" customHeight="1">
      <c r="A37" s="22" t="s">
        <v>47</v>
      </c>
      <c r="B37" s="23" t="s">
        <v>238</v>
      </c>
      <c r="C37" s="24" t="s">
        <v>31</v>
      </c>
      <c r="D37" s="25">
        <v>2017</v>
      </c>
      <c r="E37" s="25">
        <v>2019</v>
      </c>
      <c r="F37" s="26">
        <v>2540670</v>
      </c>
      <c r="G37" s="26">
        <v>857375</v>
      </c>
      <c r="H37" s="26">
        <v>588045</v>
      </c>
      <c r="I37" s="26"/>
      <c r="J37" s="26"/>
      <c r="K37" s="26">
        <f t="shared" si="10"/>
        <v>1445420</v>
      </c>
    </row>
    <row r="38" spans="1:11" ht="36.75" customHeight="1">
      <c r="A38" s="10" t="s">
        <v>48</v>
      </c>
      <c r="B38" s="11" t="s">
        <v>246</v>
      </c>
      <c r="C38" s="12" t="s">
        <v>31</v>
      </c>
      <c r="D38" s="13">
        <v>2017</v>
      </c>
      <c r="E38" s="13">
        <v>2020</v>
      </c>
      <c r="F38" s="14">
        <v>500000</v>
      </c>
      <c r="G38" s="14">
        <v>200000</v>
      </c>
      <c r="H38" s="14">
        <v>100000</v>
      </c>
      <c r="I38" s="14">
        <v>100000</v>
      </c>
      <c r="J38" s="14"/>
      <c r="K38" s="14">
        <f t="shared" si="10"/>
        <v>400000</v>
      </c>
    </row>
    <row r="39" spans="1:11" ht="35.25" customHeight="1">
      <c r="A39" s="22" t="s">
        <v>233</v>
      </c>
      <c r="B39" s="23" t="s">
        <v>254</v>
      </c>
      <c r="C39" s="24" t="s">
        <v>17</v>
      </c>
      <c r="D39" s="25">
        <v>2017</v>
      </c>
      <c r="E39" s="25">
        <v>2018</v>
      </c>
      <c r="F39" s="26">
        <v>3109500</v>
      </c>
      <c r="G39" s="26">
        <v>2565402</v>
      </c>
      <c r="H39" s="26"/>
      <c r="I39" s="26"/>
      <c r="J39" s="26"/>
      <c r="K39" s="26">
        <f t="shared" si="10"/>
        <v>2565402</v>
      </c>
    </row>
    <row r="40" spans="1:11" ht="43.5" customHeight="1">
      <c r="A40" s="10" t="s">
        <v>245</v>
      </c>
      <c r="B40" s="11" t="s">
        <v>287</v>
      </c>
      <c r="C40" s="12" t="s">
        <v>258</v>
      </c>
      <c r="D40" s="13">
        <v>2017</v>
      </c>
      <c r="E40" s="13">
        <v>2018</v>
      </c>
      <c r="F40" s="14">
        <v>136500</v>
      </c>
      <c r="G40" s="14">
        <v>68000</v>
      </c>
      <c r="H40" s="14"/>
      <c r="I40" s="14"/>
      <c r="J40" s="14"/>
      <c r="K40" s="14">
        <f t="shared" si="10"/>
        <v>68000</v>
      </c>
    </row>
    <row r="41" spans="1:11" ht="39.75" customHeight="1">
      <c r="A41" s="10" t="s">
        <v>259</v>
      </c>
      <c r="B41" s="11" t="s">
        <v>260</v>
      </c>
      <c r="C41" s="12" t="s">
        <v>31</v>
      </c>
      <c r="D41" s="13">
        <v>2017</v>
      </c>
      <c r="E41" s="13">
        <v>2018</v>
      </c>
      <c r="F41" s="14">
        <v>250000</v>
      </c>
      <c r="G41" s="14">
        <v>100000</v>
      </c>
      <c r="H41" s="14"/>
      <c r="I41" s="14"/>
      <c r="J41" s="14"/>
      <c r="K41" s="14">
        <f t="shared" si="10"/>
        <v>100000</v>
      </c>
    </row>
    <row r="42" spans="1:11" ht="48" customHeight="1">
      <c r="A42" s="10" t="s">
        <v>261</v>
      </c>
      <c r="B42" s="11" t="s">
        <v>262</v>
      </c>
      <c r="C42" s="12" t="s">
        <v>31</v>
      </c>
      <c r="D42" s="13">
        <v>2017</v>
      </c>
      <c r="E42" s="13">
        <v>2018</v>
      </c>
      <c r="F42" s="14">
        <v>250000</v>
      </c>
      <c r="G42" s="14">
        <v>100000</v>
      </c>
      <c r="H42" s="14"/>
      <c r="I42" s="14"/>
      <c r="J42" s="14"/>
      <c r="K42" s="14">
        <f t="shared" si="10"/>
        <v>100000</v>
      </c>
    </row>
    <row r="43" spans="1:11" ht="33.75" customHeight="1">
      <c r="A43" s="10" t="s">
        <v>263</v>
      </c>
      <c r="B43" s="11" t="s">
        <v>264</v>
      </c>
      <c r="C43" s="12" t="s">
        <v>31</v>
      </c>
      <c r="D43" s="13">
        <v>2017</v>
      </c>
      <c r="E43" s="13">
        <v>2018</v>
      </c>
      <c r="F43" s="14">
        <v>250000</v>
      </c>
      <c r="G43" s="14">
        <v>100000</v>
      </c>
      <c r="H43" s="14"/>
      <c r="I43" s="14"/>
      <c r="J43" s="14"/>
      <c r="K43" s="14">
        <f t="shared" si="10"/>
        <v>100000</v>
      </c>
    </row>
    <row r="44" spans="1:11" ht="37.5" customHeight="1">
      <c r="A44" s="10" t="s">
        <v>265</v>
      </c>
      <c r="B44" s="11" t="s">
        <v>266</v>
      </c>
      <c r="C44" s="12" t="s">
        <v>31</v>
      </c>
      <c r="D44" s="13">
        <v>2017</v>
      </c>
      <c r="E44" s="13">
        <v>2018</v>
      </c>
      <c r="F44" s="14">
        <v>200000</v>
      </c>
      <c r="G44" s="14">
        <v>100000</v>
      </c>
      <c r="H44" s="14"/>
      <c r="I44" s="14"/>
      <c r="J44" s="14"/>
      <c r="K44" s="14">
        <f t="shared" si="10"/>
        <v>100000</v>
      </c>
    </row>
    <row r="45" spans="1:11" ht="36" customHeight="1">
      <c r="A45" s="10" t="s">
        <v>267</v>
      </c>
      <c r="B45" s="11" t="s">
        <v>268</v>
      </c>
      <c r="C45" s="12" t="s">
        <v>31</v>
      </c>
      <c r="D45" s="13">
        <v>2017</v>
      </c>
      <c r="E45" s="13">
        <v>2018</v>
      </c>
      <c r="F45" s="14">
        <v>200000</v>
      </c>
      <c r="G45" s="14">
        <v>100000</v>
      </c>
      <c r="H45" s="14"/>
      <c r="I45" s="14"/>
      <c r="J45" s="14"/>
      <c r="K45" s="14">
        <f t="shared" si="10"/>
        <v>100000</v>
      </c>
    </row>
    <row r="46" spans="1:11" ht="32.25" customHeight="1">
      <c r="A46" s="10" t="s">
        <v>269</v>
      </c>
      <c r="B46" s="11" t="s">
        <v>270</v>
      </c>
      <c r="C46" s="12" t="s">
        <v>31</v>
      </c>
      <c r="D46" s="13">
        <v>2017</v>
      </c>
      <c r="E46" s="13">
        <v>2018</v>
      </c>
      <c r="F46" s="14">
        <v>600000</v>
      </c>
      <c r="G46" s="14">
        <v>300000</v>
      </c>
      <c r="H46" s="14"/>
      <c r="I46" s="14"/>
      <c r="J46" s="14"/>
      <c r="K46" s="14">
        <f t="shared" si="10"/>
        <v>300000</v>
      </c>
    </row>
    <row r="47" spans="1:11" ht="33" customHeight="1">
      <c r="A47" s="10" t="s">
        <v>271</v>
      </c>
      <c r="B47" s="11" t="s">
        <v>272</v>
      </c>
      <c r="C47" s="12" t="s">
        <v>31</v>
      </c>
      <c r="D47" s="13">
        <v>2017</v>
      </c>
      <c r="E47" s="13">
        <v>2018</v>
      </c>
      <c r="F47" s="14">
        <v>675000</v>
      </c>
      <c r="G47" s="14">
        <v>275000</v>
      </c>
      <c r="H47" s="14"/>
      <c r="I47" s="14"/>
      <c r="J47" s="14"/>
      <c r="K47" s="14">
        <f t="shared" si="10"/>
        <v>275000</v>
      </c>
    </row>
    <row r="48" spans="1:11" ht="36" customHeight="1">
      <c r="A48" s="10" t="s">
        <v>273</v>
      </c>
      <c r="B48" s="11" t="s">
        <v>274</v>
      </c>
      <c r="C48" s="12" t="s">
        <v>31</v>
      </c>
      <c r="D48" s="13">
        <v>2017</v>
      </c>
      <c r="E48" s="13">
        <v>2018</v>
      </c>
      <c r="F48" s="14">
        <v>246000</v>
      </c>
      <c r="G48" s="14">
        <v>131000</v>
      </c>
      <c r="H48" s="14"/>
      <c r="I48" s="14"/>
      <c r="J48" s="14"/>
      <c r="K48" s="14">
        <f t="shared" si="10"/>
        <v>131000</v>
      </c>
    </row>
    <row r="49" spans="1:11" ht="35.25" customHeight="1">
      <c r="A49" s="10" t="s">
        <v>275</v>
      </c>
      <c r="B49" s="11" t="s">
        <v>276</v>
      </c>
      <c r="C49" s="12" t="s">
        <v>31</v>
      </c>
      <c r="D49" s="13">
        <v>2017</v>
      </c>
      <c r="E49" s="13">
        <v>2018</v>
      </c>
      <c r="F49" s="14">
        <v>195000</v>
      </c>
      <c r="G49" s="14">
        <v>150000</v>
      </c>
      <c r="H49" s="14"/>
      <c r="I49" s="14"/>
      <c r="J49" s="14"/>
      <c r="K49" s="14">
        <f t="shared" si="10"/>
        <v>150000</v>
      </c>
    </row>
    <row r="50" spans="1:11" ht="48" customHeight="1">
      <c r="A50" s="10" t="s">
        <v>277</v>
      </c>
      <c r="B50" s="11" t="s">
        <v>278</v>
      </c>
      <c r="C50" s="12" t="s">
        <v>31</v>
      </c>
      <c r="D50" s="13">
        <v>2017</v>
      </c>
      <c r="E50" s="13">
        <v>2018</v>
      </c>
      <c r="F50" s="14">
        <v>2385050</v>
      </c>
      <c r="G50" s="14">
        <v>2310050</v>
      </c>
      <c r="H50" s="14"/>
      <c r="I50" s="14"/>
      <c r="J50" s="14"/>
      <c r="K50" s="14">
        <f t="shared" si="10"/>
        <v>2310050</v>
      </c>
    </row>
    <row r="51" spans="1:11" ht="35.25" customHeight="1">
      <c r="A51" s="10" t="s">
        <v>279</v>
      </c>
      <c r="B51" s="11" t="s">
        <v>280</v>
      </c>
      <c r="C51" s="12" t="s">
        <v>31</v>
      </c>
      <c r="D51" s="13">
        <v>2017</v>
      </c>
      <c r="E51" s="13">
        <v>2018</v>
      </c>
      <c r="F51" s="14">
        <v>295000</v>
      </c>
      <c r="G51" s="14">
        <v>250000</v>
      </c>
      <c r="H51" s="14"/>
      <c r="I51" s="14"/>
      <c r="J51" s="14"/>
      <c r="K51" s="14">
        <f t="shared" si="10"/>
        <v>250000</v>
      </c>
    </row>
    <row r="52" spans="1:11" ht="37.5" customHeight="1">
      <c r="A52" s="10" t="s">
        <v>281</v>
      </c>
      <c r="B52" s="11" t="s">
        <v>282</v>
      </c>
      <c r="C52" s="12" t="s">
        <v>285</v>
      </c>
      <c r="D52" s="13">
        <v>2018</v>
      </c>
      <c r="E52" s="13">
        <v>2019</v>
      </c>
      <c r="F52" s="14">
        <v>570000</v>
      </c>
      <c r="G52" s="14">
        <v>70000</v>
      </c>
      <c r="H52" s="14">
        <v>500000</v>
      </c>
      <c r="I52" s="14"/>
      <c r="J52" s="14"/>
      <c r="K52" s="14">
        <f t="shared" si="10"/>
        <v>570000</v>
      </c>
    </row>
    <row r="53" spans="1:11" ht="36.75" customHeight="1">
      <c r="A53" s="10" t="s">
        <v>283</v>
      </c>
      <c r="B53" s="11" t="s">
        <v>284</v>
      </c>
      <c r="C53" s="12" t="s">
        <v>286</v>
      </c>
      <c r="D53" s="13">
        <v>2018</v>
      </c>
      <c r="E53" s="13">
        <v>2020</v>
      </c>
      <c r="F53" s="14">
        <v>2030000</v>
      </c>
      <c r="G53" s="14">
        <v>30000</v>
      </c>
      <c r="H53" s="14">
        <v>1000000</v>
      </c>
      <c r="I53" s="14">
        <v>1000000</v>
      </c>
      <c r="J53" s="14"/>
      <c r="K53" s="14">
        <f t="shared" si="10"/>
        <v>2030000</v>
      </c>
    </row>
    <row r="54" spans="1:11" ht="36.75" customHeight="1">
      <c r="A54" s="10" t="s">
        <v>288</v>
      </c>
      <c r="B54" s="11" t="s">
        <v>296</v>
      </c>
      <c r="C54" s="12" t="s">
        <v>293</v>
      </c>
      <c r="D54" s="13">
        <v>2017</v>
      </c>
      <c r="E54" s="13">
        <v>2019</v>
      </c>
      <c r="F54" s="14">
        <v>1012000</v>
      </c>
      <c r="G54" s="14">
        <v>600000</v>
      </c>
      <c r="H54" s="14">
        <v>400000</v>
      </c>
      <c r="I54" s="14"/>
      <c r="J54" s="14"/>
      <c r="K54" s="14">
        <f t="shared" si="10"/>
        <v>1000000</v>
      </c>
    </row>
    <row r="55" spans="1:11" ht="36.75" customHeight="1">
      <c r="A55" s="10" t="s">
        <v>294</v>
      </c>
      <c r="B55" s="11" t="s">
        <v>295</v>
      </c>
      <c r="C55" s="12" t="s">
        <v>31</v>
      </c>
      <c r="D55" s="13">
        <v>2017</v>
      </c>
      <c r="E55" s="13">
        <v>2018</v>
      </c>
      <c r="F55" s="14">
        <v>450000</v>
      </c>
      <c r="G55" s="14">
        <v>100000</v>
      </c>
      <c r="H55" s="14"/>
      <c r="I55" s="14"/>
      <c r="J55" s="14"/>
      <c r="K55" s="14">
        <f t="shared" ref="K55" si="11">SUM(G55:I55)</f>
        <v>100000</v>
      </c>
    </row>
    <row r="56" spans="1:11" ht="22.5" customHeight="1"/>
    <row r="57" spans="1:11" ht="22.5" customHeight="1"/>
    <row r="58" spans="1:11" ht="22.5" customHeight="1"/>
    <row r="59" spans="1:11" ht="22.5" customHeight="1"/>
    <row r="60" spans="1:11" ht="22.5" customHeight="1"/>
    <row r="61" spans="1:11" ht="22.5" customHeight="1"/>
    <row r="62" spans="1:11" ht="22.5" customHeight="1"/>
  </sheetData>
  <sheetProtection formatColumns="0" formatRows="0"/>
  <mergeCells count="20">
    <mergeCell ref="B26:E26"/>
    <mergeCell ref="B17:E17"/>
    <mergeCell ref="B19:E19"/>
    <mergeCell ref="B20:E20"/>
    <mergeCell ref="B21:E21"/>
    <mergeCell ref="B22:E22"/>
    <mergeCell ref="B23:E23"/>
    <mergeCell ref="B10:E10"/>
    <mergeCell ref="A1:K1"/>
    <mergeCell ref="A3:A4"/>
    <mergeCell ref="B3:B4"/>
    <mergeCell ref="C3:C4"/>
    <mergeCell ref="D3:E3"/>
    <mergeCell ref="F3:F4"/>
    <mergeCell ref="K3:K4"/>
    <mergeCell ref="B6:E6"/>
    <mergeCell ref="B7:E7"/>
    <mergeCell ref="B8:E8"/>
    <mergeCell ref="B9:E9"/>
    <mergeCell ref="G3:I3"/>
  </mergeCells>
  <pageMargins left="0.43" right="0.15748031496062992" top="1.45" bottom="1.05" header="0.7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Renis Iwona</cp:lastModifiedBy>
  <cp:lastPrinted>2018-01-30T14:49:11Z</cp:lastPrinted>
  <dcterms:created xsi:type="dcterms:W3CDTF">2015-10-13T07:48:25Z</dcterms:created>
  <dcterms:modified xsi:type="dcterms:W3CDTF">2018-01-30T14:50:33Z</dcterms:modified>
</cp:coreProperties>
</file>