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C:\Users\X\Desktop\Zmiana WPF marzec 2017\"/>
    </mc:Choice>
  </mc:AlternateContent>
  <bookViews>
    <workbookView xWindow="0" yWindow="0" windowWidth="19200" windowHeight="10185"/>
  </bookViews>
  <sheets>
    <sheet name="Zał.1" sheetId="18" r:id="rId1"/>
    <sheet name="Zał.2 " sheetId="1" r:id="rId2"/>
  </sheets>
  <externalReferences>
    <externalReference r:id="rId3"/>
  </externalReferences>
  <definedNames>
    <definedName name="_xlnm.Print_Area" localSheetId="0">Zał.1!$A$1:$U$104</definedName>
    <definedName name="_xlnm.Print_Area" localSheetId="1">'Zał.2 '!$A$1:$L$38</definedName>
    <definedName name="_xlnm.Print_Titles" localSheetId="0">Zał.1!$A:$B,Zał.1!$2:$3</definedName>
    <definedName name="_xlnm.Print_Titles" localSheetId="1">'Zał.2 '!$3:$4</definedName>
    <definedName name="Z_9360F695_77C0_4418_82C5_829A762C44E9_.wvu.Cols" localSheetId="0" hidden="1">Zał.1!#REF!,Zał.1!#REF!</definedName>
    <definedName name="Z_9360F695_77C0_4418_82C5_829A762C44E9_.wvu.FilterData" localSheetId="0" hidden="1">Zał.1!#REF!</definedName>
    <definedName name="Z_9360F695_77C0_4418_82C5_829A762C44E9_.wvu.PrintArea" localSheetId="0" hidden="1">Zał.1!$A$2:$U$104</definedName>
    <definedName name="Z_9360F695_77C0_4418_82C5_829A762C44E9_.wvu.PrintTitles" localSheetId="0" hidden="1">Zał.1!$A:$B,Zał.1!$2:$3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8" i="18" l="1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U107" i="18"/>
  <c r="T107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U106" i="18"/>
  <c r="T106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U103" i="18"/>
  <c r="T103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U102" i="18"/>
  <c r="T102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U101" i="18"/>
  <c r="T101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U100" i="18"/>
  <c r="T100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U98" i="18"/>
  <c r="T98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U96" i="18"/>
  <c r="T96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U95" i="18"/>
  <c r="T95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U94" i="18"/>
  <c r="T94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U93" i="18"/>
  <c r="T93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U92" i="18"/>
  <c r="T92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U91" i="18"/>
  <c r="T91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U90" i="18"/>
  <c r="T90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U88" i="18"/>
  <c r="T88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U87" i="18"/>
  <c r="T87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U86" i="18"/>
  <c r="T86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U85" i="18"/>
  <c r="T85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U83" i="18"/>
  <c r="T83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U82" i="18"/>
  <c r="T82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U80" i="18"/>
  <c r="T80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U79" i="18"/>
  <c r="T79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U78" i="18"/>
  <c r="T78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U51" i="18"/>
  <c r="T51" i="18"/>
  <c r="T111" i="18" s="1"/>
  <c r="S51" i="18"/>
  <c r="R51" i="18"/>
  <c r="Q51" i="18"/>
  <c r="P51" i="18"/>
  <c r="P111" i="18" s="1"/>
  <c r="O51" i="18"/>
  <c r="N51" i="18"/>
  <c r="M51" i="18"/>
  <c r="L51" i="18"/>
  <c r="L111" i="18" s="1"/>
  <c r="K51" i="18"/>
  <c r="J51" i="18"/>
  <c r="I51" i="18"/>
  <c r="H51" i="18"/>
  <c r="H111" i="18" s="1"/>
  <c r="G51" i="18"/>
  <c r="F51" i="18"/>
  <c r="E51" i="18"/>
  <c r="D51" i="18"/>
  <c r="C51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U46" i="18"/>
  <c r="U110" i="18" s="1"/>
  <c r="T46" i="18"/>
  <c r="T110" i="18" s="1"/>
  <c r="S46" i="18"/>
  <c r="S110" i="18" s="1"/>
  <c r="R46" i="18"/>
  <c r="R110" i="18" s="1"/>
  <c r="Q46" i="18"/>
  <c r="Q110" i="18" s="1"/>
  <c r="P46" i="18"/>
  <c r="P110" i="18" s="1"/>
  <c r="O46" i="18"/>
  <c r="O110" i="18" s="1"/>
  <c r="N46" i="18"/>
  <c r="N110" i="18" s="1"/>
  <c r="M46" i="18"/>
  <c r="M110" i="18" s="1"/>
  <c r="L46" i="18"/>
  <c r="L110" i="18" s="1"/>
  <c r="K46" i="18"/>
  <c r="K110" i="18" s="1"/>
  <c r="J46" i="18"/>
  <c r="J110" i="18" s="1"/>
  <c r="I46" i="18"/>
  <c r="I110" i="18" s="1"/>
  <c r="H46" i="18"/>
  <c r="H110" i="18" s="1"/>
  <c r="G46" i="18"/>
  <c r="G110" i="18" s="1"/>
  <c r="F46" i="18"/>
  <c r="E46" i="18"/>
  <c r="D46" i="18"/>
  <c r="C46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U37" i="18"/>
  <c r="T37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U32" i="18"/>
  <c r="T32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C7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G3" i="18"/>
  <c r="H3" i="18" s="1"/>
  <c r="I3" i="18" s="1"/>
  <c r="J3" i="18" s="1"/>
  <c r="K3" i="18" s="1"/>
  <c r="L3" i="18" s="1"/>
  <c r="M3" i="18" s="1"/>
  <c r="N3" i="18" s="1"/>
  <c r="O3" i="18" s="1"/>
  <c r="P3" i="18" s="1"/>
  <c r="Q3" i="18" s="1"/>
  <c r="R3" i="18" s="1"/>
  <c r="S3" i="18" s="1"/>
  <c r="T3" i="18" s="1"/>
  <c r="U3" i="18" s="1"/>
  <c r="G2" i="18"/>
  <c r="F3" i="18" l="1"/>
  <c r="E3" i="18" s="1"/>
  <c r="D3" i="18" s="1"/>
  <c r="C3" i="18" s="1"/>
  <c r="J112" i="18"/>
  <c r="N112" i="18"/>
  <c r="R112" i="18"/>
  <c r="H56" i="18"/>
  <c r="L56" i="18"/>
  <c r="P112" i="18"/>
  <c r="T56" i="18"/>
  <c r="I56" i="18"/>
  <c r="M56" i="18"/>
  <c r="Q56" i="18"/>
  <c r="U56" i="18"/>
  <c r="G56" i="18"/>
  <c r="K56" i="18"/>
  <c r="O56" i="18"/>
  <c r="S56" i="18"/>
  <c r="J55" i="18"/>
  <c r="P56" i="18"/>
  <c r="N111" i="18"/>
  <c r="G112" i="18"/>
  <c r="G111" i="18"/>
  <c r="K112" i="18"/>
  <c r="K111" i="18"/>
  <c r="O112" i="18"/>
  <c r="O111" i="18"/>
  <c r="S112" i="18"/>
  <c r="S111" i="18"/>
  <c r="G55" i="18"/>
  <c r="K55" i="18"/>
  <c r="O55" i="18"/>
  <c r="S55" i="18"/>
  <c r="R111" i="18"/>
  <c r="T112" i="18"/>
  <c r="R55" i="18"/>
  <c r="H55" i="18"/>
  <c r="L55" i="18"/>
  <c r="P55" i="18"/>
  <c r="T55" i="18"/>
  <c r="J56" i="18"/>
  <c r="N56" i="18"/>
  <c r="R56" i="18"/>
  <c r="H112" i="18"/>
  <c r="N55" i="18"/>
  <c r="I111" i="18"/>
  <c r="I112" i="18"/>
  <c r="M111" i="18"/>
  <c r="M112" i="18"/>
  <c r="Q111" i="18"/>
  <c r="Q112" i="18"/>
  <c r="U111" i="18"/>
  <c r="U112" i="18"/>
  <c r="I55" i="18"/>
  <c r="M55" i="18"/>
  <c r="Q55" i="18"/>
  <c r="U55" i="18"/>
  <c r="J111" i="18"/>
  <c r="L112" i="18"/>
  <c r="G15" i="1" l="1"/>
  <c r="H15" i="1"/>
  <c r="I15" i="1"/>
  <c r="J15" i="1"/>
  <c r="K15" i="1"/>
  <c r="G10" i="1"/>
  <c r="H10" i="1"/>
  <c r="I10" i="1"/>
  <c r="J10" i="1"/>
  <c r="K10" i="1"/>
  <c r="J9" i="1"/>
  <c r="H9" i="1" l="1"/>
  <c r="K9" i="1"/>
  <c r="G9" i="1"/>
  <c r="I9" i="1"/>
  <c r="G24" i="1"/>
  <c r="G8" i="1" s="1"/>
  <c r="H24" i="1"/>
  <c r="H8" i="1" s="1"/>
  <c r="I24" i="1"/>
  <c r="I8" i="1" s="1"/>
  <c r="J24" i="1"/>
  <c r="J8" i="1" s="1"/>
  <c r="K24" i="1"/>
  <c r="K8" i="1" s="1"/>
  <c r="F24" i="1"/>
  <c r="F10" i="1" l="1"/>
  <c r="L14" i="1"/>
  <c r="G22" i="1" l="1"/>
  <c r="G7" i="1" s="1"/>
  <c r="H22" i="1"/>
  <c r="H7" i="1" s="1"/>
  <c r="I22" i="1"/>
  <c r="I7" i="1" s="1"/>
  <c r="J22" i="1"/>
  <c r="J7" i="1" s="1"/>
  <c r="K22" i="1"/>
  <c r="K7" i="1" s="1"/>
  <c r="F22" i="1"/>
  <c r="L23" i="1"/>
  <c r="L22" i="1" s="1"/>
  <c r="L13" i="1" l="1"/>
  <c r="G21" i="1" l="1"/>
  <c r="H21" i="1"/>
  <c r="I21" i="1"/>
  <c r="J21" i="1"/>
  <c r="K21" i="1"/>
  <c r="L38" i="1"/>
  <c r="L12" i="1" l="1"/>
  <c r="L11" i="1" l="1"/>
  <c r="L10" i="1" s="1"/>
  <c r="L17" i="1"/>
  <c r="L16" i="1"/>
  <c r="L20" i="1"/>
  <c r="L19" i="1"/>
  <c r="K18" i="1"/>
  <c r="K6" i="1" s="1"/>
  <c r="L26" i="1"/>
  <c r="L27" i="1"/>
  <c r="L28" i="1"/>
  <c r="L29" i="1"/>
  <c r="L30" i="1"/>
  <c r="L31" i="1"/>
  <c r="L32" i="1"/>
  <c r="L33" i="1"/>
  <c r="L34" i="1"/>
  <c r="L35" i="1"/>
  <c r="L36" i="1"/>
  <c r="L37" i="1"/>
  <c r="L25" i="1"/>
  <c r="L15" i="1" l="1"/>
  <c r="L8" i="1" s="1"/>
  <c r="L24" i="1"/>
  <c r="L7" i="1"/>
  <c r="L9" i="1"/>
  <c r="L21" i="1"/>
  <c r="F15" i="1" l="1"/>
  <c r="J18" i="1" l="1"/>
  <c r="J6" i="1" s="1"/>
  <c r="I18" i="1"/>
  <c r="I6" i="1" s="1"/>
  <c r="H18" i="1"/>
  <c r="H6" i="1" s="1"/>
  <c r="G18" i="1"/>
  <c r="G6" i="1" s="1"/>
  <c r="F18" i="1"/>
  <c r="L18" i="1" l="1"/>
  <c r="L6" i="1" s="1"/>
  <c r="F21" i="1"/>
  <c r="F9" i="1"/>
  <c r="F8" i="1"/>
  <c r="F7" i="1"/>
  <c r="F6" i="1" l="1"/>
</calcChain>
</file>

<file path=xl/sharedStrings.xml><?xml version="1.0" encoding="utf-8"?>
<sst xmlns="http://schemas.openxmlformats.org/spreadsheetml/2006/main" count="485" uniqueCount="275">
  <si>
    <t>Wykaz przedsięwzięć wieloletnich</t>
  </si>
  <si>
    <t>Lp.</t>
  </si>
  <si>
    <t>Nazwa i cel przedsięwzięcia</t>
  </si>
  <si>
    <t>Jednostka odpowiedzialna                                          lub koordynująca program</t>
  </si>
  <si>
    <t>Okres realizacji programu</t>
  </si>
  <si>
    <t>Łączne nakłady finansowe</t>
  </si>
  <si>
    <t>Limit zobowiązań</t>
  </si>
  <si>
    <t>od</t>
  </si>
  <si>
    <t>do</t>
  </si>
  <si>
    <t>1.</t>
  </si>
  <si>
    <t>Wydatki na przedsięwzięcia - ogółem (1.1.+1.2.+1.3.), z tego:</t>
  </si>
  <si>
    <t>1.a</t>
  </si>
  <si>
    <t>wydatki bieżące</t>
  </si>
  <si>
    <t>1.b</t>
  </si>
  <si>
    <t>wydatki majątkowe</t>
  </si>
  <si>
    <t>1.1.</t>
  </si>
  <si>
    <t>1.1.1.</t>
  </si>
  <si>
    <t>Starostwo Powiatowe</t>
  </si>
  <si>
    <t>Zespół Szkół Ekonomiczno-Gastronomicznych</t>
  </si>
  <si>
    <t>1.1.2.</t>
  </si>
  <si>
    <t>Regionalne partnerstwo samorządów Mazowsza dla aktywizacji społeczeństwa informacyjnego w zakresie e-administracji i geoinformacji</t>
  </si>
  <si>
    <t>1.2.</t>
  </si>
  <si>
    <t>Wydatki na programy, projekty lub zadania związane z umowami partnerstwa publiczno-prywatnego, z tego:</t>
  </si>
  <si>
    <t>1.2.1</t>
  </si>
  <si>
    <t>1.2.2</t>
  </si>
  <si>
    <t>1.3.</t>
  </si>
  <si>
    <t>Wydatki na programy, projekty lub zadania pozostałe (inne niż wymienione w pkt 1.1, 1.2), z tego:</t>
  </si>
  <si>
    <t>1.3.1.</t>
  </si>
  <si>
    <t>1.3.2.</t>
  </si>
  <si>
    <t>1.3.2.1</t>
  </si>
  <si>
    <t>Budowa chodnika przy drodze powiatowej Nr 2709W w Czarnówce od skrzyżowania w Gliniance</t>
  </si>
  <si>
    <t>Zarząd Dróg Powiatowych</t>
  </si>
  <si>
    <t>Przebudowa i rozbudowa budynku w Otwocku przy ul. Komunardów wraz z towarzyszącą infrastrukturą na potrzeby siedziby Starostwa i jednostek organizacyjnych powiatu</t>
  </si>
  <si>
    <t>Limity wydatków w poszczególnych latach</t>
  </si>
  <si>
    <t>Przebudowa i rozbudowa ciągu dróg powiatowych Nr 2715W, 2722W, 2713W w m. Otwock, Pogorzel, Stara Wieś</t>
  </si>
  <si>
    <t>Rozbudowa ul. Jana Pawła II w Otwocku i ul. Sikorskiego w Józefowie oraz budowa odcinka projektowanej ul. Sikorskiego, na odcinku od km 0+000 do km 1+708,58 wraz z obiektem mostowym przez rzekę Świder, na terenie gminy Otwock i Józefów, powiat otwocki</t>
  </si>
  <si>
    <t>Przebudowa ciągu drogi powiatowej Nr 2758W - ul. Samorządowej i Czaplickiego w Otwocku</t>
  </si>
  <si>
    <t>Przebudowa drogi powiatowej Nr 2245 w m. Dobrzyniec, gmina Kołbiel</t>
  </si>
  <si>
    <t>1.1.1.1</t>
  </si>
  <si>
    <t>1.1.2.1</t>
  </si>
  <si>
    <t>1.3.2.2</t>
  </si>
  <si>
    <t>1.3.2.3</t>
  </si>
  <si>
    <t>1.3.2.4</t>
  </si>
  <si>
    <t>1.3.2.5</t>
  </si>
  <si>
    <t>1.3.2.6</t>
  </si>
  <si>
    <t>1.3.2.7</t>
  </si>
  <si>
    <t>1.3.2.8</t>
  </si>
  <si>
    <t>1.3.2.9</t>
  </si>
  <si>
    <t>1.3.2.10</t>
  </si>
  <si>
    <t>1.3.2.11</t>
  </si>
  <si>
    <t>1.3.2.12</t>
  </si>
  <si>
    <t xml:space="preserve">Wykonanie </t>
  </si>
  <si>
    <t>Plan 3 kw.</t>
  </si>
  <si>
    <t>Wyszczególnienie</t>
  </si>
  <si>
    <t>Dochody ogółem</t>
  </si>
  <si>
    <t>1.1</t>
  </si>
  <si>
    <t>Dochody bieżące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</si>
  <si>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</si>
  <si>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</si>
  <si>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</si>
  <si>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</si>
  <si>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</si>
  <si>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podatki i opłaty</t>
  </si>
  <si>
    <t>1.1.3.1</t>
  </si>
  <si>
    <t>z podatku od nieruchomości</t>
  </si>
  <si>
    <t>1.1.4</t>
  </si>
  <si>
    <t>z subwencji ogólnej</t>
  </si>
  <si>
    <t>1.1.5</t>
  </si>
  <si>
    <t>z tytułu dotacji i środków przeznaczonych na cele bieżące</t>
  </si>
  <si>
    <t>1.2</t>
  </si>
  <si>
    <t>Dochody majątkowe, w tym</t>
  </si>
  <si>
    <t>ze sprzedaży majątku</t>
  </si>
  <si>
    <t>z tytułu dotacji oraz środków przeznaczonych na inwestycje</t>
  </si>
  <si>
    <t>Wydatki ogółem</t>
  </si>
  <si>
    <t>2.1</t>
  </si>
  <si>
    <t>Wydatki bieżące, w tym:</t>
  </si>
  <si>
    <t>2.1.1</t>
  </si>
  <si>
    <t>z tytułu poręczeń i gwarancji</t>
  </si>
  <si>
    <t>2.1.1.1</t>
  </si>
  <si>
    <t>w tym: gwarancje i poręczenia podlegające wyłączeniu z limitu spłaty zobowiązań, o którym mowa w art. 243 ustawy</t>
  </si>
  <si>
    <t>2.1.2</t>
  </si>
  <si>
    <t>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</si>
  <si>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>2.1.3</t>
  </si>
  <si>
    <t>wydatki na obsługę długu, w tym:</t>
  </si>
  <si>
    <t>2.1.3.1</t>
  </si>
  <si>
    <t>odsetki i dyskonto określone w art. 243 ust. 1 ustawy, w tym:</t>
  </si>
  <si>
    <t>2.1.3.1.1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</si>
  <si>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</si>
  <si>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2.1.3.1.2</t>
  </si>
  <si>
    <t>odsetki i dyskonto podlegające wyłączeniu z limitu spłaty zobowiązań, o którym mowa w art. 243 ustawy, z tytułu zobowiązań  zaciągniętych na wkład krajowy</t>
  </si>
  <si>
    <t>2.2</t>
  </si>
  <si>
    <t>Wydatki majątkowe</t>
  </si>
  <si>
    <t>Wynik budżetu</t>
  </si>
  <si>
    <t>Przychody budżetu</t>
  </si>
  <si>
    <t>4.1</t>
  </si>
  <si>
    <t>Nadwyżka budżetowa z lat ubiegłych</t>
  </si>
  <si>
    <t>4.1.1</t>
  </si>
  <si>
    <t>w tym na pokrycie deficytu budżetu</t>
  </si>
  <si>
    <t>4.2</t>
  </si>
  <si>
    <t>Wolne środki, o których mowa w art. 217 ust.2 pkt 6 ustawy</t>
  </si>
  <si>
    <t>4.2.1</t>
  </si>
  <si>
    <t>4.3</t>
  </si>
  <si>
    <t>Kredyty, pożyczki, emisja papierów wartościowych</t>
  </si>
  <si>
    <t>4.3.1</t>
  </si>
  <si>
    <t>4.4</t>
  </si>
  <si>
    <t xml:space="preserve"> Inne przychody niezwiązane z zaciągnięciem długu</t>
  </si>
  <si>
    <t>4.4.1</t>
  </si>
  <si>
    <t>Rozchody budżetu</t>
  </si>
  <si>
    <t>5.1</t>
  </si>
  <si>
    <t>Spłaty rat kapitałowych kredytów i pożyczek oraz wykup papierów wartościowych</t>
  </si>
  <si>
    <t>5.1.1</t>
  </si>
  <si>
    <t>w tym łączna kwota przypadających na dany rok kwot ustawowych wyłączeń z limitu spłaty zobowiązań, o którym mowa w art. 243 ustawy, z tego:</t>
  </si>
  <si>
    <t>5.1.1.1</t>
  </si>
  <si>
    <t>kwota przypadających na dany rok kwot ustawowych wyłączeń określonych w art. 243 ust. 3 ustawy</t>
  </si>
  <si>
    <t>5.1.1.2</t>
  </si>
  <si>
    <t>kwota przypadających na dany rok kwot ustawowych wyłączeń określonych w art. 243 ust. 3a ustawy</t>
  </si>
  <si>
    <t>5.1.1.3</t>
  </si>
  <si>
    <t>kwota przypadających na dany rok kwot ustawowych wyłączeń innych niż określone w art. 243 ustawy</t>
  </si>
  <si>
    <t>5.2</t>
  </si>
  <si>
    <t xml:space="preserve"> Inne rozchody niezwiązane ze spłatą długu</t>
  </si>
  <si>
    <t>Kwota długu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</si>
  <si>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</si>
  <si>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</si>
  <si>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>x</t>
  </si>
  <si>
    <t>8.1</t>
  </si>
  <si>
    <t>Różnica między dochodami bieżącymi a  wydatkami bieżącymi</t>
  </si>
  <si>
    <t>8.2</t>
  </si>
  <si>
    <t>Różnica między dochodami bieżącymi, skorygowanymi o środki a wydatkami bieżącymi, pomniejszonymi  o wydatki</t>
  </si>
  <si>
    <t>Wskaźnik spłaty zobowiązań</t>
  </si>
  <si>
    <t>9.1</t>
  </si>
  <si>
    <t>Wskaźnik planowanej łącznej kwoty spłaty zobowiązań, o której mowa w art. 243 ust. 1 ustawy do dochodów, bez uwzględnienia zobowiązań związku współtworzonego przez jednostkę samorządu terytorialnego  i bez uwzględnienia ustawowych wyłączeń przypadających na dany rok.</t>
  </si>
  <si>
    <t>9.2</t>
  </si>
  <si>
    <t>Wskaźnik planowanej łącznej kwoty spłaty zobowiązań, o której mowa w art. 243 ust. 1 ustawy do dochodów, bez uwzględnienia zobowiązań związku współtworzonego przez jednostkę samorządu terytorialnego, po uwzględnieniu ustawowych wyłączeń przypadających na dany rok.</t>
  </si>
  <si>
    <t>9.3</t>
  </si>
  <si>
    <t>Kwota zobowiązań związku współtworzonego przez jednostkę samorządu terytorialnego przypadających do spłaty w danym roku budżetowym, podlegająca doliczeniu zgodnie z art. 244 ustawy</t>
  </si>
  <si>
    <t>9.4</t>
  </si>
  <si>
    <t>Wskaźnik planowanej łącznej kwoty spłaty zobowiązań, o której mowa w art. 243 ust. 1 ustawy do dochodów, po uwzględnieniu zobowiązań związku współtworzonego przez jednostkę samorządu terytorialnego oraz po uwzględnieniu ustawowych wyłączeń przypadających na dany rok</t>
  </si>
  <si>
    <t>9.5</t>
  </si>
  <si>
    <t>Wskaźnik dochodów bieżących powiększonych o dochody ze sprzedaży majątku oraz pomniejszonych o wydatki bieżące, do dochodów budżetu, ustalony dla danego roku (wskaźnik jednoroczny)</t>
  </si>
  <si>
    <t>9.6</t>
  </si>
  <si>
    <t xml:space="preserve">Dopuszczalny wskaźnik spłaty zobowiązań określony w art. 243 ustawy, po uwzględnieniu ustawowych wyłączeń , obliczony w oparciu o plan 3 kwartału roku poprzedzającego pierwszy rok prognozy (wskaźnik ustalony w oparciu o średnią arytmetyczną z 3 poprzednich lat) </t>
  </si>
  <si>
    <t>9.6.1</t>
  </si>
  <si>
    <t xml:space="preserve">Dopuszczalny wskaźnik spłaty zobowiązań określony w art. 243 ustawy, po uwzględnieniu ustawowych wyłączeń, obliczony w oparciu o wykonanie roku poprzedzającego pierwszy rok prognozy (wskaźnik ustalony w oparciu o średnią arytmetyczną z 3 poprzednich lat) </t>
  </si>
  <si>
    <t>9.7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</si>
  <si>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</si>
  <si>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9.7.1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</si>
  <si>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</si>
  <si>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Przeznaczenie prognozowanej nadwyżki budżetowej,  w tym na:</t>
  </si>
  <si>
    <t>10.1</t>
  </si>
  <si>
    <t>Spłaty kredytów, pożyczek i wykup papierów wartościowych</t>
  </si>
  <si>
    <t>Informacje uzupełniające o wybranych rodzajach wydatków budżetowych</t>
  </si>
  <si>
    <t>11.1</t>
  </si>
  <si>
    <t>Wydatki bieżące na wynagrodzenia i składki od nich naliczane</t>
  </si>
  <si>
    <t>11.2</t>
  </si>
  <si>
    <t>Wydatki związane z funkcjonowaniem organów jednostki samorządu terytorialnego</t>
  </si>
  <si>
    <t>11.3</t>
  </si>
  <si>
    <t>Wydatki objęte limitem, o którym mowa w art. 226 ust. 3 pkt 4 ustawy</t>
  </si>
  <si>
    <t>11.3.1</t>
  </si>
  <si>
    <t>bieżące</t>
  </si>
  <si>
    <t>11.3.2</t>
  </si>
  <si>
    <t>majątkowe</t>
  </si>
  <si>
    <t>11.4</t>
  </si>
  <si>
    <t xml:space="preserve">Wydatki inwestycyjne kontynuowane </t>
  </si>
  <si>
    <t>11.5</t>
  </si>
  <si>
    <t>Nowe wydatki inwestycyjne</t>
  </si>
  <si>
    <t>11.6</t>
  </si>
  <si>
    <t xml:space="preserve">Wydatki majątkowe w formie dotacji </t>
  </si>
  <si>
    <t>Finansowanie programów, projektów lub zadań realizowanych z udziałem środków, o których mowa w art. 5 ust. 1 pkt 2 i 3 ustawy</t>
  </si>
  <si>
    <t>12.1</t>
  </si>
  <si>
    <t>Dochody bieżące  na programy, projekty lub zadania finansowane z udziałem środków, o których mowa w art. 5 ust. 1 pkt 2 i 3 ustawy</t>
  </si>
  <si>
    <t>12.1.1</t>
  </si>
  <si>
    <t>-  w tym środki określone w art. 5 ust. 1 pkt 2 ustawy</t>
  </si>
  <si>
    <t>12.1.1.1</t>
  </si>
  <si>
    <t>- w tym środki określone w art. 5 ust. 1 pkt 2 ustawy wynikające wyłącznie z  zawartych umów na realizację programu, projektu lub zadania</t>
  </si>
  <si>
    <t>12.2</t>
  </si>
  <si>
    <t>Dochody majątkowe  na programy, projekty lub zadania finansowane z udziałem środków, o których mowa w art. 5 ust. 1 pkt 2 i 3 ustawy</t>
  </si>
  <si>
    <t>12.2.1</t>
  </si>
  <si>
    <t>12.2.1.1</t>
  </si>
  <si>
    <t>- w tym środki określone w art. 5 ust. 1 pkt 2 ustawy wynikające wyłącznie z zawartych umów na realizację programu, projektu lub zadania</t>
  </si>
  <si>
    <t>12.3</t>
  </si>
  <si>
    <t>Wydatki bieżące na programy, projekty lub zadania finansowane z udziałem środków, o których mowa w art. 5 ust. 1 pkt 2 i 3 ustawy</t>
  </si>
  <si>
    <t>12.3.1</t>
  </si>
  <si>
    <t xml:space="preserve">-  w tym finansowane środkami określonymi w art. 5 ust. 1 pkt 2 ustawy </t>
  </si>
  <si>
    <t>12.3.2</t>
  </si>
  <si>
    <t xml:space="preserve">Wydatki bieżące na realizację programu, projektu lub zadania wynikające wyłącznie z zawartych umów z podmiotem dysponującym środkami, o których mowa w art. 5 ust. 1 pkt 2 ustawy </t>
  </si>
  <si>
    <t>12.4</t>
  </si>
  <si>
    <t>Wydatki majątkowe na programy, projekty lub zadania finansowane z udziałem środków, o których mowa w art. 5 ust. 1 pkt 2 i 3 ustawy</t>
  </si>
  <si>
    <t>12.4.1</t>
  </si>
  <si>
    <t>-  w tym finansowane środkami określonymi w art. 5 ust. 1 pkt 2 ustawy</t>
  </si>
  <si>
    <t>12.4.2</t>
  </si>
  <si>
    <t xml:space="preserve">Wydatki majątkowe na realizację programu, projektu lub zadania wynikające wyłącznie z zawartych umów z podmiotem dysponującym środkami, o których mowa w art. 5 ust. 1 pkt 2 ustawy </t>
  </si>
  <si>
    <t>12.5</t>
  </si>
  <si>
    <t xml:space="preserve">Wydatki na wkład krajowy w związku z umową na realizację programu, projektu lub zadania finansowanego z udziałem środków, o których mowa w art. 5 ust. 1 pkt 2 ustawy bez względu na stopień finansowania tymi środkami </t>
  </si>
  <si>
    <t>12.5.1</t>
  </si>
  <si>
    <t>w tym w związku z już zawartą umową na realizację programu, projektu lub zadania</t>
  </si>
  <si>
    <t>12.6</t>
  </si>
  <si>
    <t>Wydatki na wkład krajowy w związku z zawartą po dniu 1 stycznia 2013 r. umową na realizację programu, projektu lub zadania finansowanego w co najmniej 60% środkami, o których mowa w art. 5 ust. 1 pkt 2 ustawy</t>
  </si>
  <si>
    <t>12.6.1</t>
  </si>
  <si>
    <t>12.7</t>
  </si>
  <si>
    <t xml:space="preserve">Przychody z tytułu kredytów, pożyczek, emisji papierów wartościowych powstające w związku z umową na realizację programu, projektu lub zadania finansowanego z udziałem środków, o których mowa w art. 5 ust. 1 pkt 2 ustawy bez względu na stopień finansowania tymi środkami </t>
  </si>
  <si>
    <t>12.7.1</t>
  </si>
  <si>
    <t>12.8</t>
  </si>
  <si>
    <t>Przychody z tytułu kredytów, pożyczek, emisji papierów wartościowych powstające w związku z zawartą po dniu 1 stycznia 2013 r. umową na realizację programu, projektu lub zadania finansowanego w co najmniej 60% środkami, o których mowa w art. 5 ust. 1 pkt 2 ustawy</t>
  </si>
  <si>
    <t>12.8.1</t>
  </si>
  <si>
    <t xml:space="preserve">Kwoty dotyczące przejęcia i spłaty zobowiązań po samodzielnych publicznych zakładach opieki zdrowotnej oraz pokrycia ujemnego wyniku </t>
  </si>
  <si>
    <t>13.1</t>
  </si>
  <si>
    <t>Kwota zobowiązań wynikających z przejęcia przez jednostkę samorządu terytorialnego zobowiązań po likwidowanych i przekształcanych samodzielnych zakładach opieki zdrowotnej</t>
  </si>
  <si>
    <t>13.2</t>
  </si>
  <si>
    <t>Dochody budżetowe z tytułu dotacji celowej z budżetu państwa, o której mowa w art. 196 ustawy z  dnia 15 kwietnia 2011 r.  o działalności leczniczej (Dz.U. Nr 112, poz. 654, z późn. zm.)</t>
  </si>
  <si>
    <t>13.3</t>
  </si>
  <si>
    <t>Wysokość zobowiązań podlegających umorzeniu, o którym mowa w art. 190 ustawy o działalności leczniczej</t>
  </si>
  <si>
    <t>13.4</t>
  </si>
  <si>
    <t>Wydatki na spłatę przejętych zobowiązań samodzielnego publicznego zakładu opieki zdrowotnej przekształconego na zasadach określonych w przepisach  o działalności leczniczej</t>
  </si>
  <si>
    <t>13.5</t>
  </si>
  <si>
    <t>Wydatki na spłatę przejętych zobowiązań samodzielnego publicznego zakładu opieki zdrowotnej likwidowanego na zasadach określonych w przepisach  o działalności leczniczej</t>
  </si>
  <si>
    <t>13.6</t>
  </si>
  <si>
    <t>Wydatki na spłatę zobowiązań samodzielnego publicznego zakładu opieki zdrowotnej przejętych do końca 2011 r. na podstawie przepisów o zakładach opieki zdrowotnej</t>
  </si>
  <si>
    <t>13.7</t>
  </si>
  <si>
    <t>Wydatki bieżące na pokrycie ujemnego wyniku finansowego samodzielnego publicznego zakładu opieki zdrowotnej</t>
  </si>
  <si>
    <t>Dane uzupełniające o długu i jego spłacie</t>
  </si>
  <si>
    <t>14.1</t>
  </si>
  <si>
    <t>Spłaty rat kapitałowych oraz wykup papierów wartościowych, o których mowa w pkt. 5.1., wynikające wyłącznie z tytułu zobowiązań już zaciągniętych</t>
  </si>
  <si>
    <t>14.2</t>
  </si>
  <si>
    <t>Kwota długu, którego planowana spłata dokona się z wydatków budżetu</t>
  </si>
  <si>
    <t>14.3</t>
  </si>
  <si>
    <t>Wydatki zmniejszające dług, w tym</t>
  </si>
  <si>
    <t>14.3.1</t>
  </si>
  <si>
    <t>spłata zobowiązań wymagalnych z lat poprzednich, innych niż w pkt 14.3.3</t>
  </si>
  <si>
    <t>14.3.2</t>
  </si>
  <si>
    <t>związane z umowami zaliczanymi do tytułów dłużnych wliczanych do państwowego długu publicznego</t>
  </si>
  <si>
    <t>14.3.3</t>
  </si>
  <si>
    <t>wypłaty z tytułu wymagalnych poręczeń i gwarancji</t>
  </si>
  <si>
    <t>14.4</t>
  </si>
  <si>
    <t>Wynik operacji niekasowych wpływających na kwotę długu ( m.in. umorzenia, różnice kursowe)</t>
  </si>
  <si>
    <t>Dane dotyczące emitowanych obligacji przychodowych</t>
  </si>
  <si>
    <t>15.1</t>
  </si>
  <si>
    <t>Środki z przedsięwzięcia gromadzone na rachunku bankowym,  w tym:</t>
  </si>
  <si>
    <t>15.1.1</t>
  </si>
  <si>
    <t>środki na zaspokojenie roszczeń obligatariuszy</t>
  </si>
  <si>
    <t>15.2</t>
  </si>
  <si>
    <t>Wydatki bieżące z tytułu świadczenia emitenta należnego obligatariuszom,  nieuwzględniane  w limicie spłaty zobowiązań, o którym mowa w art. 243 ustawy</t>
  </si>
  <si>
    <r>
      <t xml:space="preserve">Stopień niezachowania relacji określonych w art. 242-244 ustawy 
</t>
    </r>
    <r>
      <rPr>
        <b/>
        <sz val="9"/>
        <color indexed="10"/>
        <rFont val="Times New Roman"/>
        <family val="1"/>
        <charset val="238"/>
      </rPr>
      <t>(dotyczy tylko JST objętych procedurą z art. 240a lub 240b)</t>
    </r>
  </si>
  <si>
    <t>16.1</t>
  </si>
  <si>
    <t>Stopień niezachowania relacji zrównoważenia wydatków bieżących, o której mowa w poz. 8.2</t>
  </si>
  <si>
    <t>16.2</t>
  </si>
  <si>
    <t>Stopień niezachowania wskaźnika spłaty zobowiązań, o którym mowa w poz. 9.7</t>
  </si>
  <si>
    <t>16.3</t>
  </si>
  <si>
    <t>Stopień niezachowania wskaźnika spłaty zobowiązań, o którym mowa w poz. 9.7.1</t>
  </si>
  <si>
    <t>Wieloletnia prognoza finansowa</t>
  </si>
  <si>
    <t>Europejczycy z Powiatu Otwockiego</t>
  </si>
  <si>
    <t>1.1.2.2</t>
  </si>
  <si>
    <t>Budowa zintegrowanego systemu ostrzegania i alarmowania ludności przed zjawiskami katastrofalnymi i zagrożeniami dla Powiatu Otwockiego</t>
  </si>
  <si>
    <t>1.3.2.13</t>
  </si>
  <si>
    <t>Budowa chodnika przy drodze powiatowej Nr 2713W w miejscowości Celestynów - ul. Otwocka</t>
  </si>
  <si>
    <t>Przebudowa sygnalizacji świetlnej na skrzyżowaniu dróg powiatowych Nr 2765W - ul. Kołłątaja i Nr 2763W - ul. Majowej w Otwocku</t>
  </si>
  <si>
    <t>Rozbudowa na rondo skrzyżowania dróg powiatowych Nr 2775W - ul. Stare Miasto i Nr 2724W - ul. Żaboklickiego z drogą gminną ul. Bielińskiego w Karczewie</t>
  </si>
  <si>
    <t>Budowa drogi powiatowej Nr 1311W w Natolinie</t>
  </si>
  <si>
    <t>Wykonanie nakładki asfaltobetonowej na drodze powiatowej Nr 2764W - ul. Żeromskiego w Otwocku</t>
  </si>
  <si>
    <t>1.1.1.2</t>
  </si>
  <si>
    <t>Aktywni w życiu i w pracy</t>
  </si>
  <si>
    <t>Powiatowe Centrum Pomocy Rodzinie</t>
  </si>
  <si>
    <t>1.2.1.</t>
  </si>
  <si>
    <t>1.2.2.</t>
  </si>
  <si>
    <t>Przebudowa mostu na przepust w ciągu drogi powiatowej Nr 2735W Warszówka-Warszawice w Warszawicach</t>
  </si>
  <si>
    <t>1.3.2.14</t>
  </si>
  <si>
    <t>Modernizacja drogi powiatowej Nr 2737W Anielinek-Sępochów-Rudno</t>
  </si>
  <si>
    <t>Budowa ciągu pieszorowerowego w ciągu dróg powiatowych Nr 2772W - ul. Kard. Wyszyńskiego w Karczewie i Nr 2762W - ul. Kraszewskiego w Otwocku</t>
  </si>
  <si>
    <t>1.1.1.3</t>
  </si>
  <si>
    <t>Nowe doświadczenia zawodowe</t>
  </si>
  <si>
    <t>Dotacja na zadania z zakresu prowadzenia centrum interwencji kryzysowej</t>
  </si>
  <si>
    <t>1.3.1.1</t>
  </si>
  <si>
    <t>Wydatki na programy, projekty lub zadania związane z programami realizowanymi z udziałem środków, o których mowa w art. 5 ust. 1 pkt 2 i 3 ustawy z dnia 27 sierpnia 2009 r. o finansach publicznych (Dz. U. z 2016 r. poz. 1870, z późn. zm.), z tego:</t>
  </si>
  <si>
    <t>1.1.1.4</t>
  </si>
  <si>
    <t>Kwalifikacje po angielsku - mobilna kadra edukacyjna</t>
  </si>
  <si>
    <t>Zespół Szkół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</si>
</sst>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0.00%;[Red]\-0.00%"/>
  </numFmts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Czcionka tekstu podstawowego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b/>
      <i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8" fillId="0" borderId="0"/>
    <xf numFmtId="0" fontId="12" fillId="0" borderId="0"/>
    <xf numFmtId="0" fontId="8" fillId="0" borderId="0"/>
    <xf numFmtId="9" fontId="12" fillId="0" borderId="0" applyFont="0" applyFill="0" applyBorder="0" applyAlignment="0" applyProtection="0"/>
    <xf numFmtId="0" fontId="7" fillId="0" borderId="0"/>
  </cellStyleXfs>
  <cellXfs count="128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4" fontId="2" fillId="3" borderId="1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4" fontId="2" fillId="3" borderId="1" xfId="1" applyNumberFormat="1" applyFont="1" applyFill="1" applyBorder="1" applyAlignment="1"/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" fontId="3" fillId="0" borderId="1" xfId="1" applyNumberFormat="1" applyFont="1" applyBorder="1" applyAlignment="1"/>
    <xf numFmtId="0" fontId="3" fillId="0" borderId="0" xfId="1" applyFont="1" applyAlignment="1">
      <alignment vertical="center"/>
    </xf>
    <xf numFmtId="0" fontId="2" fillId="0" borderId="0" xfId="1" applyFont="1" applyFill="1" applyAlignment="1">
      <alignment horizontal="right"/>
    </xf>
    <xf numFmtId="0" fontId="5" fillId="0" borderId="0" xfId="1" applyFont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8" fillId="0" borderId="0" xfId="3" applyProtection="1"/>
    <xf numFmtId="0" fontId="9" fillId="0" borderId="0" xfId="3" applyFont="1" applyProtection="1"/>
    <xf numFmtId="0" fontId="9" fillId="0" borderId="0" xfId="3" applyFont="1" applyBorder="1" applyAlignment="1" applyProtection="1"/>
    <xf numFmtId="0" fontId="11" fillId="0" borderId="0" xfId="3" applyFont="1" applyBorder="1" applyAlignment="1" applyProtection="1">
      <alignment horizontal="left" vertical="center"/>
    </xf>
    <xf numFmtId="0" fontId="11" fillId="0" borderId="2" xfId="3" applyFont="1" applyBorder="1" applyAlignment="1" applyProtection="1">
      <alignment vertical="center" wrapText="1"/>
    </xf>
    <xf numFmtId="49" fontId="10" fillId="4" borderId="3" xfId="4" applyNumberFormat="1" applyFont="1" applyFill="1" applyBorder="1" applyAlignment="1" applyProtection="1">
      <alignment horizontal="center" vertical="center"/>
    </xf>
    <xf numFmtId="1" fontId="10" fillId="4" borderId="3" xfId="4" applyNumberFormat="1" applyFont="1" applyFill="1" applyBorder="1" applyAlignment="1" applyProtection="1">
      <alignment horizontal="center" vertical="center" wrapText="1"/>
    </xf>
    <xf numFmtId="1" fontId="10" fillId="4" borderId="5" xfId="4" applyNumberFormat="1" applyFont="1" applyFill="1" applyBorder="1" applyAlignment="1" applyProtection="1">
      <alignment horizontal="center" vertical="center" wrapText="1"/>
    </xf>
    <xf numFmtId="1" fontId="10" fillId="4" borderId="6" xfId="4" applyNumberFormat="1" applyFont="1" applyFill="1" applyBorder="1" applyAlignment="1" applyProtection="1">
      <alignment horizontal="center" vertical="center" wrapText="1"/>
    </xf>
    <xf numFmtId="1" fontId="10" fillId="4" borderId="7" xfId="4" applyNumberFormat="1" applyFont="1" applyFill="1" applyBorder="1" applyAlignment="1" applyProtection="1">
      <alignment horizontal="center" vertical="center"/>
    </xf>
    <xf numFmtId="1" fontId="10" fillId="4" borderId="5" xfId="4" applyNumberFormat="1" applyFont="1" applyFill="1" applyBorder="1" applyAlignment="1" applyProtection="1">
      <alignment horizontal="center" vertical="center"/>
    </xf>
    <xf numFmtId="0" fontId="13" fillId="0" borderId="8" xfId="3" applyFont="1" applyBorder="1" applyAlignment="1" applyProtection="1">
      <alignment horizontal="left" vertical="center"/>
    </xf>
    <xf numFmtId="0" fontId="13" fillId="0" borderId="9" xfId="3" applyFont="1" applyBorder="1" applyAlignment="1" applyProtection="1">
      <alignment vertical="center" wrapText="1"/>
    </xf>
    <xf numFmtId="164" fontId="14" fillId="3" borderId="8" xfId="4" applyNumberFormat="1" applyFont="1" applyFill="1" applyBorder="1" applyAlignment="1" applyProtection="1">
      <alignment vertical="center" shrinkToFit="1"/>
    </xf>
    <xf numFmtId="164" fontId="14" fillId="3" borderId="10" xfId="4" applyNumberFormat="1" applyFont="1" applyFill="1" applyBorder="1" applyAlignment="1" applyProtection="1">
      <alignment vertical="center" shrinkToFit="1"/>
    </xf>
    <xf numFmtId="164" fontId="14" fillId="3" borderId="11" xfId="4" applyNumberFormat="1" applyFont="1" applyFill="1" applyBorder="1" applyAlignment="1" applyProtection="1">
      <alignment vertical="center" shrinkToFit="1"/>
    </xf>
    <xf numFmtId="164" fontId="14" fillId="0" borderId="12" xfId="4" applyNumberFormat="1" applyFont="1" applyFill="1" applyBorder="1" applyAlignment="1" applyProtection="1">
      <alignment vertical="center" shrinkToFit="1"/>
    </xf>
    <xf numFmtId="164" fontId="14" fillId="0" borderId="10" xfId="4" applyNumberFormat="1" applyFont="1" applyFill="1" applyBorder="1" applyAlignment="1" applyProtection="1">
      <alignment vertical="center" shrinkToFit="1"/>
    </xf>
    <xf numFmtId="0" fontId="15" fillId="0" borderId="8" xfId="3" applyFont="1" applyBorder="1" applyAlignment="1" applyProtection="1">
      <alignment horizontal="left" vertical="center"/>
    </xf>
    <xf numFmtId="0" fontId="15" fillId="0" borderId="13" xfId="3" applyFont="1" applyBorder="1" applyAlignment="1" applyProtection="1">
      <alignment vertical="center" wrapText="1"/>
    </xf>
    <xf numFmtId="164" fontId="16" fillId="3" borderId="8" xfId="4" applyNumberFormat="1" applyFont="1" applyFill="1" applyBorder="1" applyAlignment="1" applyProtection="1">
      <alignment vertical="center" shrinkToFit="1"/>
    </xf>
    <xf numFmtId="164" fontId="16" fillId="3" borderId="10" xfId="4" applyNumberFormat="1" applyFont="1" applyFill="1" applyBorder="1" applyAlignment="1" applyProtection="1">
      <alignment vertical="center" shrinkToFit="1"/>
    </xf>
    <xf numFmtId="164" fontId="16" fillId="3" borderId="11" xfId="4" applyNumberFormat="1" applyFont="1" applyFill="1" applyBorder="1" applyAlignment="1" applyProtection="1">
      <alignment vertical="center" shrinkToFit="1"/>
    </xf>
    <xf numFmtId="164" fontId="16" fillId="0" borderId="12" xfId="4" applyNumberFormat="1" applyFont="1" applyFill="1" applyBorder="1" applyAlignment="1" applyProtection="1">
      <alignment vertical="center" shrinkToFit="1"/>
    </xf>
    <xf numFmtId="164" fontId="16" fillId="0" borderId="10" xfId="4" applyNumberFormat="1" applyFont="1" applyFill="1" applyBorder="1" applyAlignment="1" applyProtection="1">
      <alignment vertical="center" shrinkToFit="1"/>
    </xf>
    <xf numFmtId="164" fontId="14" fillId="3" borderId="8" xfId="4" applyNumberFormat="1" applyFont="1" applyFill="1" applyBorder="1" applyAlignment="1" applyProtection="1">
      <alignment horizontal="center" vertical="center" shrinkToFit="1"/>
    </xf>
    <xf numFmtId="164" fontId="14" fillId="3" borderId="10" xfId="4" applyNumberFormat="1" applyFont="1" applyFill="1" applyBorder="1" applyAlignment="1" applyProtection="1">
      <alignment horizontal="center" vertical="center" shrinkToFit="1"/>
    </xf>
    <xf numFmtId="164" fontId="14" fillId="3" borderId="11" xfId="4" applyNumberFormat="1" applyFont="1" applyFill="1" applyBorder="1" applyAlignment="1" applyProtection="1">
      <alignment horizontal="center" vertical="center" shrinkToFit="1"/>
    </xf>
    <xf numFmtId="164" fontId="14" fillId="0" borderId="12" xfId="4" applyNumberFormat="1" applyFont="1" applyFill="1" applyBorder="1" applyAlignment="1" applyProtection="1">
      <alignment horizontal="center" vertical="center" shrinkToFit="1"/>
    </xf>
    <xf numFmtId="164" fontId="14" fillId="0" borderId="10" xfId="4" applyNumberFormat="1" applyFont="1" applyFill="1" applyBorder="1" applyAlignment="1" applyProtection="1">
      <alignment horizontal="center" vertical="center" shrinkToFit="1"/>
    </xf>
    <xf numFmtId="165" fontId="16" fillId="3" borderId="8" xfId="4" applyNumberFormat="1" applyFont="1" applyFill="1" applyBorder="1" applyAlignment="1" applyProtection="1">
      <alignment vertical="center" shrinkToFit="1"/>
    </xf>
    <xf numFmtId="165" fontId="16" fillId="3" borderId="10" xfId="4" applyNumberFormat="1" applyFont="1" applyFill="1" applyBorder="1" applyAlignment="1" applyProtection="1">
      <alignment vertical="center" shrinkToFit="1"/>
    </xf>
    <xf numFmtId="165" fontId="16" fillId="3" borderId="11" xfId="4" applyNumberFormat="1" applyFont="1" applyFill="1" applyBorder="1" applyAlignment="1" applyProtection="1">
      <alignment vertical="center" shrinkToFit="1"/>
    </xf>
    <xf numFmtId="165" fontId="16" fillId="0" borderId="12" xfId="4" applyNumberFormat="1" applyFont="1" applyFill="1" applyBorder="1" applyAlignment="1" applyProtection="1">
      <alignment vertical="center" shrinkToFit="1"/>
    </xf>
    <xf numFmtId="165" fontId="16" fillId="0" borderId="10" xfId="4" applyNumberFormat="1" applyFont="1" applyFill="1" applyBorder="1" applyAlignment="1" applyProtection="1">
      <alignment vertical="center" shrinkToFit="1"/>
    </xf>
    <xf numFmtId="0" fontId="15" fillId="0" borderId="9" xfId="3" applyFont="1" applyBorder="1" applyAlignment="1" applyProtection="1">
      <alignment vertical="center" wrapText="1"/>
    </xf>
    <xf numFmtId="0" fontId="16" fillId="0" borderId="12" xfId="4" applyNumberFormat="1" applyFont="1" applyFill="1" applyBorder="1" applyAlignment="1" applyProtection="1">
      <alignment horizontal="center" vertical="center" shrinkToFit="1"/>
    </xf>
    <xf numFmtId="0" fontId="16" fillId="0" borderId="10" xfId="4" applyNumberFormat="1" applyFont="1" applyFill="1" applyBorder="1" applyAlignment="1" applyProtection="1">
      <alignment horizontal="center" vertical="center" shrinkToFit="1"/>
    </xf>
    <xf numFmtId="0" fontId="15" fillId="0" borderId="13" xfId="3" quotePrefix="1" applyFont="1" applyBorder="1" applyAlignment="1" applyProtection="1">
      <alignment vertical="center" wrapText="1"/>
    </xf>
    <xf numFmtId="0" fontId="15" fillId="0" borderId="29" xfId="3" applyFont="1" applyBorder="1" applyAlignment="1" applyProtection="1">
      <alignment horizontal="left" vertical="center"/>
    </xf>
    <xf numFmtId="0" fontId="15" fillId="0" borderId="30" xfId="3" applyFont="1" applyBorder="1" applyAlignment="1" applyProtection="1">
      <alignment vertical="center" wrapText="1"/>
    </xf>
    <xf numFmtId="164" fontId="16" fillId="3" borderId="29" xfId="4" applyNumberFormat="1" applyFont="1" applyFill="1" applyBorder="1" applyAlignment="1" applyProtection="1">
      <alignment vertical="center" shrinkToFit="1"/>
    </xf>
    <xf numFmtId="164" fontId="16" fillId="3" borderId="31" xfId="4" applyNumberFormat="1" applyFont="1" applyFill="1" applyBorder="1" applyAlignment="1" applyProtection="1">
      <alignment vertical="center" shrinkToFit="1"/>
    </xf>
    <xf numFmtId="164" fontId="16" fillId="3" borderId="32" xfId="4" applyNumberFormat="1" applyFont="1" applyFill="1" applyBorder="1" applyAlignment="1" applyProtection="1">
      <alignment vertical="center" shrinkToFit="1"/>
    </xf>
    <xf numFmtId="164" fontId="16" fillId="0" borderId="33" xfId="4" applyNumberFormat="1" applyFont="1" applyFill="1" applyBorder="1" applyAlignment="1" applyProtection="1">
      <alignment vertical="center" shrinkToFit="1"/>
    </xf>
    <xf numFmtId="164" fontId="16" fillId="0" borderId="31" xfId="4" applyNumberFormat="1" applyFont="1" applyFill="1" applyBorder="1" applyAlignment="1" applyProtection="1">
      <alignment vertical="center" shrinkToFit="1"/>
    </xf>
    <xf numFmtId="0" fontId="13" fillId="0" borderId="19" xfId="3" applyFont="1" applyBorder="1" applyAlignment="1" applyProtection="1">
      <alignment horizontal="left" vertical="center"/>
    </xf>
    <xf numFmtId="0" fontId="13" fillId="0" borderId="20" xfId="3" applyFont="1" applyBorder="1" applyAlignment="1" applyProtection="1">
      <alignment vertical="center" wrapText="1"/>
    </xf>
    <xf numFmtId="164" fontId="14" fillId="3" borderId="19" xfId="4" applyNumberFormat="1" applyFont="1" applyFill="1" applyBorder="1" applyAlignment="1" applyProtection="1">
      <alignment horizontal="center" vertical="center" shrinkToFit="1"/>
    </xf>
    <xf numFmtId="164" fontId="14" fillId="3" borderId="21" xfId="4" applyNumberFormat="1" applyFont="1" applyFill="1" applyBorder="1" applyAlignment="1" applyProtection="1">
      <alignment horizontal="center" vertical="center" shrinkToFit="1"/>
    </xf>
    <xf numFmtId="164" fontId="14" fillId="3" borderId="22" xfId="4" applyNumberFormat="1" applyFont="1" applyFill="1" applyBorder="1" applyAlignment="1" applyProtection="1">
      <alignment horizontal="center" vertical="center" shrinkToFit="1"/>
    </xf>
    <xf numFmtId="164" fontId="14" fillId="0" borderId="23" xfId="4" applyNumberFormat="1" applyFont="1" applyFill="1" applyBorder="1" applyAlignment="1" applyProtection="1">
      <alignment horizontal="center" vertical="center" shrinkToFit="1"/>
    </xf>
    <xf numFmtId="164" fontId="14" fillId="0" borderId="21" xfId="4" applyNumberFormat="1" applyFont="1" applyFill="1" applyBorder="1" applyAlignment="1" applyProtection="1">
      <alignment horizontal="center" vertical="center" shrinkToFit="1"/>
    </xf>
    <xf numFmtId="0" fontId="15" fillId="0" borderId="24" xfId="3" applyFont="1" applyBorder="1" applyAlignment="1" applyProtection="1">
      <alignment horizontal="left" vertical="center"/>
    </xf>
    <xf numFmtId="0" fontId="15" fillId="0" borderId="25" xfId="3" applyFont="1" applyBorder="1" applyAlignment="1" applyProtection="1">
      <alignment vertical="center" wrapText="1"/>
    </xf>
    <xf numFmtId="164" fontId="16" fillId="3" borderId="24" xfId="4" applyNumberFormat="1" applyFont="1" applyFill="1" applyBorder="1" applyAlignment="1" applyProtection="1">
      <alignment vertical="center" shrinkToFit="1"/>
    </xf>
    <xf numFmtId="164" fontId="16" fillId="3" borderId="26" xfId="4" applyNumberFormat="1" applyFont="1" applyFill="1" applyBorder="1" applyAlignment="1" applyProtection="1">
      <alignment vertical="center" shrinkToFit="1"/>
    </xf>
    <xf numFmtId="164" fontId="16" fillId="3" borderId="27" xfId="4" applyNumberFormat="1" applyFont="1" applyFill="1" applyBorder="1" applyAlignment="1" applyProtection="1">
      <alignment vertical="center" shrinkToFit="1"/>
    </xf>
    <xf numFmtId="164" fontId="16" fillId="0" borderId="28" xfId="4" applyNumberFormat="1" applyFont="1" applyFill="1" applyBorder="1" applyAlignment="1" applyProtection="1">
      <alignment vertical="center" shrinkToFit="1"/>
    </xf>
    <xf numFmtId="164" fontId="16" fillId="0" borderId="26" xfId="4" applyNumberFormat="1" applyFont="1" applyFill="1" applyBorder="1" applyAlignment="1" applyProtection="1">
      <alignment vertical="center" shrinkToFit="1"/>
    </xf>
    <xf numFmtId="0" fontId="15" fillId="0" borderId="14" xfId="3" applyFont="1" applyBorder="1" applyAlignment="1" applyProtection="1">
      <alignment horizontal="left" vertical="center"/>
    </xf>
    <xf numFmtId="0" fontId="15" fillId="0" borderId="15" xfId="3" applyFont="1" applyBorder="1" applyAlignment="1" applyProtection="1">
      <alignment vertical="center" wrapText="1"/>
    </xf>
    <xf numFmtId="164" fontId="16" fillId="3" borderId="14" xfId="4" applyNumberFormat="1" applyFont="1" applyFill="1" applyBorder="1" applyAlignment="1" applyProtection="1">
      <alignment vertical="center" shrinkToFit="1"/>
    </xf>
    <xf numFmtId="164" fontId="16" fillId="3" borderId="16" xfId="4" applyNumberFormat="1" applyFont="1" applyFill="1" applyBorder="1" applyAlignment="1" applyProtection="1">
      <alignment vertical="center" shrinkToFit="1"/>
    </xf>
    <xf numFmtId="164" fontId="16" fillId="3" borderId="17" xfId="4" applyNumberFormat="1" applyFont="1" applyFill="1" applyBorder="1" applyAlignment="1" applyProtection="1">
      <alignment vertical="center" shrinkToFit="1"/>
    </xf>
    <xf numFmtId="164" fontId="16" fillId="0" borderId="18" xfId="4" applyNumberFormat="1" applyFont="1" applyFill="1" applyBorder="1" applyAlignment="1" applyProtection="1">
      <alignment vertical="center" shrinkToFit="1"/>
    </xf>
    <xf numFmtId="164" fontId="16" fillId="0" borderId="16" xfId="4" applyNumberFormat="1" applyFont="1" applyFill="1" applyBorder="1" applyAlignment="1" applyProtection="1">
      <alignment vertical="center" shrinkToFit="1"/>
    </xf>
    <xf numFmtId="0" fontId="13" fillId="0" borderId="19" xfId="5" applyFont="1" applyBorder="1" applyAlignment="1" applyProtection="1">
      <alignment horizontal="left" vertical="center"/>
    </xf>
    <xf numFmtId="0" fontId="13" fillId="0" borderId="20" xfId="5" applyFont="1" applyBorder="1" applyAlignment="1" applyProtection="1">
      <alignment vertical="center" wrapText="1"/>
    </xf>
    <xf numFmtId="0" fontId="15" fillId="0" borderId="24" xfId="5" applyFont="1" applyBorder="1" applyAlignment="1" applyProtection="1">
      <alignment horizontal="left" vertical="center"/>
    </xf>
    <xf numFmtId="0" fontId="15" fillId="0" borderId="25" xfId="5" applyFont="1" applyBorder="1" applyAlignment="1" applyProtection="1">
      <alignment vertical="center" wrapText="1"/>
    </xf>
    <xf numFmtId="164" fontId="16" fillId="3" borderId="24" xfId="4" applyNumberFormat="1" applyFont="1" applyFill="1" applyBorder="1" applyAlignment="1" applyProtection="1">
      <alignment horizontal="center" vertical="center" shrinkToFit="1"/>
    </xf>
    <xf numFmtId="164" fontId="16" fillId="3" borderId="26" xfId="4" applyNumberFormat="1" applyFont="1" applyFill="1" applyBorder="1" applyAlignment="1" applyProtection="1">
      <alignment horizontal="center" vertical="center" shrinkToFit="1"/>
    </xf>
    <xf numFmtId="164" fontId="16" fillId="3" borderId="27" xfId="4" applyNumberFormat="1" applyFont="1" applyFill="1" applyBorder="1" applyAlignment="1" applyProtection="1">
      <alignment horizontal="center" vertical="center" shrinkToFit="1"/>
    </xf>
    <xf numFmtId="0" fontId="15" fillId="0" borderId="8" xfId="5" applyFont="1" applyBorder="1" applyAlignment="1" applyProtection="1">
      <alignment horizontal="left" vertical="center"/>
    </xf>
    <xf numFmtId="0" fontId="15" fillId="0" borderId="13" xfId="5" applyFont="1" applyBorder="1" applyAlignment="1" applyProtection="1">
      <alignment vertical="center" wrapText="1"/>
    </xf>
    <xf numFmtId="164" fontId="16" fillId="3" borderId="8" xfId="4" applyNumberFormat="1" applyFont="1" applyFill="1" applyBorder="1" applyAlignment="1" applyProtection="1">
      <alignment horizontal="center" vertical="center" shrinkToFit="1"/>
    </xf>
    <xf numFmtId="164" fontId="16" fillId="3" borderId="10" xfId="4" applyNumberFormat="1" applyFont="1" applyFill="1" applyBorder="1" applyAlignment="1" applyProtection="1">
      <alignment horizontal="center" vertical="center" shrinkToFit="1"/>
    </xf>
    <xf numFmtId="164" fontId="16" fillId="3" borderId="11" xfId="4" applyNumberFormat="1" applyFont="1" applyFill="1" applyBorder="1" applyAlignment="1" applyProtection="1">
      <alignment horizontal="center" vertical="center" shrinkToFit="1"/>
    </xf>
    <xf numFmtId="10" fontId="16" fillId="0" borderId="12" xfId="6" applyNumberFormat="1" applyFont="1" applyFill="1" applyBorder="1" applyAlignment="1" applyProtection="1">
      <alignment vertical="center" shrinkToFit="1"/>
    </xf>
    <xf numFmtId="0" fontId="15" fillId="0" borderId="29" xfId="5" applyFont="1" applyBorder="1" applyAlignment="1" applyProtection="1">
      <alignment horizontal="left" vertical="center"/>
    </xf>
    <xf numFmtId="0" fontId="15" fillId="0" borderId="30" xfId="5" applyFont="1" applyBorder="1" applyAlignment="1" applyProtection="1">
      <alignment vertical="center" wrapText="1"/>
    </xf>
    <xf numFmtId="164" fontId="16" fillId="3" borderId="29" xfId="4" applyNumberFormat="1" applyFont="1" applyFill="1" applyBorder="1" applyAlignment="1" applyProtection="1">
      <alignment horizontal="center" vertical="center" shrinkToFit="1"/>
    </xf>
    <xf numFmtId="164" fontId="16" fillId="3" borderId="31" xfId="4" applyNumberFormat="1" applyFont="1" applyFill="1" applyBorder="1" applyAlignment="1" applyProtection="1">
      <alignment horizontal="center" vertical="center" shrinkToFit="1"/>
    </xf>
    <xf numFmtId="164" fontId="16" fillId="3" borderId="32" xfId="4" applyNumberFormat="1" applyFont="1" applyFill="1" applyBorder="1" applyAlignment="1" applyProtection="1">
      <alignment horizontal="center" vertical="center" shrinkToFit="1"/>
    </xf>
    <xf numFmtId="10" fontId="16" fillId="0" borderId="33" xfId="6" applyNumberFormat="1" applyFont="1" applyFill="1" applyBorder="1" applyAlignment="1" applyProtection="1">
      <alignment vertical="center" shrinkToFit="1"/>
    </xf>
    <xf numFmtId="0" fontId="9" fillId="0" borderId="0" xfId="3" applyFont="1" applyBorder="1" applyAlignment="1" applyProtection="1">
      <alignment vertical="center"/>
    </xf>
    <xf numFmtId="0" fontId="9" fillId="0" borderId="0" xfId="3" applyFont="1" applyAlignment="1" applyProtection="1"/>
    <xf numFmtId="49" fontId="10" fillId="4" borderId="4" xfId="4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8" fillId="0" borderId="0" xfId="3" applyFont="1" applyAlignment="1" applyProtection="1">
      <alignment vertical="center"/>
    </xf>
    <xf numFmtId="0" fontId="8" fillId="0" borderId="0" xfId="3" applyFont="1" applyProtection="1"/>
    <xf numFmtId="0" fontId="19" fillId="0" borderId="0" xfId="3" applyFont="1" applyProtection="1"/>
    <xf numFmtId="0" fontId="20" fillId="0" borderId="1" xfId="1" applyFont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/>
    </xf>
    <xf numFmtId="4" fontId="20" fillId="0" borderId="1" xfId="1" applyNumberFormat="1" applyFont="1" applyBorder="1" applyAlignment="1"/>
    <xf numFmtId="0" fontId="20" fillId="0" borderId="0" xfId="1" applyFont="1"/>
    <xf numFmtId="0" fontId="20" fillId="0" borderId="0" xfId="1" applyFont="1" applyAlignment="1">
      <alignment vertical="center"/>
    </xf>
    <xf numFmtId="0" fontId="10" fillId="0" borderId="2" xfId="3" applyFont="1" applyBorder="1" applyAlignment="1" applyProtection="1">
      <alignment horizontal="center" vertical="center" wrapText="1"/>
    </xf>
    <xf numFmtId="0" fontId="10" fillId="0" borderId="2" xfId="3" applyFont="1" applyBorder="1" applyAlignment="1" applyProtection="1">
      <alignment horizontal="center" vertical="center" wrapText="1"/>
    </xf>
    <xf numFmtId="0" fontId="18" fillId="0" borderId="0" xfId="3" applyFont="1" applyAlignment="1" applyProtection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</cellXfs>
  <cellStyles count="8">
    <cellStyle name="Normalny" xfId="0" builtinId="0"/>
    <cellStyle name="Normalny 2" xfId="1"/>
    <cellStyle name="Normalny 2 2 2" xfId="2"/>
    <cellStyle name="Normalny 3" xfId="3"/>
    <cellStyle name="Normalny 6 2" xfId="4"/>
    <cellStyle name="Normalny 8" xfId="7"/>
    <cellStyle name="Normalny 9" xfId="5"/>
    <cellStyle name="Procentowy 2 2" xfId="6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/Desktop/raport%20marzec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1_WPF_bazowy"/>
      <sheetName val="WPF_AnalizaWsk_ProjektowanieJST"/>
      <sheetName val="definicja"/>
      <sheetName val="rysunki"/>
      <sheetName val="DaneZrodlowe"/>
    </sheetNames>
    <sheetDataSet>
      <sheetData sheetId="0"/>
      <sheetData sheetId="1" refreshError="1"/>
      <sheetData sheetId="2">
        <row r="75">
          <cell r="AE75" t="str">
            <v>rokwzgl=26 i lp=670</v>
          </cell>
        </row>
      </sheetData>
      <sheetData sheetId="3" refreshError="1"/>
      <sheetData sheetId="4">
        <row r="1">
          <cell r="N1">
            <v>2017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/>
  </sheetPr>
  <dimension ref="A1:V113"/>
  <sheetViews>
    <sheetView tabSelected="1" zoomScale="120" zoomScaleNormal="120" zoomScaleSheetLayoutView="100" workbookViewId="0">
      <pane xSplit="2" ySplit="3" topLeftCell="C4" activePane="bottomRight" state="frozen"/>
      <selection activeCell="H158" sqref="H158"/>
      <selection pane="topRight" activeCell="H158" sqref="H158"/>
      <selection pane="bottomLeft" activeCell="H158" sqref="H158"/>
      <selection pane="bottomRight" sqref="A1:U1"/>
    </sheetView>
  </sheetViews>
  <sheetFormatPr defaultRowHeight="14.25"/>
  <cols>
    <col min="1" max="1" width="6.5703125" style="21" customWidth="1"/>
    <col min="2" max="2" width="29.7109375" style="107" customWidth="1"/>
    <col min="3" max="21" width="11.7109375" style="21" customWidth="1"/>
    <col min="22" max="16384" width="9.140625" style="20"/>
  </cols>
  <sheetData>
    <row r="1" spans="1:22" ht="20.25">
      <c r="A1" s="122" t="s">
        <v>248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10"/>
    </row>
    <row r="2" spans="1:22" ht="15.75">
      <c r="B2" s="22"/>
      <c r="C2" s="121" t="s">
        <v>51</v>
      </c>
      <c r="D2" s="121"/>
      <c r="E2" s="120" t="s">
        <v>52</v>
      </c>
      <c r="F2" s="120" t="s">
        <v>51</v>
      </c>
      <c r="G2" s="23" t="str">
        <f>""</f>
        <v/>
      </c>
      <c r="H2" s="24"/>
      <c r="I2" s="24"/>
      <c r="J2" s="24"/>
      <c r="K2" s="24"/>
    </row>
    <row r="3" spans="1:22" ht="31.5" customHeight="1">
      <c r="A3" s="25" t="s">
        <v>1</v>
      </c>
      <c r="B3" s="108" t="s">
        <v>53</v>
      </c>
      <c r="C3" s="26">
        <f>+D3-1</f>
        <v>2014</v>
      </c>
      <c r="D3" s="27">
        <f>+E3-1</f>
        <v>2015</v>
      </c>
      <c r="E3" s="27">
        <f>+F3</f>
        <v>2016</v>
      </c>
      <c r="F3" s="28">
        <f>+G3-1</f>
        <v>2016</v>
      </c>
      <c r="G3" s="29">
        <f>+[1]DaneZrodlowe!$N$1</f>
        <v>2017</v>
      </c>
      <c r="H3" s="30">
        <f>+G3+1</f>
        <v>2018</v>
      </c>
      <c r="I3" s="30">
        <f t="shared" ref="I3:U3" si="0">+H3+1</f>
        <v>2019</v>
      </c>
      <c r="J3" s="30">
        <f t="shared" si="0"/>
        <v>2020</v>
      </c>
      <c r="K3" s="30">
        <f t="shared" si="0"/>
        <v>2021</v>
      </c>
      <c r="L3" s="30">
        <f t="shared" si="0"/>
        <v>2022</v>
      </c>
      <c r="M3" s="30">
        <f t="shared" si="0"/>
        <v>2023</v>
      </c>
      <c r="N3" s="30">
        <f t="shared" si="0"/>
        <v>2024</v>
      </c>
      <c r="O3" s="30">
        <f t="shared" si="0"/>
        <v>2025</v>
      </c>
      <c r="P3" s="30">
        <f t="shared" si="0"/>
        <v>2026</v>
      </c>
      <c r="Q3" s="30">
        <f t="shared" si="0"/>
        <v>2027</v>
      </c>
      <c r="R3" s="30">
        <f t="shared" si="0"/>
        <v>2028</v>
      </c>
      <c r="S3" s="30">
        <f t="shared" si="0"/>
        <v>2029</v>
      </c>
      <c r="T3" s="30">
        <f t="shared" si="0"/>
        <v>2030</v>
      </c>
      <c r="U3" s="30">
        <f t="shared" si="0"/>
        <v>2031</v>
      </c>
      <c r="V3" s="111"/>
    </row>
    <row r="4" spans="1:22" ht="17.25" customHeight="1">
      <c r="A4" s="31">
        <v>1</v>
      </c>
      <c r="B4" s="32" t="s">
        <v>54</v>
      </c>
      <c r="C4" s="33">
        <f>109073534.78</f>
        <v>109073534.78</v>
      </c>
      <c r="D4" s="34">
        <f>113412610.88</f>
        <v>113412610.88</v>
      </c>
      <c r="E4" s="34">
        <f>122956162</f>
        <v>122956162</v>
      </c>
      <c r="F4" s="35">
        <f>119031147.34</f>
        <v>119031147.34</v>
      </c>
      <c r="G4" s="36">
        <f>125738081</f>
        <v>125738081</v>
      </c>
      <c r="H4" s="37">
        <f>134885612</f>
        <v>134885612</v>
      </c>
      <c r="I4" s="37">
        <f>135181901</f>
        <v>135181901</v>
      </c>
      <c r="J4" s="37">
        <f>129629395</f>
        <v>129629395</v>
      </c>
      <c r="K4" s="37">
        <f>133967943</f>
        <v>133967943</v>
      </c>
      <c r="L4" s="37">
        <f>138589189</f>
        <v>138589189</v>
      </c>
      <c r="M4" s="37">
        <f>143068772</f>
        <v>143068772</v>
      </c>
      <c r="N4" s="37">
        <f>147646093</f>
        <v>147646093</v>
      </c>
      <c r="O4" s="37">
        <f>152412272</f>
        <v>152412272</v>
      </c>
      <c r="P4" s="37">
        <f>156718140</f>
        <v>156718140</v>
      </c>
      <c r="Q4" s="37">
        <f>161254266</f>
        <v>161254266</v>
      </c>
      <c r="R4" s="37">
        <f>165921940</f>
        <v>165921940</v>
      </c>
      <c r="S4" s="37">
        <f>170559354</f>
        <v>170559354</v>
      </c>
      <c r="T4" s="37">
        <f>175156357</f>
        <v>175156357</v>
      </c>
      <c r="U4" s="37">
        <f>179877479</f>
        <v>179877479</v>
      </c>
      <c r="V4" s="112"/>
    </row>
    <row r="5" spans="1:22" ht="17.25" customHeight="1">
      <c r="A5" s="38" t="s">
        <v>55</v>
      </c>
      <c r="B5" s="39" t="s">
        <v>56</v>
      </c>
      <c r="C5" s="40">
        <f>107100203.64</f>
        <v>107100203.64</v>
      </c>
      <c r="D5" s="41">
        <f>110702007.93</f>
        <v>110702007.93000001</v>
      </c>
      <c r="E5" s="41">
        <f>111630422</f>
        <v>111630422</v>
      </c>
      <c r="F5" s="42">
        <f>112338702.73</f>
        <v>112338702.73</v>
      </c>
      <c r="G5" s="43">
        <f>114548125</f>
        <v>114548125</v>
      </c>
      <c r="H5" s="44">
        <f>119135612</f>
        <v>119135612</v>
      </c>
      <c r="I5" s="44">
        <f>123781901</f>
        <v>123781901</v>
      </c>
      <c r="J5" s="44">
        <f>128609395</f>
        <v>128609395</v>
      </c>
      <c r="K5" s="44">
        <f>133367943</f>
        <v>133367943</v>
      </c>
      <c r="L5" s="44">
        <f>138169189</f>
        <v>138169189</v>
      </c>
      <c r="M5" s="44">
        <f>142728772</f>
        <v>142728772</v>
      </c>
      <c r="N5" s="44">
        <f>147296093</f>
        <v>147296093</v>
      </c>
      <c r="O5" s="44">
        <f>151862272</f>
        <v>151862272</v>
      </c>
      <c r="P5" s="44">
        <f>156418140</f>
        <v>156418140</v>
      </c>
      <c r="Q5" s="44">
        <f>160954266</f>
        <v>160954266</v>
      </c>
      <c r="R5" s="44">
        <f>165621940</f>
        <v>165621940</v>
      </c>
      <c r="S5" s="44">
        <f>170259354</f>
        <v>170259354</v>
      </c>
      <c r="T5" s="44">
        <f>174856357</f>
        <v>174856357</v>
      </c>
      <c r="U5" s="44">
        <f>179577479</f>
        <v>179577479</v>
      </c>
    </row>
    <row r="6" spans="1:22" ht="30.75" customHeight="1">
      <c r="A6" s="38" t="s">
        <v>57</v>
      </c>
      <c r="B6" s="39" t="s">
        <v>58</v>
      </c>
      <c r="C6" s="40">
        <f>33469606</f>
        <v>33469606</v>
      </c>
      <c r="D6" s="41">
        <f>36117192</f>
        <v>36117192</v>
      </c>
      <c r="E6" s="41">
        <f>38474381</f>
        <v>38474381</v>
      </c>
      <c r="F6" s="42">
        <f>39127727</f>
        <v>39127727</v>
      </c>
      <c r="G6" s="43">
        <f>43057827</f>
        <v>43057827</v>
      </c>
      <c r="H6" s="44">
        <f>44712713</f>
        <v>44712713</v>
      </c>
      <c r="I6" s="44">
        <f>46456509</f>
        <v>46456509</v>
      </c>
      <c r="J6" s="44">
        <f>48268313</f>
        <v>48268313</v>
      </c>
      <c r="K6" s="44">
        <f>50054241</f>
        <v>50054241</v>
      </c>
      <c r="L6" s="44">
        <f>51856194</f>
        <v>51856194</v>
      </c>
      <c r="M6" s="44">
        <f>53567448</f>
        <v>53567448</v>
      </c>
      <c r="N6" s="44">
        <f>55281606</f>
        <v>55281606</v>
      </c>
      <c r="O6" s="44">
        <f>56995336</f>
        <v>56995336</v>
      </c>
      <c r="P6" s="44">
        <f>58705196</f>
        <v>58705196</v>
      </c>
      <c r="Q6" s="44">
        <f>60407647</f>
        <v>60407647</v>
      </c>
      <c r="R6" s="44">
        <f>62159469</f>
        <v>62159469</v>
      </c>
      <c r="S6" s="44">
        <f>63899934</f>
        <v>63899934</v>
      </c>
      <c r="T6" s="44">
        <f>65625232</f>
        <v>65625232</v>
      </c>
      <c r="U6" s="44">
        <f>67397113</f>
        <v>67397113</v>
      </c>
    </row>
    <row r="7" spans="1:22" ht="30.75" customHeight="1">
      <c r="A7" s="38" t="s">
        <v>59</v>
      </c>
      <c r="B7" s="39" t="s">
        <v>60</v>
      </c>
      <c r="C7" s="40">
        <f>766855.31</f>
        <v>766855.31</v>
      </c>
      <c r="D7" s="41">
        <f>893268.75</f>
        <v>893268.75</v>
      </c>
      <c r="E7" s="41">
        <f>900000</f>
        <v>900000</v>
      </c>
      <c r="F7" s="42">
        <f>865724.06</f>
        <v>865724.06</v>
      </c>
      <c r="G7" s="43">
        <f>850000</f>
        <v>850000</v>
      </c>
      <c r="H7" s="44">
        <f>882300</f>
        <v>882300</v>
      </c>
      <c r="I7" s="44">
        <f>916710</f>
        <v>916710</v>
      </c>
      <c r="J7" s="44">
        <f>952462</f>
        <v>952462</v>
      </c>
      <c r="K7" s="44">
        <f>987703</f>
        <v>987703</v>
      </c>
      <c r="L7" s="44">
        <f>1023260</f>
        <v>1023260</v>
      </c>
      <c r="M7" s="44">
        <f>1057028</f>
        <v>1057028</v>
      </c>
      <c r="N7" s="44">
        <f>1090853</f>
        <v>1090853</v>
      </c>
      <c r="O7" s="44">
        <f>1124669</f>
        <v>1124669</v>
      </c>
      <c r="P7" s="44">
        <f>1158409</f>
        <v>1158409</v>
      </c>
      <c r="Q7" s="44">
        <f>1192003</f>
        <v>1192003</v>
      </c>
      <c r="R7" s="44">
        <f>1226571</f>
        <v>1226571</v>
      </c>
      <c r="S7" s="44">
        <f>1260915</f>
        <v>1260915</v>
      </c>
      <c r="T7" s="44">
        <f>1294960</f>
        <v>1294960</v>
      </c>
      <c r="U7" s="44">
        <f>1329924</f>
        <v>1329924</v>
      </c>
    </row>
    <row r="8" spans="1:22" ht="17.25" customHeight="1">
      <c r="A8" s="38" t="s">
        <v>61</v>
      </c>
      <c r="B8" s="39" t="s">
        <v>62</v>
      </c>
      <c r="C8" s="40">
        <f>3961887.72</f>
        <v>3961887.72</v>
      </c>
      <c r="D8" s="41">
        <f>4259449.62</f>
        <v>4259449.62</v>
      </c>
      <c r="E8" s="41">
        <f>4733297</f>
        <v>4733297</v>
      </c>
      <c r="F8" s="42">
        <f>4549004.28</f>
        <v>4549004.28</v>
      </c>
      <c r="G8" s="43">
        <f>4799560</f>
        <v>4799560</v>
      </c>
      <c r="H8" s="44">
        <f>4981881</f>
        <v>4981881</v>
      </c>
      <c r="I8" s="44">
        <f>5176174</f>
        <v>5176174</v>
      </c>
      <c r="J8" s="44">
        <f>5378045</f>
        <v>5378045</v>
      </c>
      <c r="K8" s="44">
        <f>5577033</f>
        <v>5577033</v>
      </c>
      <c r="L8" s="44">
        <f>5777806</f>
        <v>5777806</v>
      </c>
      <c r="M8" s="44">
        <f>5968474</f>
        <v>5968474</v>
      </c>
      <c r="N8" s="44">
        <f>6159465</f>
        <v>6159465</v>
      </c>
      <c r="O8" s="44">
        <f>6350408</f>
        <v>6350408</v>
      </c>
      <c r="P8" s="44">
        <f>6540920</f>
        <v>6540920</v>
      </c>
      <c r="Q8" s="44">
        <f>6730607</f>
        <v>6730607</v>
      </c>
      <c r="R8" s="44">
        <f>6925795</f>
        <v>6925795</v>
      </c>
      <c r="S8" s="44">
        <f>7119717</f>
        <v>7119717</v>
      </c>
      <c r="T8" s="44">
        <f>7311949</f>
        <v>7311949</v>
      </c>
      <c r="U8" s="44">
        <f>7509372</f>
        <v>7509372</v>
      </c>
    </row>
    <row r="9" spans="1:22" ht="17.25" customHeight="1">
      <c r="A9" s="38" t="s">
        <v>63</v>
      </c>
      <c r="B9" s="39" t="s">
        <v>64</v>
      </c>
      <c r="C9" s="40">
        <f>0</f>
        <v>0</v>
      </c>
      <c r="D9" s="41">
        <f>0</f>
        <v>0</v>
      </c>
      <c r="E9" s="41">
        <f>0</f>
        <v>0</v>
      </c>
      <c r="F9" s="42">
        <f>0</f>
        <v>0</v>
      </c>
      <c r="G9" s="43">
        <f>0</f>
        <v>0</v>
      </c>
      <c r="H9" s="44">
        <f>0</f>
        <v>0</v>
      </c>
      <c r="I9" s="44">
        <f>0</f>
        <v>0</v>
      </c>
      <c r="J9" s="44">
        <f>0</f>
        <v>0</v>
      </c>
      <c r="K9" s="44">
        <f>0</f>
        <v>0</v>
      </c>
      <c r="L9" s="44">
        <f>0</f>
        <v>0</v>
      </c>
      <c r="M9" s="44">
        <f>0</f>
        <v>0</v>
      </c>
      <c r="N9" s="44">
        <f>0</f>
        <v>0</v>
      </c>
      <c r="O9" s="44">
        <f>0</f>
        <v>0</v>
      </c>
      <c r="P9" s="44">
        <f>0</f>
        <v>0</v>
      </c>
      <c r="Q9" s="44">
        <f>0</f>
        <v>0</v>
      </c>
      <c r="R9" s="44">
        <f>0</f>
        <v>0</v>
      </c>
      <c r="S9" s="44">
        <f>0</f>
        <v>0</v>
      </c>
      <c r="T9" s="44">
        <f>0</f>
        <v>0</v>
      </c>
      <c r="U9" s="44">
        <f>0</f>
        <v>0</v>
      </c>
    </row>
    <row r="10" spans="1:22" ht="17.25" customHeight="1">
      <c r="A10" s="38" t="s">
        <v>65</v>
      </c>
      <c r="B10" s="39" t="s">
        <v>66</v>
      </c>
      <c r="C10" s="40">
        <f>45953165</f>
        <v>45953165</v>
      </c>
      <c r="D10" s="41">
        <f>45930651</f>
        <v>45930651</v>
      </c>
      <c r="E10" s="41">
        <f>44868892</f>
        <v>44868892</v>
      </c>
      <c r="F10" s="42">
        <f>44895602</f>
        <v>44895602</v>
      </c>
      <c r="G10" s="43">
        <f>43915782</f>
        <v>43915782</v>
      </c>
      <c r="H10" s="44">
        <f>46106704</f>
        <v>46106704</v>
      </c>
      <c r="I10" s="44">
        <f>47904865</f>
        <v>47904865</v>
      </c>
      <c r="J10" s="44">
        <f>49773155</f>
        <v>49773155</v>
      </c>
      <c r="K10" s="44">
        <f>51614762</f>
        <v>51614762</v>
      </c>
      <c r="L10" s="44">
        <f>53472893</f>
        <v>53472893</v>
      </c>
      <c r="M10" s="44">
        <f>55237498</f>
        <v>55237498</v>
      </c>
      <c r="N10" s="44">
        <f>57005098</f>
        <v>57005098</v>
      </c>
      <c r="O10" s="44">
        <f>58772256</f>
        <v>58772256</v>
      </c>
      <c r="P10" s="44">
        <f>60535424</f>
        <v>60535424</v>
      </c>
      <c r="Q10" s="44">
        <f>62290951</f>
        <v>62290951</v>
      </c>
      <c r="R10" s="44">
        <f>64097389</f>
        <v>64097389</v>
      </c>
      <c r="S10" s="44">
        <f>65892116</f>
        <v>65892116</v>
      </c>
      <c r="T10" s="44">
        <f>67671203</f>
        <v>67671203</v>
      </c>
      <c r="U10" s="44">
        <f>69498325</f>
        <v>69498325</v>
      </c>
    </row>
    <row r="11" spans="1:22" ht="30" customHeight="1">
      <c r="A11" s="38" t="s">
        <v>67</v>
      </c>
      <c r="B11" s="39" t="s">
        <v>68</v>
      </c>
      <c r="C11" s="40">
        <f>16129500.75</f>
        <v>16129500.75</v>
      </c>
      <c r="D11" s="41">
        <f>15039810.53</f>
        <v>15039810.529999999</v>
      </c>
      <c r="E11" s="41">
        <f>16162865</f>
        <v>16162865</v>
      </c>
      <c r="F11" s="42">
        <f>16519142.81</f>
        <v>16519142.810000001</v>
      </c>
      <c r="G11" s="43">
        <f>15510235</f>
        <v>15510235</v>
      </c>
      <c r="H11" s="44">
        <f>15798051</f>
        <v>15798051</v>
      </c>
      <c r="I11" s="44">
        <f>16414175</f>
        <v>16414175</v>
      </c>
      <c r="J11" s="44">
        <f>17054328</f>
        <v>17054328</v>
      </c>
      <c r="K11" s="44">
        <f>17685338</f>
        <v>17685338</v>
      </c>
      <c r="L11" s="44">
        <f>18322010</f>
        <v>18322010</v>
      </c>
      <c r="M11" s="44">
        <f>18926636</f>
        <v>18926636</v>
      </c>
      <c r="N11" s="44">
        <f>19532288</f>
        <v>19532288</v>
      </c>
      <c r="O11" s="44">
        <f>20137789</f>
        <v>20137789</v>
      </c>
      <c r="P11" s="44">
        <f>20741923</f>
        <v>20741923</v>
      </c>
      <c r="Q11" s="44">
        <f>21343439</f>
        <v>21343439</v>
      </c>
      <c r="R11" s="44">
        <f>21962399</f>
        <v>21962399</v>
      </c>
      <c r="S11" s="44">
        <f>22577346</f>
        <v>22577346</v>
      </c>
      <c r="T11" s="44">
        <f>23186934</f>
        <v>23186934</v>
      </c>
      <c r="U11" s="44">
        <f>23812981</f>
        <v>23812981</v>
      </c>
    </row>
    <row r="12" spans="1:22" ht="17.25" customHeight="1">
      <c r="A12" s="38" t="s">
        <v>69</v>
      </c>
      <c r="B12" s="39" t="s">
        <v>70</v>
      </c>
      <c r="C12" s="40">
        <f>1973331.14</f>
        <v>1973331.14</v>
      </c>
      <c r="D12" s="41">
        <f>2710602.95</f>
        <v>2710602.95</v>
      </c>
      <c r="E12" s="41">
        <f>11325740</f>
        <v>11325740</v>
      </c>
      <c r="F12" s="42">
        <f>6692444.61</f>
        <v>6692444.6100000003</v>
      </c>
      <c r="G12" s="43">
        <f>11189956</f>
        <v>11189956</v>
      </c>
      <c r="H12" s="44">
        <f>15750000</f>
        <v>15750000</v>
      </c>
      <c r="I12" s="44">
        <f>11400000</f>
        <v>11400000</v>
      </c>
      <c r="J12" s="44">
        <f>1020000</f>
        <v>1020000</v>
      </c>
      <c r="K12" s="44">
        <f>600000</f>
        <v>600000</v>
      </c>
      <c r="L12" s="44">
        <f>420000</f>
        <v>420000</v>
      </c>
      <c r="M12" s="44">
        <f>340000</f>
        <v>340000</v>
      </c>
      <c r="N12" s="44">
        <f>350000</f>
        <v>350000</v>
      </c>
      <c r="O12" s="44">
        <f>550000</f>
        <v>550000</v>
      </c>
      <c r="P12" s="44">
        <f t="shared" ref="P12:U12" si="1">300000</f>
        <v>300000</v>
      </c>
      <c r="Q12" s="44">
        <f t="shared" si="1"/>
        <v>300000</v>
      </c>
      <c r="R12" s="44">
        <f t="shared" si="1"/>
        <v>300000</v>
      </c>
      <c r="S12" s="44">
        <f t="shared" si="1"/>
        <v>300000</v>
      </c>
      <c r="T12" s="44">
        <f t="shared" si="1"/>
        <v>300000</v>
      </c>
      <c r="U12" s="44">
        <f t="shared" si="1"/>
        <v>300000</v>
      </c>
    </row>
    <row r="13" spans="1:22" ht="17.25" customHeight="1">
      <c r="A13" s="38" t="s">
        <v>23</v>
      </c>
      <c r="B13" s="39" t="s">
        <v>71</v>
      </c>
      <c r="C13" s="40">
        <f>263195.83</f>
        <v>263195.83</v>
      </c>
      <c r="D13" s="41">
        <f>427798.86</f>
        <v>427798.86</v>
      </c>
      <c r="E13" s="41">
        <f>7505000</f>
        <v>7505000</v>
      </c>
      <c r="F13" s="42">
        <f>4846510.38</f>
        <v>4846510.38</v>
      </c>
      <c r="G13" s="43">
        <f>6004000</f>
        <v>6004000</v>
      </c>
      <c r="H13" s="44">
        <f>5000000</f>
        <v>5000000</v>
      </c>
      <c r="I13" s="44">
        <f>1650000</f>
        <v>1650000</v>
      </c>
      <c r="J13" s="44">
        <f>270000</f>
        <v>270000</v>
      </c>
      <c r="K13" s="44">
        <f>300000</f>
        <v>300000</v>
      </c>
      <c r="L13" s="44">
        <f>120000</f>
        <v>120000</v>
      </c>
      <c r="M13" s="44">
        <f>40000</f>
        <v>40000</v>
      </c>
      <c r="N13" s="44">
        <f>50000</f>
        <v>50000</v>
      </c>
      <c r="O13" s="44">
        <f>250000</f>
        <v>250000</v>
      </c>
      <c r="P13" s="44">
        <f>0</f>
        <v>0</v>
      </c>
      <c r="Q13" s="44">
        <f>0</f>
        <v>0</v>
      </c>
      <c r="R13" s="44">
        <f>0</f>
        <v>0</v>
      </c>
      <c r="S13" s="44">
        <f>0</f>
        <v>0</v>
      </c>
      <c r="T13" s="44">
        <f>0</f>
        <v>0</v>
      </c>
      <c r="U13" s="44">
        <f>0</f>
        <v>0</v>
      </c>
    </row>
    <row r="14" spans="1:22" ht="29.25" customHeight="1">
      <c r="A14" s="38" t="s">
        <v>24</v>
      </c>
      <c r="B14" s="39" t="s">
        <v>72</v>
      </c>
      <c r="C14" s="40">
        <f>1606333</f>
        <v>1606333</v>
      </c>
      <c r="D14" s="41">
        <f>2276260</f>
        <v>2276260</v>
      </c>
      <c r="E14" s="41">
        <f>3795310</f>
        <v>3795310</v>
      </c>
      <c r="F14" s="42">
        <f>1823935.38</f>
        <v>1823935.38</v>
      </c>
      <c r="G14" s="43">
        <f>5180956</f>
        <v>5180956</v>
      </c>
      <c r="H14" s="44">
        <f>10750000</f>
        <v>10750000</v>
      </c>
      <c r="I14" s="44">
        <f>9750000</f>
        <v>9750000</v>
      </c>
      <c r="J14" s="44">
        <f>750000</f>
        <v>750000</v>
      </c>
      <c r="K14" s="44">
        <f>300000</f>
        <v>300000</v>
      </c>
      <c r="L14" s="44">
        <f t="shared" ref="L14:U14" si="2">300000</f>
        <v>300000</v>
      </c>
      <c r="M14" s="44">
        <f t="shared" si="2"/>
        <v>300000</v>
      </c>
      <c r="N14" s="44">
        <f t="shared" si="2"/>
        <v>300000</v>
      </c>
      <c r="O14" s="44">
        <f t="shared" si="2"/>
        <v>300000</v>
      </c>
      <c r="P14" s="44">
        <f t="shared" si="2"/>
        <v>300000</v>
      </c>
      <c r="Q14" s="44">
        <f t="shared" si="2"/>
        <v>300000</v>
      </c>
      <c r="R14" s="44">
        <f t="shared" si="2"/>
        <v>300000</v>
      </c>
      <c r="S14" s="44">
        <f t="shared" si="2"/>
        <v>300000</v>
      </c>
      <c r="T14" s="44">
        <f t="shared" si="2"/>
        <v>300000</v>
      </c>
      <c r="U14" s="44">
        <f t="shared" si="2"/>
        <v>300000</v>
      </c>
    </row>
    <row r="15" spans="1:22" ht="17.25" customHeight="1">
      <c r="A15" s="31">
        <v>2</v>
      </c>
      <c r="B15" s="32" t="s">
        <v>73</v>
      </c>
      <c r="C15" s="33">
        <f>104368163.09</f>
        <v>104368163.09</v>
      </c>
      <c r="D15" s="34">
        <f>110915351.35</f>
        <v>110915351.34999999</v>
      </c>
      <c r="E15" s="34">
        <f>123313921</f>
        <v>123313921</v>
      </c>
      <c r="F15" s="35">
        <f>115011965.36</f>
        <v>115011965.36</v>
      </c>
      <c r="G15" s="36">
        <f>126785673</f>
        <v>126785673</v>
      </c>
      <c r="H15" s="37">
        <f>128334683</f>
        <v>128334683</v>
      </c>
      <c r="I15" s="37">
        <f>129633625</f>
        <v>129633625</v>
      </c>
      <c r="J15" s="37">
        <f>124814783</f>
        <v>124814783</v>
      </c>
      <c r="K15" s="37">
        <f>130225943</f>
        <v>130225943</v>
      </c>
      <c r="L15" s="37">
        <f>134747189</f>
        <v>134747189</v>
      </c>
      <c r="M15" s="37">
        <f>139976772</f>
        <v>139976772</v>
      </c>
      <c r="N15" s="37">
        <f>144554093</f>
        <v>144554093</v>
      </c>
      <c r="O15" s="37">
        <f>149320272</f>
        <v>149320272</v>
      </c>
      <c r="P15" s="37">
        <f>154418140</f>
        <v>154418140</v>
      </c>
      <c r="Q15" s="37">
        <f>158954266</f>
        <v>158954266</v>
      </c>
      <c r="R15" s="37">
        <f>163621940</f>
        <v>163621940</v>
      </c>
      <c r="S15" s="37">
        <f>169759354</f>
        <v>169759354</v>
      </c>
      <c r="T15" s="37">
        <f>174756357</f>
        <v>174756357</v>
      </c>
      <c r="U15" s="37">
        <f>179477479</f>
        <v>179477479</v>
      </c>
      <c r="V15" s="112"/>
    </row>
    <row r="16" spans="1:22" ht="17.25" customHeight="1">
      <c r="A16" s="38" t="s">
        <v>74</v>
      </c>
      <c r="B16" s="39" t="s">
        <v>75</v>
      </c>
      <c r="C16" s="40">
        <f>96876666.03</f>
        <v>96876666.030000001</v>
      </c>
      <c r="D16" s="41">
        <f>104012514.5</f>
        <v>104012514.5</v>
      </c>
      <c r="E16" s="41">
        <f>110239142</f>
        <v>110239142</v>
      </c>
      <c r="F16" s="42">
        <f>106329765.59</f>
        <v>106329765.59</v>
      </c>
      <c r="G16" s="43">
        <f>107332528</f>
        <v>107332528</v>
      </c>
      <c r="H16" s="44">
        <f>108777803</f>
        <v>108777803</v>
      </c>
      <c r="I16" s="44">
        <f>113338685</f>
        <v>113338685</v>
      </c>
      <c r="J16" s="44">
        <f>115853858</f>
        <v>115853858</v>
      </c>
      <c r="K16" s="44">
        <f>118440085</f>
        <v>118440085</v>
      </c>
      <c r="L16" s="44">
        <f>120441206</f>
        <v>120441206</v>
      </c>
      <c r="M16" s="44">
        <f>123218486</f>
        <v>123218486</v>
      </c>
      <c r="N16" s="44">
        <f>123568948</f>
        <v>123568948</v>
      </c>
      <c r="O16" s="44">
        <f>126544422</f>
        <v>126544422</v>
      </c>
      <c r="P16" s="44">
        <f>129596783</f>
        <v>129596783</v>
      </c>
      <c r="Q16" s="44">
        <f>132777953</f>
        <v>132777953</v>
      </c>
      <c r="R16" s="44">
        <f>135989902</f>
        <v>135989902</v>
      </c>
      <c r="S16" s="44">
        <f>139284650</f>
        <v>139284650</v>
      </c>
      <c r="T16" s="44">
        <f>142714266</f>
        <v>142714266</v>
      </c>
      <c r="U16" s="44">
        <f>146250873</f>
        <v>146250873</v>
      </c>
    </row>
    <row r="17" spans="1:22" ht="17.25" customHeight="1">
      <c r="A17" s="38" t="s">
        <v>76</v>
      </c>
      <c r="B17" s="39" t="s">
        <v>77</v>
      </c>
      <c r="C17" s="40">
        <f>0</f>
        <v>0</v>
      </c>
      <c r="D17" s="41">
        <f>0</f>
        <v>0</v>
      </c>
      <c r="E17" s="41">
        <f>250000</f>
        <v>250000</v>
      </c>
      <c r="F17" s="42">
        <f>0</f>
        <v>0</v>
      </c>
      <c r="G17" s="43">
        <f>488188</f>
        <v>488188</v>
      </c>
      <c r="H17" s="44">
        <f>482801</f>
        <v>482801</v>
      </c>
      <c r="I17" s="44">
        <f>2853098</f>
        <v>2853098</v>
      </c>
      <c r="J17" s="44">
        <f>2800000</f>
        <v>2800000</v>
      </c>
      <c r="K17" s="44">
        <f>2700000</f>
        <v>2700000</v>
      </c>
      <c r="L17" s="44">
        <f>2600000</f>
        <v>2600000</v>
      </c>
      <c r="M17" s="44">
        <f>2550000</f>
        <v>2550000</v>
      </c>
      <c r="N17" s="44">
        <f>0</f>
        <v>0</v>
      </c>
      <c r="O17" s="44">
        <f>0</f>
        <v>0</v>
      </c>
      <c r="P17" s="44">
        <f>0</f>
        <v>0</v>
      </c>
      <c r="Q17" s="44">
        <f>0</f>
        <v>0</v>
      </c>
      <c r="R17" s="44">
        <f>0</f>
        <v>0</v>
      </c>
      <c r="S17" s="44">
        <f>0</f>
        <v>0</v>
      </c>
      <c r="T17" s="44">
        <f>0</f>
        <v>0</v>
      </c>
      <c r="U17" s="44">
        <f>0</f>
        <v>0</v>
      </c>
    </row>
    <row r="18" spans="1:22" ht="43.5" customHeight="1">
      <c r="A18" s="38" t="s">
        <v>78</v>
      </c>
      <c r="B18" s="39" t="s">
        <v>79</v>
      </c>
      <c r="C18" s="40">
        <f>0</f>
        <v>0</v>
      </c>
      <c r="D18" s="41">
        <f>0</f>
        <v>0</v>
      </c>
      <c r="E18" s="41">
        <f>0</f>
        <v>0</v>
      </c>
      <c r="F18" s="42">
        <f>0</f>
        <v>0</v>
      </c>
      <c r="G18" s="43">
        <f>0</f>
        <v>0</v>
      </c>
      <c r="H18" s="44">
        <f>0</f>
        <v>0</v>
      </c>
      <c r="I18" s="44">
        <f>0</f>
        <v>0</v>
      </c>
      <c r="J18" s="44">
        <f>0</f>
        <v>0</v>
      </c>
      <c r="K18" s="44">
        <f>0</f>
        <v>0</v>
      </c>
      <c r="L18" s="44">
        <f>0</f>
        <v>0</v>
      </c>
      <c r="M18" s="44">
        <f>0</f>
        <v>0</v>
      </c>
      <c r="N18" s="44">
        <f>0</f>
        <v>0</v>
      </c>
      <c r="O18" s="44">
        <f>0</f>
        <v>0</v>
      </c>
      <c r="P18" s="44">
        <f>0</f>
        <v>0</v>
      </c>
      <c r="Q18" s="44">
        <f>0</f>
        <v>0</v>
      </c>
      <c r="R18" s="44">
        <f>0</f>
        <v>0</v>
      </c>
      <c r="S18" s="44">
        <f>0</f>
        <v>0</v>
      </c>
      <c r="T18" s="44">
        <f>0</f>
        <v>0</v>
      </c>
      <c r="U18" s="44">
        <f>0</f>
        <v>0</v>
      </c>
    </row>
    <row r="19" spans="1:22" ht="90.75" customHeight="1">
      <c r="A19" s="38" t="s">
        <v>80</v>
      </c>
      <c r="B19" s="39" t="s">
        <v>81</v>
      </c>
      <c r="C19" s="40">
        <f>1050926.47</f>
        <v>1050926.47</v>
      </c>
      <c r="D19" s="41">
        <f>2233504.87</f>
        <v>2233504.87</v>
      </c>
      <c r="E19" s="41">
        <f>0</f>
        <v>0</v>
      </c>
      <c r="F19" s="42">
        <f>0</f>
        <v>0</v>
      </c>
      <c r="G19" s="43">
        <f>0</f>
        <v>0</v>
      </c>
      <c r="H19" s="44">
        <f>0</f>
        <v>0</v>
      </c>
      <c r="I19" s="44">
        <f>0</f>
        <v>0</v>
      </c>
      <c r="J19" s="44">
        <f>0</f>
        <v>0</v>
      </c>
      <c r="K19" s="44">
        <f>0</f>
        <v>0</v>
      </c>
      <c r="L19" s="44">
        <f>0</f>
        <v>0</v>
      </c>
      <c r="M19" s="44">
        <f>0</f>
        <v>0</v>
      </c>
      <c r="N19" s="44">
        <f>0</f>
        <v>0</v>
      </c>
      <c r="O19" s="44">
        <f>0</f>
        <v>0</v>
      </c>
      <c r="P19" s="44">
        <f>0</f>
        <v>0</v>
      </c>
      <c r="Q19" s="44">
        <f>0</f>
        <v>0</v>
      </c>
      <c r="R19" s="44">
        <f>0</f>
        <v>0</v>
      </c>
      <c r="S19" s="44">
        <f>0</f>
        <v>0</v>
      </c>
      <c r="T19" s="44">
        <f>0</f>
        <v>0</v>
      </c>
      <c r="U19" s="44">
        <f>0</f>
        <v>0</v>
      </c>
    </row>
    <row r="20" spans="1:22" ht="16.5" customHeight="1">
      <c r="A20" s="38" t="s">
        <v>82</v>
      </c>
      <c r="B20" s="39" t="s">
        <v>83</v>
      </c>
      <c r="C20" s="40">
        <f>1898918.19</f>
        <v>1898918.19</v>
      </c>
      <c r="D20" s="41">
        <f>1296684.51</f>
        <v>1296684.51</v>
      </c>
      <c r="E20" s="41">
        <f>1350000</f>
        <v>1350000</v>
      </c>
      <c r="F20" s="42">
        <f>1276184.14</f>
        <v>1276184.1399999999</v>
      </c>
      <c r="G20" s="43">
        <f>1300000</f>
        <v>1300000</v>
      </c>
      <c r="H20" s="44">
        <f>1250000</f>
        <v>1250000</v>
      </c>
      <c r="I20" s="44">
        <f>1100000</f>
        <v>1100000</v>
      </c>
      <c r="J20" s="44">
        <f>950000</f>
        <v>950000</v>
      </c>
      <c r="K20" s="44">
        <f>850000</f>
        <v>850000</v>
      </c>
      <c r="L20" s="44">
        <f>750000</f>
        <v>750000</v>
      </c>
      <c r="M20" s="44">
        <f>650000</f>
        <v>650000</v>
      </c>
      <c r="N20" s="44">
        <f>550000</f>
        <v>550000</v>
      </c>
      <c r="O20" s="44">
        <f>450000</f>
        <v>450000</v>
      </c>
      <c r="P20" s="44">
        <f>350000</f>
        <v>350000</v>
      </c>
      <c r="Q20" s="44">
        <f>300000</f>
        <v>300000</v>
      </c>
      <c r="R20" s="44">
        <f>200000</f>
        <v>200000</v>
      </c>
      <c r="S20" s="44">
        <f>100000</f>
        <v>100000</v>
      </c>
      <c r="T20" s="44">
        <f>50000</f>
        <v>50000</v>
      </c>
      <c r="U20" s="44">
        <f>20000</f>
        <v>20000</v>
      </c>
    </row>
    <row r="21" spans="1:22" ht="30" customHeight="1">
      <c r="A21" s="38" t="s">
        <v>84</v>
      </c>
      <c r="B21" s="39" t="s">
        <v>85</v>
      </c>
      <c r="C21" s="40">
        <f>1898918.19</f>
        <v>1898918.19</v>
      </c>
      <c r="D21" s="41">
        <f>1296684.51</f>
        <v>1296684.51</v>
      </c>
      <c r="E21" s="41">
        <f>1350000</f>
        <v>1350000</v>
      </c>
      <c r="F21" s="42">
        <f>1276184.14</f>
        <v>1276184.1399999999</v>
      </c>
      <c r="G21" s="43">
        <f>1300000</f>
        <v>1300000</v>
      </c>
      <c r="H21" s="44">
        <f>1250000</f>
        <v>1250000</v>
      </c>
      <c r="I21" s="44">
        <f>1100000</f>
        <v>1100000</v>
      </c>
      <c r="J21" s="44">
        <f>950000</f>
        <v>950000</v>
      </c>
      <c r="K21" s="44">
        <f>850000</f>
        <v>850000</v>
      </c>
      <c r="L21" s="44">
        <f>750000</f>
        <v>750000</v>
      </c>
      <c r="M21" s="44">
        <f>650000</f>
        <v>650000</v>
      </c>
      <c r="N21" s="44">
        <f>550000</f>
        <v>550000</v>
      </c>
      <c r="O21" s="44">
        <f>450000</f>
        <v>450000</v>
      </c>
      <c r="P21" s="44">
        <f>350000</f>
        <v>350000</v>
      </c>
      <c r="Q21" s="44">
        <f>300000</f>
        <v>300000</v>
      </c>
      <c r="R21" s="44">
        <f>200000</f>
        <v>200000</v>
      </c>
      <c r="S21" s="44">
        <f>100000</f>
        <v>100000</v>
      </c>
      <c r="T21" s="44">
        <f>50000</f>
        <v>50000</v>
      </c>
      <c r="U21" s="44">
        <f>20000</f>
        <v>20000</v>
      </c>
    </row>
    <row r="22" spans="1:22" ht="100.5" customHeight="1">
      <c r="A22" s="38" t="s">
        <v>86</v>
      </c>
      <c r="B22" s="39" t="s">
        <v>87</v>
      </c>
      <c r="C22" s="40">
        <f>0</f>
        <v>0</v>
      </c>
      <c r="D22" s="41">
        <f>0</f>
        <v>0</v>
      </c>
      <c r="E22" s="41">
        <f>0</f>
        <v>0</v>
      </c>
      <c r="F22" s="42">
        <f>0</f>
        <v>0</v>
      </c>
      <c r="G22" s="43">
        <f>0</f>
        <v>0</v>
      </c>
      <c r="H22" s="44">
        <f>0</f>
        <v>0</v>
      </c>
      <c r="I22" s="44">
        <f>0</f>
        <v>0</v>
      </c>
      <c r="J22" s="44">
        <f>0</f>
        <v>0</v>
      </c>
      <c r="K22" s="44">
        <f>0</f>
        <v>0</v>
      </c>
      <c r="L22" s="44">
        <f>0</f>
        <v>0</v>
      </c>
      <c r="M22" s="44">
        <f>0</f>
        <v>0</v>
      </c>
      <c r="N22" s="44">
        <f>0</f>
        <v>0</v>
      </c>
      <c r="O22" s="44">
        <f>0</f>
        <v>0</v>
      </c>
      <c r="P22" s="44">
        <f>0</f>
        <v>0</v>
      </c>
      <c r="Q22" s="44">
        <f>0</f>
        <v>0</v>
      </c>
      <c r="R22" s="44">
        <f>0</f>
        <v>0</v>
      </c>
      <c r="S22" s="44">
        <f>0</f>
        <v>0</v>
      </c>
      <c r="T22" s="44">
        <f>0</f>
        <v>0</v>
      </c>
      <c r="U22" s="44">
        <f>0</f>
        <v>0</v>
      </c>
    </row>
    <row r="23" spans="1:22" ht="63" customHeight="1">
      <c r="A23" s="38" t="s">
        <v>88</v>
      </c>
      <c r="B23" s="39" t="s">
        <v>89</v>
      </c>
      <c r="C23" s="40">
        <f>0</f>
        <v>0</v>
      </c>
      <c r="D23" s="41">
        <f>0</f>
        <v>0</v>
      </c>
      <c r="E23" s="41">
        <f>0</f>
        <v>0</v>
      </c>
      <c r="F23" s="42">
        <f>0</f>
        <v>0</v>
      </c>
      <c r="G23" s="43">
        <f>0</f>
        <v>0</v>
      </c>
      <c r="H23" s="44">
        <f>0</f>
        <v>0</v>
      </c>
      <c r="I23" s="44">
        <f>0</f>
        <v>0</v>
      </c>
      <c r="J23" s="44">
        <f>0</f>
        <v>0</v>
      </c>
      <c r="K23" s="44">
        <f>0</f>
        <v>0</v>
      </c>
      <c r="L23" s="44">
        <f>0</f>
        <v>0</v>
      </c>
      <c r="M23" s="44">
        <f>0</f>
        <v>0</v>
      </c>
      <c r="N23" s="44">
        <f>0</f>
        <v>0</v>
      </c>
      <c r="O23" s="44">
        <f>0</f>
        <v>0</v>
      </c>
      <c r="P23" s="44">
        <f>0</f>
        <v>0</v>
      </c>
      <c r="Q23" s="44">
        <f>0</f>
        <v>0</v>
      </c>
      <c r="R23" s="44">
        <f>0</f>
        <v>0</v>
      </c>
      <c r="S23" s="44">
        <f>0</f>
        <v>0</v>
      </c>
      <c r="T23" s="44">
        <f>0</f>
        <v>0</v>
      </c>
      <c r="U23" s="44">
        <f>0</f>
        <v>0</v>
      </c>
    </row>
    <row r="24" spans="1:22" ht="17.25" customHeight="1">
      <c r="A24" s="38" t="s">
        <v>90</v>
      </c>
      <c r="B24" s="39" t="s">
        <v>91</v>
      </c>
      <c r="C24" s="40">
        <f>7491497.06</f>
        <v>7491497.0599999996</v>
      </c>
      <c r="D24" s="41">
        <f>6902836.85</f>
        <v>6902836.8499999996</v>
      </c>
      <c r="E24" s="41">
        <f>13074779</f>
        <v>13074779</v>
      </c>
      <c r="F24" s="42">
        <f>8682199.77</f>
        <v>8682199.7699999996</v>
      </c>
      <c r="G24" s="43">
        <f>19453145</f>
        <v>19453145</v>
      </c>
      <c r="H24" s="44">
        <f>19556880</f>
        <v>19556880</v>
      </c>
      <c r="I24" s="44">
        <f>16294940</f>
        <v>16294940</v>
      </c>
      <c r="J24" s="44">
        <f>8960925</f>
        <v>8960925</v>
      </c>
      <c r="K24" s="44">
        <f>11785858</f>
        <v>11785858</v>
      </c>
      <c r="L24" s="44">
        <f>14305983</f>
        <v>14305983</v>
      </c>
      <c r="M24" s="44">
        <f>16758286</f>
        <v>16758286</v>
      </c>
      <c r="N24" s="44">
        <f>20985145</f>
        <v>20985145</v>
      </c>
      <c r="O24" s="44">
        <f>22775850</f>
        <v>22775850</v>
      </c>
      <c r="P24" s="44">
        <f>24821357</f>
        <v>24821357</v>
      </c>
      <c r="Q24" s="44">
        <f>26176313</f>
        <v>26176313</v>
      </c>
      <c r="R24" s="44">
        <f>27632038</f>
        <v>27632038</v>
      </c>
      <c r="S24" s="44">
        <f>30474704</f>
        <v>30474704</v>
      </c>
      <c r="T24" s="44">
        <f>32042091</f>
        <v>32042091</v>
      </c>
      <c r="U24" s="44">
        <f>33226606</f>
        <v>33226606</v>
      </c>
    </row>
    <row r="25" spans="1:22" ht="17.25" customHeight="1">
      <c r="A25" s="31">
        <v>3</v>
      </c>
      <c r="B25" s="32" t="s">
        <v>92</v>
      </c>
      <c r="C25" s="33">
        <f>4705371.69</f>
        <v>4705371.6900000004</v>
      </c>
      <c r="D25" s="34">
        <f>2497259.53</f>
        <v>2497259.5299999998</v>
      </c>
      <c r="E25" s="34">
        <f>-357759</f>
        <v>-357759</v>
      </c>
      <c r="F25" s="35">
        <f>4019181.98</f>
        <v>4019181.98</v>
      </c>
      <c r="G25" s="36">
        <f>-1047592</f>
        <v>-1047592</v>
      </c>
      <c r="H25" s="37">
        <f>6550929</f>
        <v>6550929</v>
      </c>
      <c r="I25" s="37">
        <f>5548276</f>
        <v>5548276</v>
      </c>
      <c r="J25" s="37">
        <f>4814612</f>
        <v>4814612</v>
      </c>
      <c r="K25" s="37">
        <f>3742000</f>
        <v>3742000</v>
      </c>
      <c r="L25" s="37">
        <f>3842000</f>
        <v>3842000</v>
      </c>
      <c r="M25" s="37">
        <f>3092000</f>
        <v>3092000</v>
      </c>
      <c r="N25" s="37">
        <f>3092000</f>
        <v>3092000</v>
      </c>
      <c r="O25" s="37">
        <f>3092000</f>
        <v>3092000</v>
      </c>
      <c r="P25" s="37">
        <f>2300000</f>
        <v>2300000</v>
      </c>
      <c r="Q25" s="37">
        <f>2300000</f>
        <v>2300000</v>
      </c>
      <c r="R25" s="37">
        <f>2300000</f>
        <v>2300000</v>
      </c>
      <c r="S25" s="37">
        <f>800000</f>
        <v>800000</v>
      </c>
      <c r="T25" s="37">
        <f>400000</f>
        <v>400000</v>
      </c>
      <c r="U25" s="37">
        <f>400000</f>
        <v>400000</v>
      </c>
      <c r="V25" s="112"/>
    </row>
    <row r="26" spans="1:22" ht="17.25" customHeight="1">
      <c r="A26" s="31">
        <v>4</v>
      </c>
      <c r="B26" s="32" t="s">
        <v>93</v>
      </c>
      <c r="C26" s="33">
        <f>5622331.57</f>
        <v>5622331.5700000003</v>
      </c>
      <c r="D26" s="34">
        <f>8236671.26</f>
        <v>8236671.2599999998</v>
      </c>
      <c r="E26" s="34">
        <f>7587082</f>
        <v>7587082</v>
      </c>
      <c r="F26" s="35">
        <f>7676749.94</f>
        <v>7676749.9400000004</v>
      </c>
      <c r="G26" s="36">
        <f>8224868</f>
        <v>8224868</v>
      </c>
      <c r="H26" s="37">
        <f>0</f>
        <v>0</v>
      </c>
      <c r="I26" s="37">
        <f>0</f>
        <v>0</v>
      </c>
      <c r="J26" s="37">
        <f>0</f>
        <v>0</v>
      </c>
      <c r="K26" s="37">
        <f>0</f>
        <v>0</v>
      </c>
      <c r="L26" s="37">
        <f>0</f>
        <v>0</v>
      </c>
      <c r="M26" s="37">
        <f>0</f>
        <v>0</v>
      </c>
      <c r="N26" s="37">
        <f>0</f>
        <v>0</v>
      </c>
      <c r="O26" s="37">
        <f>0</f>
        <v>0</v>
      </c>
      <c r="P26" s="37">
        <f>0</f>
        <v>0</v>
      </c>
      <c r="Q26" s="37">
        <f>0</f>
        <v>0</v>
      </c>
      <c r="R26" s="37">
        <f>0</f>
        <v>0</v>
      </c>
      <c r="S26" s="37">
        <f>0</f>
        <v>0</v>
      </c>
      <c r="T26" s="37">
        <f>0</f>
        <v>0</v>
      </c>
      <c r="U26" s="37">
        <f>0</f>
        <v>0</v>
      </c>
      <c r="V26" s="112"/>
    </row>
    <row r="27" spans="1:22" ht="17.25" customHeight="1">
      <c r="A27" s="38" t="s">
        <v>94</v>
      </c>
      <c r="B27" s="39" t="s">
        <v>95</v>
      </c>
      <c r="C27" s="40">
        <f>0</f>
        <v>0</v>
      </c>
      <c r="D27" s="41">
        <f>0</f>
        <v>0</v>
      </c>
      <c r="E27" s="41">
        <f>0</f>
        <v>0</v>
      </c>
      <c r="F27" s="42">
        <f>0</f>
        <v>0</v>
      </c>
      <c r="G27" s="43">
        <f>0</f>
        <v>0</v>
      </c>
      <c r="H27" s="44">
        <f>0</f>
        <v>0</v>
      </c>
      <c r="I27" s="44">
        <f>0</f>
        <v>0</v>
      </c>
      <c r="J27" s="44">
        <f>0</f>
        <v>0</v>
      </c>
      <c r="K27" s="44">
        <f>0</f>
        <v>0</v>
      </c>
      <c r="L27" s="44">
        <f>0</f>
        <v>0</v>
      </c>
      <c r="M27" s="44">
        <f>0</f>
        <v>0</v>
      </c>
      <c r="N27" s="44">
        <f>0</f>
        <v>0</v>
      </c>
      <c r="O27" s="44">
        <f>0</f>
        <v>0</v>
      </c>
      <c r="P27" s="44">
        <f>0</f>
        <v>0</v>
      </c>
      <c r="Q27" s="44">
        <f>0</f>
        <v>0</v>
      </c>
      <c r="R27" s="44">
        <f>0</f>
        <v>0</v>
      </c>
      <c r="S27" s="44">
        <f>0</f>
        <v>0</v>
      </c>
      <c r="T27" s="44">
        <f>0</f>
        <v>0</v>
      </c>
      <c r="U27" s="44">
        <f>0</f>
        <v>0</v>
      </c>
    </row>
    <row r="28" spans="1:22" ht="17.25" customHeight="1">
      <c r="A28" s="38" t="s">
        <v>96</v>
      </c>
      <c r="B28" s="39" t="s">
        <v>97</v>
      </c>
      <c r="C28" s="40">
        <f>0</f>
        <v>0</v>
      </c>
      <c r="D28" s="41">
        <f>0</f>
        <v>0</v>
      </c>
      <c r="E28" s="41">
        <f>0</f>
        <v>0</v>
      </c>
      <c r="F28" s="42">
        <f>0</f>
        <v>0</v>
      </c>
      <c r="G28" s="43">
        <f>0</f>
        <v>0</v>
      </c>
      <c r="H28" s="44">
        <f>0</f>
        <v>0</v>
      </c>
      <c r="I28" s="44">
        <f>0</f>
        <v>0</v>
      </c>
      <c r="J28" s="44">
        <f>0</f>
        <v>0</v>
      </c>
      <c r="K28" s="44">
        <f>0</f>
        <v>0</v>
      </c>
      <c r="L28" s="44">
        <f>0</f>
        <v>0</v>
      </c>
      <c r="M28" s="44">
        <f>0</f>
        <v>0</v>
      </c>
      <c r="N28" s="44">
        <f>0</f>
        <v>0</v>
      </c>
      <c r="O28" s="44">
        <f>0</f>
        <v>0</v>
      </c>
      <c r="P28" s="44">
        <f>0</f>
        <v>0</v>
      </c>
      <c r="Q28" s="44">
        <f>0</f>
        <v>0</v>
      </c>
      <c r="R28" s="44">
        <f>0</f>
        <v>0</v>
      </c>
      <c r="S28" s="44">
        <f>0</f>
        <v>0</v>
      </c>
      <c r="T28" s="44">
        <f>0</f>
        <v>0</v>
      </c>
      <c r="U28" s="44">
        <f>0</f>
        <v>0</v>
      </c>
    </row>
    <row r="29" spans="1:22" ht="30" customHeight="1">
      <c r="A29" s="38" t="s">
        <v>98</v>
      </c>
      <c r="B29" s="39" t="s">
        <v>99</v>
      </c>
      <c r="C29" s="40">
        <f>5602899.41</f>
        <v>5602899.4100000001</v>
      </c>
      <c r="D29" s="41">
        <f>3276671.26</f>
        <v>3276671.26</v>
      </c>
      <c r="E29" s="41">
        <f>3387082</f>
        <v>3387082</v>
      </c>
      <c r="F29" s="42">
        <f>3476749.94</f>
        <v>3476749.94</v>
      </c>
      <c r="G29" s="43">
        <f>3524868</f>
        <v>3524868</v>
      </c>
      <c r="H29" s="44">
        <f>0</f>
        <v>0</v>
      </c>
      <c r="I29" s="44">
        <f>0</f>
        <v>0</v>
      </c>
      <c r="J29" s="44">
        <f>0</f>
        <v>0</v>
      </c>
      <c r="K29" s="44">
        <f>0</f>
        <v>0</v>
      </c>
      <c r="L29" s="44">
        <f>0</f>
        <v>0</v>
      </c>
      <c r="M29" s="44">
        <f>0</f>
        <v>0</v>
      </c>
      <c r="N29" s="44">
        <f>0</f>
        <v>0</v>
      </c>
      <c r="O29" s="44">
        <f>0</f>
        <v>0</v>
      </c>
      <c r="P29" s="44">
        <f>0</f>
        <v>0</v>
      </c>
      <c r="Q29" s="44">
        <f>0</f>
        <v>0</v>
      </c>
      <c r="R29" s="44">
        <f>0</f>
        <v>0</v>
      </c>
      <c r="S29" s="44">
        <f>0</f>
        <v>0</v>
      </c>
      <c r="T29" s="44">
        <f>0</f>
        <v>0</v>
      </c>
      <c r="U29" s="44">
        <f>0</f>
        <v>0</v>
      </c>
    </row>
    <row r="30" spans="1:22" ht="16.5" customHeight="1">
      <c r="A30" s="38" t="s">
        <v>100</v>
      </c>
      <c r="B30" s="39" t="s">
        <v>97</v>
      </c>
      <c r="C30" s="40">
        <f>0</f>
        <v>0</v>
      </c>
      <c r="D30" s="41">
        <f>0</f>
        <v>0</v>
      </c>
      <c r="E30" s="41">
        <f>0</f>
        <v>0</v>
      </c>
      <c r="F30" s="42">
        <f>0</f>
        <v>0</v>
      </c>
      <c r="G30" s="43">
        <f>0</f>
        <v>0</v>
      </c>
      <c r="H30" s="44">
        <f>0</f>
        <v>0</v>
      </c>
      <c r="I30" s="44">
        <f>0</f>
        <v>0</v>
      </c>
      <c r="J30" s="44">
        <f>0</f>
        <v>0</v>
      </c>
      <c r="K30" s="44">
        <f>0</f>
        <v>0</v>
      </c>
      <c r="L30" s="44">
        <f>0</f>
        <v>0</v>
      </c>
      <c r="M30" s="44">
        <f>0</f>
        <v>0</v>
      </c>
      <c r="N30" s="44">
        <f>0</f>
        <v>0</v>
      </c>
      <c r="O30" s="44">
        <f>0</f>
        <v>0</v>
      </c>
      <c r="P30" s="44">
        <f>0</f>
        <v>0</v>
      </c>
      <c r="Q30" s="44">
        <f>0</f>
        <v>0</v>
      </c>
      <c r="R30" s="44">
        <f>0</f>
        <v>0</v>
      </c>
      <c r="S30" s="44">
        <f>0</f>
        <v>0</v>
      </c>
      <c r="T30" s="44">
        <f>0</f>
        <v>0</v>
      </c>
      <c r="U30" s="44">
        <f>0</f>
        <v>0</v>
      </c>
    </row>
    <row r="31" spans="1:22" ht="28.5" customHeight="1">
      <c r="A31" s="38" t="s">
        <v>101</v>
      </c>
      <c r="B31" s="39" t="s">
        <v>102</v>
      </c>
      <c r="C31" s="40">
        <f>0</f>
        <v>0</v>
      </c>
      <c r="D31" s="41">
        <f>4960000</f>
        <v>4960000</v>
      </c>
      <c r="E31" s="41">
        <f>4200000</f>
        <v>4200000</v>
      </c>
      <c r="F31" s="42">
        <f>4200000</f>
        <v>4200000</v>
      </c>
      <c r="G31" s="43">
        <f>4200000</f>
        <v>4200000</v>
      </c>
      <c r="H31" s="44">
        <f>0</f>
        <v>0</v>
      </c>
      <c r="I31" s="44">
        <f>0</f>
        <v>0</v>
      </c>
      <c r="J31" s="44">
        <f>0</f>
        <v>0</v>
      </c>
      <c r="K31" s="44">
        <f>0</f>
        <v>0</v>
      </c>
      <c r="L31" s="44">
        <f>0</f>
        <v>0</v>
      </c>
      <c r="M31" s="44">
        <f>0</f>
        <v>0</v>
      </c>
      <c r="N31" s="44">
        <f>0</f>
        <v>0</v>
      </c>
      <c r="O31" s="44">
        <f>0</f>
        <v>0</v>
      </c>
      <c r="P31" s="44">
        <f>0</f>
        <v>0</v>
      </c>
      <c r="Q31" s="44">
        <f>0</f>
        <v>0</v>
      </c>
      <c r="R31" s="44">
        <f>0</f>
        <v>0</v>
      </c>
      <c r="S31" s="44">
        <f>0</f>
        <v>0</v>
      </c>
      <c r="T31" s="44">
        <f>0</f>
        <v>0</v>
      </c>
      <c r="U31" s="44">
        <f>0</f>
        <v>0</v>
      </c>
    </row>
    <row r="32" spans="1:22" ht="17.25" customHeight="1">
      <c r="A32" s="38" t="s">
        <v>103</v>
      </c>
      <c r="B32" s="39" t="s">
        <v>97</v>
      </c>
      <c r="C32" s="40">
        <f>0</f>
        <v>0</v>
      </c>
      <c r="D32" s="41">
        <f>0</f>
        <v>0</v>
      </c>
      <c r="E32" s="41">
        <f>357759</f>
        <v>357759</v>
      </c>
      <c r="F32" s="42">
        <f>0</f>
        <v>0</v>
      </c>
      <c r="G32" s="43">
        <f>1047592</f>
        <v>1047592</v>
      </c>
      <c r="H32" s="44">
        <f>0</f>
        <v>0</v>
      </c>
      <c r="I32" s="44">
        <f>0</f>
        <v>0</v>
      </c>
      <c r="J32" s="44">
        <f>0</f>
        <v>0</v>
      </c>
      <c r="K32" s="44">
        <f>0</f>
        <v>0</v>
      </c>
      <c r="L32" s="44">
        <f>0</f>
        <v>0</v>
      </c>
      <c r="M32" s="44">
        <f>0</f>
        <v>0</v>
      </c>
      <c r="N32" s="44">
        <f>0</f>
        <v>0</v>
      </c>
      <c r="O32" s="44">
        <f>0</f>
        <v>0</v>
      </c>
      <c r="P32" s="44">
        <f>0</f>
        <v>0</v>
      </c>
      <c r="Q32" s="44">
        <f>0</f>
        <v>0</v>
      </c>
      <c r="R32" s="44">
        <f>0</f>
        <v>0</v>
      </c>
      <c r="S32" s="44">
        <f>0</f>
        <v>0</v>
      </c>
      <c r="T32" s="44">
        <f>0</f>
        <v>0</v>
      </c>
      <c r="U32" s="44">
        <f>0</f>
        <v>0</v>
      </c>
    </row>
    <row r="33" spans="1:22" ht="30" customHeight="1">
      <c r="A33" s="38" t="s">
        <v>104</v>
      </c>
      <c r="B33" s="39" t="s">
        <v>105</v>
      </c>
      <c r="C33" s="40">
        <f>19432.16</f>
        <v>19432.16</v>
      </c>
      <c r="D33" s="41">
        <f>0</f>
        <v>0</v>
      </c>
      <c r="E33" s="41">
        <f>0</f>
        <v>0</v>
      </c>
      <c r="F33" s="42">
        <f>0</f>
        <v>0</v>
      </c>
      <c r="G33" s="43">
        <f>500000</f>
        <v>500000</v>
      </c>
      <c r="H33" s="44">
        <f>0</f>
        <v>0</v>
      </c>
      <c r="I33" s="44">
        <f>0</f>
        <v>0</v>
      </c>
      <c r="J33" s="44">
        <f>0</f>
        <v>0</v>
      </c>
      <c r="K33" s="44">
        <f>0</f>
        <v>0</v>
      </c>
      <c r="L33" s="44">
        <f>0</f>
        <v>0</v>
      </c>
      <c r="M33" s="44">
        <f>0</f>
        <v>0</v>
      </c>
      <c r="N33" s="44">
        <f>0</f>
        <v>0</v>
      </c>
      <c r="O33" s="44">
        <f>0</f>
        <v>0</v>
      </c>
      <c r="P33" s="44">
        <f>0</f>
        <v>0</v>
      </c>
      <c r="Q33" s="44">
        <f>0</f>
        <v>0</v>
      </c>
      <c r="R33" s="44">
        <f>0</f>
        <v>0</v>
      </c>
      <c r="S33" s="44">
        <f>0</f>
        <v>0</v>
      </c>
      <c r="T33" s="44">
        <f>0</f>
        <v>0</v>
      </c>
      <c r="U33" s="44">
        <f>0</f>
        <v>0</v>
      </c>
    </row>
    <row r="34" spans="1:22" ht="17.25" customHeight="1">
      <c r="A34" s="38" t="s">
        <v>106</v>
      </c>
      <c r="B34" s="39" t="s">
        <v>97</v>
      </c>
      <c r="C34" s="40">
        <f>0</f>
        <v>0</v>
      </c>
      <c r="D34" s="41">
        <f>0</f>
        <v>0</v>
      </c>
      <c r="E34" s="41">
        <f>0</f>
        <v>0</v>
      </c>
      <c r="F34" s="42">
        <f>0</f>
        <v>0</v>
      </c>
      <c r="G34" s="43">
        <f>0</f>
        <v>0</v>
      </c>
      <c r="H34" s="44">
        <f>0</f>
        <v>0</v>
      </c>
      <c r="I34" s="44">
        <f>0</f>
        <v>0</v>
      </c>
      <c r="J34" s="44">
        <f>0</f>
        <v>0</v>
      </c>
      <c r="K34" s="44">
        <f>0</f>
        <v>0</v>
      </c>
      <c r="L34" s="44">
        <f>0</f>
        <v>0</v>
      </c>
      <c r="M34" s="44">
        <f>0</f>
        <v>0</v>
      </c>
      <c r="N34" s="44">
        <f>0</f>
        <v>0</v>
      </c>
      <c r="O34" s="44">
        <f>0</f>
        <v>0</v>
      </c>
      <c r="P34" s="44">
        <f>0</f>
        <v>0</v>
      </c>
      <c r="Q34" s="44">
        <f>0</f>
        <v>0</v>
      </c>
      <c r="R34" s="44">
        <f>0</f>
        <v>0</v>
      </c>
      <c r="S34" s="44">
        <f>0</f>
        <v>0</v>
      </c>
      <c r="T34" s="44">
        <f>0</f>
        <v>0</v>
      </c>
      <c r="U34" s="44">
        <f>0</f>
        <v>0</v>
      </c>
    </row>
    <row r="35" spans="1:22" ht="17.25" customHeight="1">
      <c r="A35" s="31">
        <v>5</v>
      </c>
      <c r="B35" s="32" t="s">
        <v>107</v>
      </c>
      <c r="C35" s="33">
        <f>7051032</f>
        <v>7051032</v>
      </c>
      <c r="D35" s="34">
        <f>7257180.85</f>
        <v>7257180.8499999996</v>
      </c>
      <c r="E35" s="34">
        <f>7229323</f>
        <v>7229323</v>
      </c>
      <c r="F35" s="35">
        <f>7229323</f>
        <v>7229323</v>
      </c>
      <c r="G35" s="36">
        <f>7177276</f>
        <v>7177276</v>
      </c>
      <c r="H35" s="37">
        <f>6550929</f>
        <v>6550929</v>
      </c>
      <c r="I35" s="37">
        <f>5548276</f>
        <v>5548276</v>
      </c>
      <c r="J35" s="37">
        <f>4814612</f>
        <v>4814612</v>
      </c>
      <c r="K35" s="37">
        <f>3742000</f>
        <v>3742000</v>
      </c>
      <c r="L35" s="37">
        <f>3842000</f>
        <v>3842000</v>
      </c>
      <c r="M35" s="37">
        <f t="shared" ref="M35:O36" si="3">3092000</f>
        <v>3092000</v>
      </c>
      <c r="N35" s="37">
        <f t="shared" si="3"/>
        <v>3092000</v>
      </c>
      <c r="O35" s="37">
        <f t="shared" si="3"/>
        <v>3092000</v>
      </c>
      <c r="P35" s="37">
        <f t="shared" ref="P35:R36" si="4">2300000</f>
        <v>2300000</v>
      </c>
      <c r="Q35" s="37">
        <f t="shared" si="4"/>
        <v>2300000</v>
      </c>
      <c r="R35" s="37">
        <f t="shared" si="4"/>
        <v>2300000</v>
      </c>
      <c r="S35" s="37">
        <f>800000</f>
        <v>800000</v>
      </c>
      <c r="T35" s="37">
        <f>400000</f>
        <v>400000</v>
      </c>
      <c r="U35" s="37">
        <f>400000</f>
        <v>400000</v>
      </c>
      <c r="V35" s="112"/>
    </row>
    <row r="36" spans="1:22" ht="43.5" customHeight="1">
      <c r="A36" s="38" t="s">
        <v>108</v>
      </c>
      <c r="B36" s="39" t="s">
        <v>109</v>
      </c>
      <c r="C36" s="40">
        <f>7051032</f>
        <v>7051032</v>
      </c>
      <c r="D36" s="41">
        <f>7257180.85</f>
        <v>7257180.8499999996</v>
      </c>
      <c r="E36" s="41">
        <f>7229323</f>
        <v>7229323</v>
      </c>
      <c r="F36" s="42">
        <f>7229323</f>
        <v>7229323</v>
      </c>
      <c r="G36" s="43">
        <f>6677276</f>
        <v>6677276</v>
      </c>
      <c r="H36" s="44">
        <f>6550929</f>
        <v>6550929</v>
      </c>
      <c r="I36" s="44">
        <f>5548276</f>
        <v>5548276</v>
      </c>
      <c r="J36" s="44">
        <f>4814612</f>
        <v>4814612</v>
      </c>
      <c r="K36" s="44">
        <f>3742000</f>
        <v>3742000</v>
      </c>
      <c r="L36" s="44">
        <f>3842000</f>
        <v>3842000</v>
      </c>
      <c r="M36" s="44">
        <f t="shared" si="3"/>
        <v>3092000</v>
      </c>
      <c r="N36" s="44">
        <f t="shared" si="3"/>
        <v>3092000</v>
      </c>
      <c r="O36" s="44">
        <f t="shared" si="3"/>
        <v>3092000</v>
      </c>
      <c r="P36" s="44">
        <f t="shared" si="4"/>
        <v>2300000</v>
      </c>
      <c r="Q36" s="44">
        <f t="shared" si="4"/>
        <v>2300000</v>
      </c>
      <c r="R36" s="44">
        <f t="shared" si="4"/>
        <v>2300000</v>
      </c>
      <c r="S36" s="44">
        <f>800000</f>
        <v>800000</v>
      </c>
      <c r="T36" s="44">
        <f>400000</f>
        <v>400000</v>
      </c>
      <c r="U36" s="44">
        <f>400000</f>
        <v>400000</v>
      </c>
    </row>
    <row r="37" spans="1:22" ht="52.5" customHeight="1">
      <c r="A37" s="38" t="s">
        <v>110</v>
      </c>
      <c r="B37" s="39" t="s">
        <v>111</v>
      </c>
      <c r="C37" s="40">
        <f t="shared" ref="C37:H37" si="5">2000000</f>
        <v>2000000</v>
      </c>
      <c r="D37" s="41">
        <f t="shared" si="5"/>
        <v>2000000</v>
      </c>
      <c r="E37" s="41">
        <f t="shared" si="5"/>
        <v>2000000</v>
      </c>
      <c r="F37" s="42">
        <f t="shared" si="5"/>
        <v>2000000</v>
      </c>
      <c r="G37" s="43">
        <f t="shared" si="5"/>
        <v>2000000</v>
      </c>
      <c r="H37" s="44">
        <f t="shared" si="5"/>
        <v>2000000</v>
      </c>
      <c r="I37" s="44">
        <f>0</f>
        <v>0</v>
      </c>
      <c r="J37" s="44">
        <f>0</f>
        <v>0</v>
      </c>
      <c r="K37" s="44">
        <f>0</f>
        <v>0</v>
      </c>
      <c r="L37" s="44">
        <f>0</f>
        <v>0</v>
      </c>
      <c r="M37" s="44">
        <f>0</f>
        <v>0</v>
      </c>
      <c r="N37" s="44">
        <f>0</f>
        <v>0</v>
      </c>
      <c r="O37" s="44">
        <f>0</f>
        <v>0</v>
      </c>
      <c r="P37" s="44">
        <f>0</f>
        <v>0</v>
      </c>
      <c r="Q37" s="44">
        <f>0</f>
        <v>0</v>
      </c>
      <c r="R37" s="44">
        <f>0</f>
        <v>0</v>
      </c>
      <c r="S37" s="44">
        <f>0</f>
        <v>0</v>
      </c>
      <c r="T37" s="44">
        <f>0</f>
        <v>0</v>
      </c>
      <c r="U37" s="44">
        <f>0</f>
        <v>0</v>
      </c>
    </row>
    <row r="38" spans="1:22" ht="42.75" customHeight="1">
      <c r="A38" s="38" t="s">
        <v>112</v>
      </c>
      <c r="B38" s="39" t="s">
        <v>113</v>
      </c>
      <c r="C38" s="40">
        <f>0</f>
        <v>0</v>
      </c>
      <c r="D38" s="41">
        <f>0</f>
        <v>0</v>
      </c>
      <c r="E38" s="41">
        <f>0</f>
        <v>0</v>
      </c>
      <c r="F38" s="42">
        <f>0</f>
        <v>0</v>
      </c>
      <c r="G38" s="43">
        <f>0</f>
        <v>0</v>
      </c>
      <c r="H38" s="44">
        <f>0</f>
        <v>0</v>
      </c>
      <c r="I38" s="44">
        <f>0</f>
        <v>0</v>
      </c>
      <c r="J38" s="44">
        <f>0</f>
        <v>0</v>
      </c>
      <c r="K38" s="44">
        <f>0</f>
        <v>0</v>
      </c>
      <c r="L38" s="44">
        <f>0</f>
        <v>0</v>
      </c>
      <c r="M38" s="44">
        <f>0</f>
        <v>0</v>
      </c>
      <c r="N38" s="44">
        <f>0</f>
        <v>0</v>
      </c>
      <c r="O38" s="44">
        <f>0</f>
        <v>0</v>
      </c>
      <c r="P38" s="44">
        <f>0</f>
        <v>0</v>
      </c>
      <c r="Q38" s="44">
        <f>0</f>
        <v>0</v>
      </c>
      <c r="R38" s="44">
        <f>0</f>
        <v>0</v>
      </c>
      <c r="S38" s="44">
        <f>0</f>
        <v>0</v>
      </c>
      <c r="T38" s="44">
        <f>0</f>
        <v>0</v>
      </c>
      <c r="U38" s="44">
        <f>0</f>
        <v>0</v>
      </c>
    </row>
    <row r="39" spans="1:22" ht="42" customHeight="1">
      <c r="A39" s="38" t="s">
        <v>114</v>
      </c>
      <c r="B39" s="39" t="s">
        <v>115</v>
      </c>
      <c r="C39" s="40">
        <f>0</f>
        <v>0</v>
      </c>
      <c r="D39" s="41">
        <f>0</f>
        <v>0</v>
      </c>
      <c r="E39" s="41">
        <f>0</f>
        <v>0</v>
      </c>
      <c r="F39" s="42">
        <f>0</f>
        <v>0</v>
      </c>
      <c r="G39" s="43">
        <f>0</f>
        <v>0</v>
      </c>
      <c r="H39" s="44">
        <f>0</f>
        <v>0</v>
      </c>
      <c r="I39" s="44">
        <f>0</f>
        <v>0</v>
      </c>
      <c r="J39" s="44">
        <f>0</f>
        <v>0</v>
      </c>
      <c r="K39" s="44">
        <f>0</f>
        <v>0</v>
      </c>
      <c r="L39" s="44">
        <f>0</f>
        <v>0</v>
      </c>
      <c r="M39" s="44">
        <f>0</f>
        <v>0</v>
      </c>
      <c r="N39" s="44">
        <f>0</f>
        <v>0</v>
      </c>
      <c r="O39" s="44">
        <f>0</f>
        <v>0</v>
      </c>
      <c r="P39" s="44">
        <f>0</f>
        <v>0</v>
      </c>
      <c r="Q39" s="44">
        <f>0</f>
        <v>0</v>
      </c>
      <c r="R39" s="44">
        <f>0</f>
        <v>0</v>
      </c>
      <c r="S39" s="44">
        <f>0</f>
        <v>0</v>
      </c>
      <c r="T39" s="44">
        <f>0</f>
        <v>0</v>
      </c>
      <c r="U39" s="44">
        <f>0</f>
        <v>0</v>
      </c>
    </row>
    <row r="40" spans="1:22" ht="42" customHeight="1">
      <c r="A40" s="38" t="s">
        <v>116</v>
      </c>
      <c r="B40" s="39" t="s">
        <v>117</v>
      </c>
      <c r="C40" s="40">
        <f t="shared" ref="C40:H40" si="6">2000000</f>
        <v>2000000</v>
      </c>
      <c r="D40" s="41">
        <f t="shared" si="6"/>
        <v>2000000</v>
      </c>
      <c r="E40" s="41">
        <f t="shared" si="6"/>
        <v>2000000</v>
      </c>
      <c r="F40" s="42">
        <f t="shared" si="6"/>
        <v>2000000</v>
      </c>
      <c r="G40" s="43">
        <f t="shared" si="6"/>
        <v>2000000</v>
      </c>
      <c r="H40" s="44">
        <f t="shared" si="6"/>
        <v>2000000</v>
      </c>
      <c r="I40" s="44">
        <f>0</f>
        <v>0</v>
      </c>
      <c r="J40" s="44">
        <f>0</f>
        <v>0</v>
      </c>
      <c r="K40" s="44">
        <f>0</f>
        <v>0</v>
      </c>
      <c r="L40" s="44">
        <f>0</f>
        <v>0</v>
      </c>
      <c r="M40" s="44">
        <f>0</f>
        <v>0</v>
      </c>
      <c r="N40" s="44">
        <f>0</f>
        <v>0</v>
      </c>
      <c r="O40" s="44">
        <f>0</f>
        <v>0</v>
      </c>
      <c r="P40" s="44">
        <f>0</f>
        <v>0</v>
      </c>
      <c r="Q40" s="44">
        <f>0</f>
        <v>0</v>
      </c>
      <c r="R40" s="44">
        <f>0</f>
        <v>0</v>
      </c>
      <c r="S40" s="44">
        <f>0</f>
        <v>0</v>
      </c>
      <c r="T40" s="44">
        <f>0</f>
        <v>0</v>
      </c>
      <c r="U40" s="44">
        <f>0</f>
        <v>0</v>
      </c>
    </row>
    <row r="41" spans="1:22" ht="17.25" customHeight="1">
      <c r="A41" s="38" t="s">
        <v>118</v>
      </c>
      <c r="B41" s="39" t="s">
        <v>119</v>
      </c>
      <c r="C41" s="40">
        <f>0</f>
        <v>0</v>
      </c>
      <c r="D41" s="41">
        <f>0</f>
        <v>0</v>
      </c>
      <c r="E41" s="41">
        <f>0</f>
        <v>0</v>
      </c>
      <c r="F41" s="42">
        <f>0</f>
        <v>0</v>
      </c>
      <c r="G41" s="43">
        <f>500000</f>
        <v>500000</v>
      </c>
      <c r="H41" s="44">
        <f>0</f>
        <v>0</v>
      </c>
      <c r="I41" s="44">
        <f>0</f>
        <v>0</v>
      </c>
      <c r="J41" s="44">
        <f>0</f>
        <v>0</v>
      </c>
      <c r="K41" s="44">
        <f>0</f>
        <v>0</v>
      </c>
      <c r="L41" s="44">
        <f>0</f>
        <v>0</v>
      </c>
      <c r="M41" s="44">
        <f>0</f>
        <v>0</v>
      </c>
      <c r="N41" s="44">
        <f>0</f>
        <v>0</v>
      </c>
      <c r="O41" s="44">
        <f>0</f>
        <v>0</v>
      </c>
      <c r="P41" s="44">
        <f>0</f>
        <v>0</v>
      </c>
      <c r="Q41" s="44">
        <f>0</f>
        <v>0</v>
      </c>
      <c r="R41" s="44">
        <f>0</f>
        <v>0</v>
      </c>
      <c r="S41" s="44">
        <f>0</f>
        <v>0</v>
      </c>
      <c r="T41" s="44">
        <f>0</f>
        <v>0</v>
      </c>
      <c r="U41" s="44">
        <f>0</f>
        <v>0</v>
      </c>
    </row>
    <row r="42" spans="1:22" ht="17.25" customHeight="1">
      <c r="A42" s="31">
        <v>6</v>
      </c>
      <c r="B42" s="32" t="s">
        <v>120</v>
      </c>
      <c r="C42" s="33">
        <f>56311356.09</f>
        <v>56311356.090000004</v>
      </c>
      <c r="D42" s="34">
        <f>51708987.45</f>
        <v>51708987.450000003</v>
      </c>
      <c r="E42" s="34">
        <f>48024903</f>
        <v>48024903</v>
      </c>
      <c r="F42" s="35">
        <f>48024902.57</f>
        <v>48024902.57</v>
      </c>
      <c r="G42" s="36">
        <f>44892865</f>
        <v>44892865</v>
      </c>
      <c r="H42" s="37">
        <f>37687174</f>
        <v>37687174</v>
      </c>
      <c r="I42" s="37">
        <f>31484136</f>
        <v>31484136</v>
      </c>
      <c r="J42" s="37">
        <f>26014762</f>
        <v>26014762</v>
      </c>
      <c r="K42" s="37">
        <f>21618000</f>
        <v>21618000</v>
      </c>
      <c r="L42" s="37">
        <f>17776000</f>
        <v>17776000</v>
      </c>
      <c r="M42" s="37">
        <f>14684000</f>
        <v>14684000</v>
      </c>
      <c r="N42" s="37">
        <f>11592000</f>
        <v>11592000</v>
      </c>
      <c r="O42" s="37">
        <f>8500000</f>
        <v>8500000</v>
      </c>
      <c r="P42" s="37">
        <f>6200000</f>
        <v>6200000</v>
      </c>
      <c r="Q42" s="37">
        <f>3900000</f>
        <v>3900000</v>
      </c>
      <c r="R42" s="37">
        <f>1600000</f>
        <v>1600000</v>
      </c>
      <c r="S42" s="37">
        <f>800000</f>
        <v>800000</v>
      </c>
      <c r="T42" s="37">
        <f>400000</f>
        <v>400000</v>
      </c>
      <c r="U42" s="37">
        <f>0</f>
        <v>0</v>
      </c>
      <c r="V42" s="112"/>
    </row>
    <row r="43" spans="1:22" ht="78" customHeight="1">
      <c r="A43" s="31">
        <v>7</v>
      </c>
      <c r="B43" s="32" t="s">
        <v>121</v>
      </c>
      <c r="C43" s="33">
        <f>6162076.32</f>
        <v>6162076.3200000003</v>
      </c>
      <c r="D43" s="34">
        <f>3928571.45</f>
        <v>3928571.45</v>
      </c>
      <c r="E43" s="34">
        <f>3273810</f>
        <v>3273810</v>
      </c>
      <c r="F43" s="35">
        <f>3273809.57</f>
        <v>3273809.57</v>
      </c>
      <c r="G43" s="36">
        <f>2619048</f>
        <v>2619048</v>
      </c>
      <c r="H43" s="37">
        <f>1964286</f>
        <v>1964286</v>
      </c>
      <c r="I43" s="37">
        <f>1309524</f>
        <v>1309524</v>
      </c>
      <c r="J43" s="37">
        <f>654762</f>
        <v>654762</v>
      </c>
      <c r="K43" s="37">
        <f>0</f>
        <v>0</v>
      </c>
      <c r="L43" s="37">
        <f>0</f>
        <v>0</v>
      </c>
      <c r="M43" s="37">
        <f>0</f>
        <v>0</v>
      </c>
      <c r="N43" s="37">
        <f>0</f>
        <v>0</v>
      </c>
      <c r="O43" s="37">
        <f>0</f>
        <v>0</v>
      </c>
      <c r="P43" s="37">
        <f>0</f>
        <v>0</v>
      </c>
      <c r="Q43" s="37">
        <f>0</f>
        <v>0</v>
      </c>
      <c r="R43" s="37">
        <f>0</f>
        <v>0</v>
      </c>
      <c r="S43" s="37">
        <f>0</f>
        <v>0</v>
      </c>
      <c r="T43" s="37">
        <f>0</f>
        <v>0</v>
      </c>
      <c r="U43" s="37">
        <f>0</f>
        <v>0</v>
      </c>
      <c r="V43" s="112"/>
    </row>
    <row r="44" spans="1:22" ht="42.75" customHeight="1">
      <c r="A44" s="31">
        <v>8</v>
      </c>
      <c r="B44" s="32" t="s">
        <v>122</v>
      </c>
      <c r="C44" s="45" t="s">
        <v>123</v>
      </c>
      <c r="D44" s="46" t="s">
        <v>123</v>
      </c>
      <c r="E44" s="46" t="s">
        <v>123</v>
      </c>
      <c r="F44" s="47" t="s">
        <v>123</v>
      </c>
      <c r="G44" s="48" t="s">
        <v>123</v>
      </c>
      <c r="H44" s="49" t="s">
        <v>123</v>
      </c>
      <c r="I44" s="49" t="s">
        <v>123</v>
      </c>
      <c r="J44" s="49" t="s">
        <v>123</v>
      </c>
      <c r="K44" s="49" t="s">
        <v>123</v>
      </c>
      <c r="L44" s="49" t="s">
        <v>123</v>
      </c>
      <c r="M44" s="49" t="s">
        <v>123</v>
      </c>
      <c r="N44" s="49" t="s">
        <v>123</v>
      </c>
      <c r="O44" s="49" t="s">
        <v>123</v>
      </c>
      <c r="P44" s="49" t="s">
        <v>123</v>
      </c>
      <c r="Q44" s="49" t="s">
        <v>123</v>
      </c>
      <c r="R44" s="49" t="s">
        <v>123</v>
      </c>
      <c r="S44" s="49" t="s">
        <v>123</v>
      </c>
      <c r="T44" s="49" t="s">
        <v>123</v>
      </c>
      <c r="U44" s="49" t="s">
        <v>123</v>
      </c>
      <c r="V44" s="112"/>
    </row>
    <row r="45" spans="1:22" ht="30.75" customHeight="1">
      <c r="A45" s="38" t="s">
        <v>124</v>
      </c>
      <c r="B45" s="39" t="s">
        <v>125</v>
      </c>
      <c r="C45" s="40">
        <f>10223537.61</f>
        <v>10223537.609999999</v>
      </c>
      <c r="D45" s="41">
        <f>6689493.43</f>
        <v>6689493.4299999997</v>
      </c>
      <c r="E45" s="41">
        <f>1391280</f>
        <v>1391280</v>
      </c>
      <c r="F45" s="42">
        <f>6008937.14</f>
        <v>6008937.1399999997</v>
      </c>
      <c r="G45" s="43">
        <f>7215597</f>
        <v>7215597</v>
      </c>
      <c r="H45" s="44">
        <f>10357809</f>
        <v>10357809</v>
      </c>
      <c r="I45" s="44">
        <f>10443216</f>
        <v>10443216</v>
      </c>
      <c r="J45" s="44">
        <f>12755537</f>
        <v>12755537</v>
      </c>
      <c r="K45" s="44">
        <f>14927858</f>
        <v>14927858</v>
      </c>
      <c r="L45" s="44">
        <f>17727983</f>
        <v>17727983</v>
      </c>
      <c r="M45" s="44">
        <f>19510286</f>
        <v>19510286</v>
      </c>
      <c r="N45" s="44">
        <f>23727145</f>
        <v>23727145</v>
      </c>
      <c r="O45" s="44">
        <f>25317850</f>
        <v>25317850</v>
      </c>
      <c r="P45" s="44">
        <f>26821357</f>
        <v>26821357</v>
      </c>
      <c r="Q45" s="44">
        <f>28176313</f>
        <v>28176313</v>
      </c>
      <c r="R45" s="44">
        <f>29632038</f>
        <v>29632038</v>
      </c>
      <c r="S45" s="44">
        <f>30974704</f>
        <v>30974704</v>
      </c>
      <c r="T45" s="44">
        <f>32142091</f>
        <v>32142091</v>
      </c>
      <c r="U45" s="44">
        <f>33326606</f>
        <v>33326606</v>
      </c>
    </row>
    <row r="46" spans="1:22" ht="42" customHeight="1">
      <c r="A46" s="38" t="s">
        <v>126</v>
      </c>
      <c r="B46" s="39" t="s">
        <v>127</v>
      </c>
      <c r="C46" s="40">
        <f>16877363.49</f>
        <v>16877363.489999998</v>
      </c>
      <c r="D46" s="41">
        <f>12199669.56</f>
        <v>12199669.560000001</v>
      </c>
      <c r="E46" s="41">
        <f>4778362</f>
        <v>4778362</v>
      </c>
      <c r="F46" s="42">
        <f>9485687.08</f>
        <v>9485687.0800000001</v>
      </c>
      <c r="G46" s="43">
        <f>10740465</f>
        <v>10740465</v>
      </c>
      <c r="H46" s="44">
        <f>10357809</f>
        <v>10357809</v>
      </c>
      <c r="I46" s="44">
        <f>10443216</f>
        <v>10443216</v>
      </c>
      <c r="J46" s="44">
        <f>12755537</f>
        <v>12755537</v>
      </c>
      <c r="K46" s="44">
        <f>14927858</f>
        <v>14927858</v>
      </c>
      <c r="L46" s="44">
        <f>17727983</f>
        <v>17727983</v>
      </c>
      <c r="M46" s="44">
        <f>19510286</f>
        <v>19510286</v>
      </c>
      <c r="N46" s="44">
        <f>23727145</f>
        <v>23727145</v>
      </c>
      <c r="O46" s="44">
        <f>25317850</f>
        <v>25317850</v>
      </c>
      <c r="P46" s="44">
        <f>26821357</f>
        <v>26821357</v>
      </c>
      <c r="Q46" s="44">
        <f>28176313</f>
        <v>28176313</v>
      </c>
      <c r="R46" s="44">
        <f>29632038</f>
        <v>29632038</v>
      </c>
      <c r="S46" s="44">
        <f>30974704</f>
        <v>30974704</v>
      </c>
      <c r="T46" s="44">
        <f>32142091</f>
        <v>32142091</v>
      </c>
      <c r="U46" s="44">
        <f>33326606</f>
        <v>33326606</v>
      </c>
    </row>
    <row r="47" spans="1:22" ht="17.25" customHeight="1">
      <c r="A47" s="31">
        <v>9</v>
      </c>
      <c r="B47" s="32" t="s">
        <v>128</v>
      </c>
      <c r="C47" s="45" t="s">
        <v>123</v>
      </c>
      <c r="D47" s="46" t="s">
        <v>123</v>
      </c>
      <c r="E47" s="46" t="s">
        <v>123</v>
      </c>
      <c r="F47" s="47" t="s">
        <v>123</v>
      </c>
      <c r="G47" s="48" t="s">
        <v>123</v>
      </c>
      <c r="H47" s="49" t="s">
        <v>123</v>
      </c>
      <c r="I47" s="49" t="s">
        <v>123</v>
      </c>
      <c r="J47" s="49" t="s">
        <v>123</v>
      </c>
      <c r="K47" s="49" t="s">
        <v>123</v>
      </c>
      <c r="L47" s="49" t="s">
        <v>123</v>
      </c>
      <c r="M47" s="49" t="s">
        <v>123</v>
      </c>
      <c r="N47" s="49" t="s">
        <v>123</v>
      </c>
      <c r="O47" s="49" t="s">
        <v>123</v>
      </c>
      <c r="P47" s="49" t="s">
        <v>123</v>
      </c>
      <c r="Q47" s="49" t="s">
        <v>123</v>
      </c>
      <c r="R47" s="49" t="s">
        <v>123</v>
      </c>
      <c r="S47" s="49" t="s">
        <v>123</v>
      </c>
      <c r="T47" s="49" t="s">
        <v>123</v>
      </c>
      <c r="U47" s="49" t="s">
        <v>123</v>
      </c>
      <c r="V47" s="112"/>
    </row>
    <row r="48" spans="1:22" ht="96">
      <c r="A48" s="38" t="s">
        <v>129</v>
      </c>
      <c r="B48" s="39" t="s">
        <v>130</v>
      </c>
      <c r="C48" s="50">
        <f>0.0821</f>
        <v>8.2100000000000006E-2</v>
      </c>
      <c r="D48" s="51">
        <f>0.0754</f>
        <v>7.5399999999999995E-2</v>
      </c>
      <c r="E48" s="51">
        <f>0.0718</f>
        <v>7.1800000000000003E-2</v>
      </c>
      <c r="F48" s="52">
        <f>0.0715</f>
        <v>7.1499999999999994E-2</v>
      </c>
      <c r="G48" s="53">
        <f>0.0673</f>
        <v>6.7299999999999999E-2</v>
      </c>
      <c r="H48" s="54">
        <f>0.0614</f>
        <v>6.1400000000000003E-2</v>
      </c>
      <c r="I48" s="54">
        <f>0.0703</f>
        <v>7.0300000000000001E-2</v>
      </c>
      <c r="J48" s="54">
        <f>0.0661</f>
        <v>6.6100000000000006E-2</v>
      </c>
      <c r="K48" s="54">
        <f>0.0544</f>
        <v>5.4399999999999997E-2</v>
      </c>
      <c r="L48" s="54">
        <f>0.0519</f>
        <v>5.1900000000000002E-2</v>
      </c>
      <c r="M48" s="54">
        <f>0.044</f>
        <v>4.3999999999999997E-2</v>
      </c>
      <c r="N48" s="54">
        <f>0.0247</f>
        <v>2.47E-2</v>
      </c>
      <c r="O48" s="54">
        <f>0.0232</f>
        <v>2.3199999999999998E-2</v>
      </c>
      <c r="P48" s="54">
        <f>0.0169</f>
        <v>1.6899999999999998E-2</v>
      </c>
      <c r="Q48" s="54">
        <f>0.0161</f>
        <v>1.61E-2</v>
      </c>
      <c r="R48" s="54">
        <f>0.0151</f>
        <v>1.5100000000000001E-2</v>
      </c>
      <c r="S48" s="54">
        <f>0.0053</f>
        <v>5.3E-3</v>
      </c>
      <c r="T48" s="54">
        <f>0.0026</f>
        <v>2.5999999999999999E-3</v>
      </c>
      <c r="U48" s="54">
        <f>0.0023</f>
        <v>2.3E-3</v>
      </c>
    </row>
    <row r="49" spans="1:22" ht="96">
      <c r="A49" s="38" t="s">
        <v>131</v>
      </c>
      <c r="B49" s="39" t="s">
        <v>132</v>
      </c>
      <c r="C49" s="50">
        <f>0.0637</f>
        <v>6.3700000000000007E-2</v>
      </c>
      <c r="D49" s="51">
        <f>0.0578</f>
        <v>5.7799999999999997E-2</v>
      </c>
      <c r="E49" s="51">
        <f>0.0555</f>
        <v>5.5500000000000001E-2</v>
      </c>
      <c r="F49" s="52">
        <f>0.0547</f>
        <v>5.4699999999999999E-2</v>
      </c>
      <c r="G49" s="53">
        <f>0.0514</f>
        <v>5.1400000000000001E-2</v>
      </c>
      <c r="H49" s="54">
        <f>0.0466</f>
        <v>4.6600000000000003E-2</v>
      </c>
      <c r="I49" s="54">
        <f>0.0703</f>
        <v>7.0300000000000001E-2</v>
      </c>
      <c r="J49" s="54">
        <f>0.0661</f>
        <v>6.6100000000000006E-2</v>
      </c>
      <c r="K49" s="54">
        <f>0.0544</f>
        <v>5.4399999999999997E-2</v>
      </c>
      <c r="L49" s="54">
        <f>0.0519</f>
        <v>5.1900000000000002E-2</v>
      </c>
      <c r="M49" s="54">
        <f>0.044</f>
        <v>4.3999999999999997E-2</v>
      </c>
      <c r="N49" s="54">
        <f>0.0247</f>
        <v>2.47E-2</v>
      </c>
      <c r="O49" s="54">
        <f>0.0232</f>
        <v>2.3199999999999998E-2</v>
      </c>
      <c r="P49" s="54">
        <f>0.0169</f>
        <v>1.6899999999999998E-2</v>
      </c>
      <c r="Q49" s="54">
        <f>0.0161</f>
        <v>1.61E-2</v>
      </c>
      <c r="R49" s="54">
        <f>0.0151</f>
        <v>1.5100000000000001E-2</v>
      </c>
      <c r="S49" s="54">
        <f>0.0053</f>
        <v>5.3E-3</v>
      </c>
      <c r="T49" s="54">
        <f>0.0026</f>
        <v>2.5999999999999999E-3</v>
      </c>
      <c r="U49" s="54">
        <f>0.0023</f>
        <v>2.3E-3</v>
      </c>
    </row>
    <row r="50" spans="1:22" ht="77.25" customHeight="1">
      <c r="A50" s="38" t="s">
        <v>133</v>
      </c>
      <c r="B50" s="39" t="s">
        <v>134</v>
      </c>
      <c r="C50" s="40">
        <f>0</f>
        <v>0</v>
      </c>
      <c r="D50" s="41">
        <f>0</f>
        <v>0</v>
      </c>
      <c r="E50" s="41">
        <f>0</f>
        <v>0</v>
      </c>
      <c r="F50" s="42">
        <f>0</f>
        <v>0</v>
      </c>
      <c r="G50" s="43">
        <f>0</f>
        <v>0</v>
      </c>
      <c r="H50" s="44">
        <f>0</f>
        <v>0</v>
      </c>
      <c r="I50" s="44">
        <f>0</f>
        <v>0</v>
      </c>
      <c r="J50" s="44">
        <f>0</f>
        <v>0</v>
      </c>
      <c r="K50" s="44">
        <f>0</f>
        <v>0</v>
      </c>
      <c r="L50" s="44">
        <f>0</f>
        <v>0</v>
      </c>
      <c r="M50" s="44">
        <f>0</f>
        <v>0</v>
      </c>
      <c r="N50" s="44">
        <f>0</f>
        <v>0</v>
      </c>
      <c r="O50" s="44">
        <f>0</f>
        <v>0</v>
      </c>
      <c r="P50" s="44">
        <f>0</f>
        <v>0</v>
      </c>
      <c r="Q50" s="44">
        <f>0</f>
        <v>0</v>
      </c>
      <c r="R50" s="44">
        <f>0</f>
        <v>0</v>
      </c>
      <c r="S50" s="44">
        <f>0</f>
        <v>0</v>
      </c>
      <c r="T50" s="44">
        <f>0</f>
        <v>0</v>
      </c>
      <c r="U50" s="44">
        <f>0</f>
        <v>0</v>
      </c>
    </row>
    <row r="51" spans="1:22" ht="96">
      <c r="A51" s="38" t="s">
        <v>135</v>
      </c>
      <c r="B51" s="39" t="s">
        <v>136</v>
      </c>
      <c r="C51" s="50">
        <f>0.0637</f>
        <v>6.3700000000000007E-2</v>
      </c>
      <c r="D51" s="51">
        <f>0.0578</f>
        <v>5.7799999999999997E-2</v>
      </c>
      <c r="E51" s="51">
        <f>0.0555</f>
        <v>5.5500000000000001E-2</v>
      </c>
      <c r="F51" s="52">
        <f>0.0547</f>
        <v>5.4699999999999999E-2</v>
      </c>
      <c r="G51" s="53">
        <f>0.0514</f>
        <v>5.1400000000000001E-2</v>
      </c>
      <c r="H51" s="54">
        <f>0.0466</f>
        <v>4.6600000000000003E-2</v>
      </c>
      <c r="I51" s="54">
        <f>0.0703</f>
        <v>7.0300000000000001E-2</v>
      </c>
      <c r="J51" s="54">
        <f>0.0661</f>
        <v>6.6100000000000006E-2</v>
      </c>
      <c r="K51" s="54">
        <f>0.0544</f>
        <v>5.4399999999999997E-2</v>
      </c>
      <c r="L51" s="54">
        <f>0.0519</f>
        <v>5.1900000000000002E-2</v>
      </c>
      <c r="M51" s="54">
        <f>0.044</f>
        <v>4.3999999999999997E-2</v>
      </c>
      <c r="N51" s="54">
        <f>0.0247</f>
        <v>2.47E-2</v>
      </c>
      <c r="O51" s="54">
        <f>0.0232</f>
        <v>2.3199999999999998E-2</v>
      </c>
      <c r="P51" s="54">
        <f>0.0169</f>
        <v>1.6899999999999998E-2</v>
      </c>
      <c r="Q51" s="54">
        <f>0.0161</f>
        <v>1.61E-2</v>
      </c>
      <c r="R51" s="54">
        <f>0.0151</f>
        <v>1.5100000000000001E-2</v>
      </c>
      <c r="S51" s="54">
        <f>0.0053</f>
        <v>5.3E-3</v>
      </c>
      <c r="T51" s="54">
        <f>0.0026</f>
        <v>2.5999999999999999E-3</v>
      </c>
      <c r="U51" s="54">
        <f>0.0023</f>
        <v>2.3E-3</v>
      </c>
    </row>
    <row r="52" spans="1:22" ht="72">
      <c r="A52" s="38" t="s">
        <v>137</v>
      </c>
      <c r="B52" s="55" t="s">
        <v>138</v>
      </c>
      <c r="C52" s="50">
        <f>0.1058</f>
        <v>0.10580000000000001</v>
      </c>
      <c r="D52" s="51">
        <f>0.0824</f>
        <v>8.2400000000000001E-2</v>
      </c>
      <c r="E52" s="51">
        <f>0.0724</f>
        <v>7.2400000000000006E-2</v>
      </c>
      <c r="F52" s="52">
        <f>0.0912</f>
        <v>9.1200000000000003E-2</v>
      </c>
      <c r="G52" s="53">
        <f>0.1051</f>
        <v>0.1051</v>
      </c>
      <c r="H52" s="54">
        <f>0.1139</f>
        <v>0.1139</v>
      </c>
      <c r="I52" s="54">
        <f>0.0895</f>
        <v>8.9499999999999996E-2</v>
      </c>
      <c r="J52" s="54">
        <f>0.1005</f>
        <v>0.10050000000000001</v>
      </c>
      <c r="K52" s="54">
        <f>0.1137</f>
        <v>0.1137</v>
      </c>
      <c r="L52" s="54">
        <f>0.1288</f>
        <v>0.1288</v>
      </c>
      <c r="M52" s="54">
        <f>0.1366</f>
        <v>0.1366</v>
      </c>
      <c r="N52" s="54">
        <f>0.161</f>
        <v>0.161</v>
      </c>
      <c r="O52" s="54">
        <f>0.1678</f>
        <v>0.1678</v>
      </c>
      <c r="P52" s="54">
        <f>0.1711</f>
        <v>0.1711</v>
      </c>
      <c r="Q52" s="54">
        <f>0.1747</f>
        <v>0.17469999999999999</v>
      </c>
      <c r="R52" s="54">
        <f>0.1786</f>
        <v>0.17860000000000001</v>
      </c>
      <c r="S52" s="54">
        <f>0.1816</f>
        <v>0.18160000000000001</v>
      </c>
      <c r="T52" s="54">
        <f>0.1835</f>
        <v>0.1835</v>
      </c>
      <c r="U52" s="54">
        <f>0.1853</f>
        <v>0.18529999999999999</v>
      </c>
    </row>
    <row r="53" spans="1:22" ht="96">
      <c r="A53" s="38" t="s">
        <v>139</v>
      </c>
      <c r="B53" s="39" t="s">
        <v>140</v>
      </c>
      <c r="C53" s="45" t="s">
        <v>123</v>
      </c>
      <c r="D53" s="46" t="s">
        <v>123</v>
      </c>
      <c r="E53" s="46" t="s">
        <v>123</v>
      </c>
      <c r="F53" s="47" t="s">
        <v>123</v>
      </c>
      <c r="G53" s="53">
        <f>0.0869</f>
        <v>8.6900000000000005E-2</v>
      </c>
      <c r="H53" s="54">
        <f>0.0866</f>
        <v>8.6599999999999996E-2</v>
      </c>
      <c r="I53" s="54">
        <f>0.0971</f>
        <v>9.7100000000000006E-2</v>
      </c>
      <c r="J53" s="54">
        <f>0.1028</f>
        <v>0.1028</v>
      </c>
      <c r="K53" s="54">
        <f>0.1013</f>
        <v>0.1013</v>
      </c>
      <c r="L53" s="54">
        <f>0.1012</f>
        <v>0.1012</v>
      </c>
      <c r="M53" s="54">
        <f>0.1143</f>
        <v>0.1143</v>
      </c>
      <c r="N53" s="54">
        <f>0.1264</f>
        <v>0.12640000000000001</v>
      </c>
      <c r="O53" s="54">
        <f>0.1421</f>
        <v>0.1421</v>
      </c>
      <c r="P53" s="54">
        <f>0.1551</f>
        <v>0.15509999999999999</v>
      </c>
      <c r="Q53" s="54">
        <f>0.1666</f>
        <v>0.1666</v>
      </c>
      <c r="R53" s="54">
        <f>0.1712</f>
        <v>0.17119999999999999</v>
      </c>
      <c r="S53" s="54">
        <f>0.1748</f>
        <v>0.17480000000000001</v>
      </c>
      <c r="T53" s="54">
        <f>0.1783</f>
        <v>0.17829999999999999</v>
      </c>
      <c r="U53" s="54">
        <f>0.1812</f>
        <v>0.1812</v>
      </c>
    </row>
    <row r="54" spans="1:22" ht="96">
      <c r="A54" s="38" t="s">
        <v>141</v>
      </c>
      <c r="B54" s="39" t="s">
        <v>142</v>
      </c>
      <c r="C54" s="45" t="s">
        <v>123</v>
      </c>
      <c r="D54" s="46" t="s">
        <v>123</v>
      </c>
      <c r="E54" s="46" t="s">
        <v>123</v>
      </c>
      <c r="F54" s="47" t="s">
        <v>123</v>
      </c>
      <c r="G54" s="53">
        <f>0.0931</f>
        <v>9.3100000000000002E-2</v>
      </c>
      <c r="H54" s="54">
        <f>0.0929</f>
        <v>9.2899999999999996E-2</v>
      </c>
      <c r="I54" s="54">
        <f>0.1034</f>
        <v>0.10340000000000001</v>
      </c>
      <c r="J54" s="54">
        <f>0.1028</f>
        <v>0.1028</v>
      </c>
      <c r="K54" s="54">
        <f>0.1013</f>
        <v>0.1013</v>
      </c>
      <c r="L54" s="54">
        <f>0.1012</f>
        <v>0.1012</v>
      </c>
      <c r="M54" s="54">
        <f>0.1143</f>
        <v>0.1143</v>
      </c>
      <c r="N54" s="54">
        <f>0.1264</f>
        <v>0.12640000000000001</v>
      </c>
      <c r="O54" s="54">
        <f>0.1421</f>
        <v>0.1421</v>
      </c>
      <c r="P54" s="54">
        <f>0.1551</f>
        <v>0.15509999999999999</v>
      </c>
      <c r="Q54" s="54">
        <f>0.1666</f>
        <v>0.1666</v>
      </c>
      <c r="R54" s="54">
        <f>0.1712</f>
        <v>0.17119999999999999</v>
      </c>
      <c r="S54" s="54">
        <f>0.1748</f>
        <v>0.17480000000000001</v>
      </c>
      <c r="T54" s="54">
        <f>0.1783</f>
        <v>0.17829999999999999</v>
      </c>
      <c r="U54" s="54">
        <f>0.1812</f>
        <v>0.1812</v>
      </c>
    </row>
    <row r="55" spans="1:22" ht="108">
      <c r="A55" s="38" t="s">
        <v>143</v>
      </c>
      <c r="B55" s="39" t="s">
        <v>144</v>
      </c>
      <c r="C55" s="45" t="s">
        <v>123</v>
      </c>
      <c r="D55" s="46" t="s">
        <v>123</v>
      </c>
      <c r="E55" s="46" t="s">
        <v>123</v>
      </c>
      <c r="F55" s="47" t="s">
        <v>123</v>
      </c>
      <c r="G55" s="56" t="str">
        <f>IF(G51&lt;=G53,"Spełniona","Nie spełniona")</f>
        <v>Spełniona</v>
      </c>
      <c r="H55" s="57" t="str">
        <f t="shared" ref="H55:U55" si="7">IF(H51&lt;=H53,"Spełniona","Nie spełniona")</f>
        <v>Spełniona</v>
      </c>
      <c r="I55" s="57" t="str">
        <f t="shared" si="7"/>
        <v>Spełniona</v>
      </c>
      <c r="J55" s="57" t="str">
        <f t="shared" si="7"/>
        <v>Spełniona</v>
      </c>
      <c r="K55" s="57" t="str">
        <f t="shared" si="7"/>
        <v>Spełniona</v>
      </c>
      <c r="L55" s="57" t="str">
        <f t="shared" si="7"/>
        <v>Spełniona</v>
      </c>
      <c r="M55" s="57" t="str">
        <f t="shared" si="7"/>
        <v>Spełniona</v>
      </c>
      <c r="N55" s="57" t="str">
        <f t="shared" si="7"/>
        <v>Spełniona</v>
      </c>
      <c r="O55" s="57" t="str">
        <f t="shared" si="7"/>
        <v>Spełniona</v>
      </c>
      <c r="P55" s="57" t="str">
        <f t="shared" si="7"/>
        <v>Spełniona</v>
      </c>
      <c r="Q55" s="57" t="str">
        <f t="shared" si="7"/>
        <v>Spełniona</v>
      </c>
      <c r="R55" s="57" t="str">
        <f t="shared" si="7"/>
        <v>Spełniona</v>
      </c>
      <c r="S55" s="57" t="str">
        <f t="shared" si="7"/>
        <v>Spełniona</v>
      </c>
      <c r="T55" s="57" t="str">
        <f t="shared" si="7"/>
        <v>Spełniona</v>
      </c>
      <c r="U55" s="57" t="str">
        <f t="shared" si="7"/>
        <v>Spełniona</v>
      </c>
    </row>
    <row r="56" spans="1:22" ht="108">
      <c r="A56" s="38" t="s">
        <v>145</v>
      </c>
      <c r="B56" s="39" t="s">
        <v>146</v>
      </c>
      <c r="C56" s="45" t="s">
        <v>123</v>
      </c>
      <c r="D56" s="46" t="s">
        <v>123</v>
      </c>
      <c r="E56" s="46" t="s">
        <v>123</v>
      </c>
      <c r="F56" s="47" t="s">
        <v>123</v>
      </c>
      <c r="G56" s="56" t="str">
        <f>IF(G51&lt;=G54,"Spełniona","Nie spełniona")</f>
        <v>Spełniona</v>
      </c>
      <c r="H56" s="57" t="str">
        <f t="shared" ref="H56:U56" si="8">IF(H51&lt;=H54,"Spełniona","Nie spełniona")</f>
        <v>Spełniona</v>
      </c>
      <c r="I56" s="57" t="str">
        <f t="shared" si="8"/>
        <v>Spełniona</v>
      </c>
      <c r="J56" s="57" t="str">
        <f t="shared" si="8"/>
        <v>Spełniona</v>
      </c>
      <c r="K56" s="57" t="str">
        <f t="shared" si="8"/>
        <v>Spełniona</v>
      </c>
      <c r="L56" s="57" t="str">
        <f t="shared" si="8"/>
        <v>Spełniona</v>
      </c>
      <c r="M56" s="57" t="str">
        <f t="shared" si="8"/>
        <v>Spełniona</v>
      </c>
      <c r="N56" s="57" t="str">
        <f t="shared" si="8"/>
        <v>Spełniona</v>
      </c>
      <c r="O56" s="57" t="str">
        <f t="shared" si="8"/>
        <v>Spełniona</v>
      </c>
      <c r="P56" s="57" t="str">
        <f t="shared" si="8"/>
        <v>Spełniona</v>
      </c>
      <c r="Q56" s="57" t="str">
        <f t="shared" si="8"/>
        <v>Spełniona</v>
      </c>
      <c r="R56" s="57" t="str">
        <f t="shared" si="8"/>
        <v>Spełniona</v>
      </c>
      <c r="S56" s="57" t="str">
        <f t="shared" si="8"/>
        <v>Spełniona</v>
      </c>
      <c r="T56" s="57" t="str">
        <f t="shared" si="8"/>
        <v>Spełniona</v>
      </c>
      <c r="U56" s="57" t="str">
        <f t="shared" si="8"/>
        <v>Spełniona</v>
      </c>
    </row>
    <row r="57" spans="1:22" ht="30" customHeight="1">
      <c r="A57" s="31">
        <v>10</v>
      </c>
      <c r="B57" s="32" t="s">
        <v>147</v>
      </c>
      <c r="C57" s="33">
        <f>0</f>
        <v>0</v>
      </c>
      <c r="D57" s="34">
        <f>0</f>
        <v>0</v>
      </c>
      <c r="E57" s="34">
        <f>0</f>
        <v>0</v>
      </c>
      <c r="F57" s="35">
        <f>0</f>
        <v>0</v>
      </c>
      <c r="G57" s="36">
        <f>0</f>
        <v>0</v>
      </c>
      <c r="H57" s="37">
        <f>6550929</f>
        <v>6550929</v>
      </c>
      <c r="I57" s="37">
        <f>5548276</f>
        <v>5548276</v>
      </c>
      <c r="J57" s="37">
        <f>4814612</f>
        <v>4814612</v>
      </c>
      <c r="K57" s="37">
        <f>3742000</f>
        <v>3742000</v>
      </c>
      <c r="L57" s="37">
        <f>3842000</f>
        <v>3842000</v>
      </c>
      <c r="M57" s="37">
        <f t="shared" ref="M57:O58" si="9">3092000</f>
        <v>3092000</v>
      </c>
      <c r="N57" s="37">
        <f t="shared" si="9"/>
        <v>3092000</v>
      </c>
      <c r="O57" s="37">
        <f t="shared" si="9"/>
        <v>3092000</v>
      </c>
      <c r="P57" s="37">
        <f t="shared" ref="P57:R58" si="10">2300000</f>
        <v>2300000</v>
      </c>
      <c r="Q57" s="37">
        <f t="shared" si="10"/>
        <v>2300000</v>
      </c>
      <c r="R57" s="37">
        <f t="shared" si="10"/>
        <v>2300000</v>
      </c>
      <c r="S57" s="37">
        <f>800000</f>
        <v>800000</v>
      </c>
      <c r="T57" s="37">
        <f>400000</f>
        <v>400000</v>
      </c>
      <c r="U57" s="37">
        <f>400000</f>
        <v>400000</v>
      </c>
      <c r="V57" s="112"/>
    </row>
    <row r="58" spans="1:22" ht="30" customHeight="1">
      <c r="A58" s="38" t="s">
        <v>148</v>
      </c>
      <c r="B58" s="39" t="s">
        <v>149</v>
      </c>
      <c r="C58" s="40">
        <f>0</f>
        <v>0</v>
      </c>
      <c r="D58" s="41">
        <f>0</f>
        <v>0</v>
      </c>
      <c r="E58" s="41">
        <f>0</f>
        <v>0</v>
      </c>
      <c r="F58" s="42">
        <f>0</f>
        <v>0</v>
      </c>
      <c r="G58" s="43">
        <f>0</f>
        <v>0</v>
      </c>
      <c r="H58" s="44">
        <f>6550929</f>
        <v>6550929</v>
      </c>
      <c r="I58" s="44">
        <f>5548276</f>
        <v>5548276</v>
      </c>
      <c r="J58" s="44">
        <f>4814612</f>
        <v>4814612</v>
      </c>
      <c r="K58" s="44">
        <f>3742000</f>
        <v>3742000</v>
      </c>
      <c r="L58" s="44">
        <f>3842000</f>
        <v>3842000</v>
      </c>
      <c r="M58" s="44">
        <f t="shared" si="9"/>
        <v>3092000</v>
      </c>
      <c r="N58" s="44">
        <f t="shared" si="9"/>
        <v>3092000</v>
      </c>
      <c r="O58" s="44">
        <f t="shared" si="9"/>
        <v>3092000</v>
      </c>
      <c r="P58" s="44">
        <f t="shared" si="10"/>
        <v>2300000</v>
      </c>
      <c r="Q58" s="44">
        <f t="shared" si="10"/>
        <v>2300000</v>
      </c>
      <c r="R58" s="44">
        <f t="shared" si="10"/>
        <v>2300000</v>
      </c>
      <c r="S58" s="44">
        <f>800000</f>
        <v>800000</v>
      </c>
      <c r="T58" s="44">
        <f>400000</f>
        <v>400000</v>
      </c>
      <c r="U58" s="44">
        <f>400000</f>
        <v>400000</v>
      </c>
    </row>
    <row r="59" spans="1:22" ht="30" customHeight="1">
      <c r="A59" s="31">
        <v>11</v>
      </c>
      <c r="B59" s="32" t="s">
        <v>150</v>
      </c>
      <c r="C59" s="45" t="s">
        <v>123</v>
      </c>
      <c r="D59" s="46" t="s">
        <v>123</v>
      </c>
      <c r="E59" s="46" t="s">
        <v>123</v>
      </c>
      <c r="F59" s="47" t="s">
        <v>123</v>
      </c>
      <c r="G59" s="48" t="s">
        <v>123</v>
      </c>
      <c r="H59" s="49" t="s">
        <v>123</v>
      </c>
      <c r="I59" s="49" t="s">
        <v>123</v>
      </c>
      <c r="J59" s="49" t="s">
        <v>123</v>
      </c>
      <c r="K59" s="49" t="s">
        <v>123</v>
      </c>
      <c r="L59" s="49" t="s">
        <v>123</v>
      </c>
      <c r="M59" s="49" t="s">
        <v>123</v>
      </c>
      <c r="N59" s="49" t="s">
        <v>123</v>
      </c>
      <c r="O59" s="49" t="s">
        <v>123</v>
      </c>
      <c r="P59" s="49" t="s">
        <v>123</v>
      </c>
      <c r="Q59" s="49" t="s">
        <v>123</v>
      </c>
      <c r="R59" s="49" t="s">
        <v>123</v>
      </c>
      <c r="S59" s="49" t="s">
        <v>123</v>
      </c>
      <c r="T59" s="49" t="s">
        <v>123</v>
      </c>
      <c r="U59" s="49" t="s">
        <v>123</v>
      </c>
      <c r="V59" s="112"/>
    </row>
    <row r="60" spans="1:22" ht="30" customHeight="1">
      <c r="A60" s="38" t="s">
        <v>151</v>
      </c>
      <c r="B60" s="39" t="s">
        <v>152</v>
      </c>
      <c r="C60" s="40">
        <f>59898977.95</f>
        <v>59898977.950000003</v>
      </c>
      <c r="D60" s="41">
        <f>65172879.09</f>
        <v>65172879.090000004</v>
      </c>
      <c r="E60" s="41">
        <f>65525908</f>
        <v>65525908</v>
      </c>
      <c r="F60" s="42">
        <f>64574748.58</f>
        <v>64574748.579999998</v>
      </c>
      <c r="G60" s="43">
        <f>67284398</f>
        <v>67284398</v>
      </c>
      <c r="H60" s="44">
        <f>68269885</f>
        <v>68269885</v>
      </c>
      <c r="I60" s="44">
        <f>69771822</f>
        <v>69771822</v>
      </c>
      <c r="J60" s="44">
        <f>71516118</f>
        <v>71516118</v>
      </c>
      <c r="K60" s="44">
        <f>73304021</f>
        <v>73304021</v>
      </c>
      <c r="L60" s="44">
        <f>75136622</f>
        <v>75136622</v>
      </c>
      <c r="M60" s="44">
        <f>77015038</f>
        <v>77015038</v>
      </c>
      <c r="N60" s="44">
        <f>78940414</f>
        <v>78940414</v>
      </c>
      <c r="O60" s="44">
        <f>80913924</f>
        <v>80913924</v>
      </c>
      <c r="P60" s="44">
        <f>82936772</f>
        <v>82936772</v>
      </c>
      <c r="Q60" s="44">
        <f>85010191</f>
        <v>85010191</v>
      </c>
      <c r="R60" s="44">
        <f>87135446</f>
        <v>87135446</v>
      </c>
      <c r="S60" s="44">
        <f>89313832</f>
        <v>89313832</v>
      </c>
      <c r="T60" s="44">
        <f>91546678</f>
        <v>91546678</v>
      </c>
      <c r="U60" s="44">
        <f>93835345</f>
        <v>93835345</v>
      </c>
    </row>
    <row r="61" spans="1:22" ht="36">
      <c r="A61" s="38" t="s">
        <v>153</v>
      </c>
      <c r="B61" s="39" t="s">
        <v>154</v>
      </c>
      <c r="C61" s="40">
        <f>9280656.1</f>
        <v>9280656.0999999996</v>
      </c>
      <c r="D61" s="41">
        <f>9963467.6</f>
        <v>9963467.5999999996</v>
      </c>
      <c r="E61" s="41">
        <f>11651899</f>
        <v>11651899</v>
      </c>
      <c r="F61" s="42">
        <f>9861886.2</f>
        <v>9861886.1999999993</v>
      </c>
      <c r="G61" s="43">
        <f>11166736</f>
        <v>11166736</v>
      </c>
      <c r="H61" s="44">
        <f>11419513</f>
        <v>11419513</v>
      </c>
      <c r="I61" s="44">
        <f>11159742</f>
        <v>11159742</v>
      </c>
      <c r="J61" s="44">
        <f>11438736</f>
        <v>11438736</v>
      </c>
      <c r="K61" s="44">
        <f>11724704</f>
        <v>11724704</v>
      </c>
      <c r="L61" s="44">
        <f>12017822</f>
        <v>12017822</v>
      </c>
      <c r="M61" s="44">
        <f>12318268</f>
        <v>12318268</v>
      </c>
      <c r="N61" s="44">
        <f>12626225</f>
        <v>12626225</v>
      </c>
      <c r="O61" s="44">
        <f>12941881</f>
        <v>12941881</v>
      </c>
      <c r="P61" s="44">
        <f>13265428</f>
        <v>13265428</v>
      </c>
      <c r="Q61" s="44">
        <f>13597064</f>
        <v>13597064</v>
      </c>
      <c r="R61" s="44">
        <f>13936991</f>
        <v>13936991</v>
      </c>
      <c r="S61" s="44">
        <f>14285416</f>
        <v>14285416</v>
      </c>
      <c r="T61" s="44">
        <f>14642551</f>
        <v>14642551</v>
      </c>
      <c r="U61" s="44">
        <f>15008615</f>
        <v>15008615</v>
      </c>
    </row>
    <row r="62" spans="1:22" ht="30" customHeight="1">
      <c r="A62" s="38" t="s">
        <v>155</v>
      </c>
      <c r="B62" s="39" t="s">
        <v>156</v>
      </c>
      <c r="C62" s="40">
        <f>2032849.68</f>
        <v>2032849.68</v>
      </c>
      <c r="D62" s="41">
        <f>2598399.8</f>
        <v>2598399.7999999998</v>
      </c>
      <c r="E62" s="41">
        <f>9077897</f>
        <v>9077897</v>
      </c>
      <c r="F62" s="42">
        <f>4693324.07</f>
        <v>4693324.07</v>
      </c>
      <c r="G62" s="43">
        <f>12736778</f>
        <v>12736778</v>
      </c>
      <c r="H62" s="44">
        <f>16430097</f>
        <v>16430097</v>
      </c>
      <c r="I62" s="44">
        <f>12981062</f>
        <v>12981062</v>
      </c>
      <c r="J62" s="44">
        <f>1700000</f>
        <v>1700000</v>
      </c>
      <c r="K62" s="44">
        <f>200000</f>
        <v>200000</v>
      </c>
      <c r="L62" s="44">
        <f>0</f>
        <v>0</v>
      </c>
      <c r="M62" s="44">
        <f>0</f>
        <v>0</v>
      </c>
      <c r="N62" s="44">
        <f>0</f>
        <v>0</v>
      </c>
      <c r="O62" s="44">
        <f>0</f>
        <v>0</v>
      </c>
      <c r="P62" s="44">
        <f>0</f>
        <v>0</v>
      </c>
      <c r="Q62" s="44">
        <f>0</f>
        <v>0</v>
      </c>
      <c r="R62" s="44">
        <f>0</f>
        <v>0</v>
      </c>
      <c r="S62" s="44">
        <f>0</f>
        <v>0</v>
      </c>
      <c r="T62" s="44">
        <f>0</f>
        <v>0</v>
      </c>
      <c r="U62" s="44">
        <f>0</f>
        <v>0</v>
      </c>
    </row>
    <row r="63" spans="1:22" ht="17.25" customHeight="1">
      <c r="A63" s="38" t="s">
        <v>157</v>
      </c>
      <c r="B63" s="39" t="s">
        <v>158</v>
      </c>
      <c r="C63" s="40">
        <f>1900497.84</f>
        <v>1900497.84</v>
      </c>
      <c r="D63" s="41">
        <f>1723051.81</f>
        <v>1723051.81</v>
      </c>
      <c r="E63" s="41">
        <f>891576</f>
        <v>891576</v>
      </c>
      <c r="F63" s="42">
        <f>860587.73</f>
        <v>860587.73</v>
      </c>
      <c r="G63" s="43">
        <f>1326781</f>
        <v>1326781</v>
      </c>
      <c r="H63" s="44">
        <f>432169</f>
        <v>432169</v>
      </c>
      <c r="I63" s="44">
        <f>80000</f>
        <v>80000</v>
      </c>
      <c r="J63" s="44">
        <f>0</f>
        <v>0</v>
      </c>
      <c r="K63" s="44">
        <f>0</f>
        <v>0</v>
      </c>
      <c r="L63" s="44">
        <f>0</f>
        <v>0</v>
      </c>
      <c r="M63" s="44">
        <f>0</f>
        <v>0</v>
      </c>
      <c r="N63" s="44">
        <f>0</f>
        <v>0</v>
      </c>
      <c r="O63" s="44">
        <f>0</f>
        <v>0</v>
      </c>
      <c r="P63" s="44">
        <f>0</f>
        <v>0</v>
      </c>
      <c r="Q63" s="44">
        <f>0</f>
        <v>0</v>
      </c>
      <c r="R63" s="44">
        <f>0</f>
        <v>0</v>
      </c>
      <c r="S63" s="44">
        <f>0</f>
        <v>0</v>
      </c>
      <c r="T63" s="44">
        <f>0</f>
        <v>0</v>
      </c>
      <c r="U63" s="44">
        <f>0</f>
        <v>0</v>
      </c>
    </row>
    <row r="64" spans="1:22" ht="17.25" customHeight="1">
      <c r="A64" s="38" t="s">
        <v>159</v>
      </c>
      <c r="B64" s="39" t="s">
        <v>160</v>
      </c>
      <c r="C64" s="40">
        <f>132351.84</f>
        <v>132351.84</v>
      </c>
      <c r="D64" s="41">
        <f>875347.99</f>
        <v>875347.99</v>
      </c>
      <c r="E64" s="41">
        <f>8186321</f>
        <v>8186321</v>
      </c>
      <c r="F64" s="42">
        <f>3832736.34</f>
        <v>3832736.34</v>
      </c>
      <c r="G64" s="43">
        <f>11409997</f>
        <v>11409997</v>
      </c>
      <c r="H64" s="44">
        <f>15997928</f>
        <v>15997928</v>
      </c>
      <c r="I64" s="44">
        <f>12901062</f>
        <v>12901062</v>
      </c>
      <c r="J64" s="44">
        <f>1700000</f>
        <v>1700000</v>
      </c>
      <c r="K64" s="44">
        <f>200000</f>
        <v>200000</v>
      </c>
      <c r="L64" s="44">
        <f>0</f>
        <v>0</v>
      </c>
      <c r="M64" s="44">
        <f>0</f>
        <v>0</v>
      </c>
      <c r="N64" s="44">
        <f>0</f>
        <v>0</v>
      </c>
      <c r="O64" s="44">
        <f>0</f>
        <v>0</v>
      </c>
      <c r="P64" s="44">
        <f>0</f>
        <v>0</v>
      </c>
      <c r="Q64" s="44">
        <f>0</f>
        <v>0</v>
      </c>
      <c r="R64" s="44">
        <f>0</f>
        <v>0</v>
      </c>
      <c r="S64" s="44">
        <f>0</f>
        <v>0</v>
      </c>
      <c r="T64" s="44">
        <f>0</f>
        <v>0</v>
      </c>
      <c r="U64" s="44">
        <f>0</f>
        <v>0</v>
      </c>
    </row>
    <row r="65" spans="1:22" ht="17.25" customHeight="1">
      <c r="A65" s="38" t="s">
        <v>161</v>
      </c>
      <c r="B65" s="39" t="s">
        <v>162</v>
      </c>
      <c r="C65" s="40">
        <f>35000</f>
        <v>35000</v>
      </c>
      <c r="D65" s="41">
        <f>754548.64</f>
        <v>754548.64</v>
      </c>
      <c r="E65" s="41">
        <f>7935000</f>
        <v>7935000</v>
      </c>
      <c r="F65" s="42">
        <f>3638806.34</f>
        <v>3638806.34</v>
      </c>
      <c r="G65" s="43">
        <f>10588761</f>
        <v>10588761</v>
      </c>
      <c r="H65" s="44">
        <f>15770000</f>
        <v>15770000</v>
      </c>
      <c r="I65" s="44">
        <f>12900000</f>
        <v>12900000</v>
      </c>
      <c r="J65" s="44">
        <f>1700000</f>
        <v>1700000</v>
      </c>
      <c r="K65" s="44">
        <f>200000</f>
        <v>200000</v>
      </c>
      <c r="L65" s="44">
        <f>0</f>
        <v>0</v>
      </c>
      <c r="M65" s="44">
        <f>0</f>
        <v>0</v>
      </c>
      <c r="N65" s="44">
        <f>0</f>
        <v>0</v>
      </c>
      <c r="O65" s="44">
        <f>0</f>
        <v>0</v>
      </c>
      <c r="P65" s="44">
        <f>0</f>
        <v>0</v>
      </c>
      <c r="Q65" s="44">
        <f>0</f>
        <v>0</v>
      </c>
      <c r="R65" s="44">
        <f>0</f>
        <v>0</v>
      </c>
      <c r="S65" s="44">
        <f>0</f>
        <v>0</v>
      </c>
      <c r="T65" s="44">
        <f>0</f>
        <v>0</v>
      </c>
      <c r="U65" s="44">
        <f>0</f>
        <v>0</v>
      </c>
    </row>
    <row r="66" spans="1:22" ht="17.25" customHeight="1">
      <c r="A66" s="38" t="s">
        <v>163</v>
      </c>
      <c r="B66" s="39" t="s">
        <v>164</v>
      </c>
      <c r="C66" s="40">
        <f>7323145.22</f>
        <v>7323145.2199999997</v>
      </c>
      <c r="D66" s="41">
        <f>5975191.67</f>
        <v>5975191.6699999999</v>
      </c>
      <c r="E66" s="41">
        <f>4982758</f>
        <v>4982758</v>
      </c>
      <c r="F66" s="42">
        <f>4953899.43</f>
        <v>4953899.43</v>
      </c>
      <c r="G66" s="43">
        <f>6161100</f>
        <v>6161100</v>
      </c>
      <c r="H66" s="44">
        <f>3558952</f>
        <v>3558952</v>
      </c>
      <c r="I66" s="44">
        <f>3393878</f>
        <v>3393878</v>
      </c>
      <c r="J66" s="44">
        <f>7260925</f>
        <v>7260925</v>
      </c>
      <c r="K66" s="44">
        <f>11585858</f>
        <v>11585858</v>
      </c>
      <c r="L66" s="44">
        <f>14305983</f>
        <v>14305983</v>
      </c>
      <c r="M66" s="44">
        <f>16758286</f>
        <v>16758286</v>
      </c>
      <c r="N66" s="44">
        <f>20985145</f>
        <v>20985145</v>
      </c>
      <c r="O66" s="44">
        <f>22775850</f>
        <v>22775850</v>
      </c>
      <c r="P66" s="44">
        <f>24821357</f>
        <v>24821357</v>
      </c>
      <c r="Q66" s="44">
        <f>26176313</f>
        <v>26176313</v>
      </c>
      <c r="R66" s="44">
        <f>27632038</f>
        <v>27632038</v>
      </c>
      <c r="S66" s="44">
        <f>30474704</f>
        <v>30474704</v>
      </c>
      <c r="T66" s="44">
        <f>32042091</f>
        <v>32042091</v>
      </c>
      <c r="U66" s="44">
        <f>33226606</f>
        <v>33226606</v>
      </c>
    </row>
    <row r="67" spans="1:22" ht="17.25" customHeight="1">
      <c r="A67" s="38" t="s">
        <v>165</v>
      </c>
      <c r="B67" s="39" t="s">
        <v>166</v>
      </c>
      <c r="C67" s="40">
        <f>133351.84</f>
        <v>133351.84</v>
      </c>
      <c r="D67" s="41">
        <f>151426.54</f>
        <v>151426.54</v>
      </c>
      <c r="E67" s="41">
        <f>157021</f>
        <v>157021</v>
      </c>
      <c r="F67" s="42">
        <f>89494</f>
        <v>89494</v>
      </c>
      <c r="G67" s="43">
        <f>712834</f>
        <v>712834</v>
      </c>
      <c r="H67" s="44">
        <f>227928</f>
        <v>227928</v>
      </c>
      <c r="I67" s="44">
        <f>1062</f>
        <v>1062</v>
      </c>
      <c r="J67" s="44">
        <f>0</f>
        <v>0</v>
      </c>
      <c r="K67" s="44">
        <f>0</f>
        <v>0</v>
      </c>
      <c r="L67" s="44">
        <f>0</f>
        <v>0</v>
      </c>
      <c r="M67" s="44">
        <f>0</f>
        <v>0</v>
      </c>
      <c r="N67" s="44">
        <f>0</f>
        <v>0</v>
      </c>
      <c r="O67" s="44">
        <f>0</f>
        <v>0</v>
      </c>
      <c r="P67" s="44">
        <f>0</f>
        <v>0</v>
      </c>
      <c r="Q67" s="44">
        <f>0</f>
        <v>0</v>
      </c>
      <c r="R67" s="44">
        <f>0</f>
        <v>0</v>
      </c>
      <c r="S67" s="44">
        <f>0</f>
        <v>0</v>
      </c>
      <c r="T67" s="44">
        <f>0</f>
        <v>0</v>
      </c>
      <c r="U67" s="44">
        <f>0</f>
        <v>0</v>
      </c>
    </row>
    <row r="68" spans="1:22" ht="52.5" customHeight="1">
      <c r="A68" s="31">
        <v>12</v>
      </c>
      <c r="B68" s="32" t="s">
        <v>167</v>
      </c>
      <c r="C68" s="45" t="s">
        <v>123</v>
      </c>
      <c r="D68" s="46" t="s">
        <v>123</v>
      </c>
      <c r="E68" s="46" t="s">
        <v>123</v>
      </c>
      <c r="F68" s="47" t="s">
        <v>123</v>
      </c>
      <c r="G68" s="48" t="s">
        <v>123</v>
      </c>
      <c r="H68" s="49" t="s">
        <v>123</v>
      </c>
      <c r="I68" s="49" t="s">
        <v>123</v>
      </c>
      <c r="J68" s="49" t="s">
        <v>123</v>
      </c>
      <c r="K68" s="49" t="s">
        <v>123</v>
      </c>
      <c r="L68" s="49" t="s">
        <v>123</v>
      </c>
      <c r="M68" s="49" t="s">
        <v>123</v>
      </c>
      <c r="N68" s="49" t="s">
        <v>123</v>
      </c>
      <c r="O68" s="49" t="s">
        <v>123</v>
      </c>
      <c r="P68" s="49" t="s">
        <v>123</v>
      </c>
      <c r="Q68" s="49" t="s">
        <v>123</v>
      </c>
      <c r="R68" s="49" t="s">
        <v>123</v>
      </c>
      <c r="S68" s="49" t="s">
        <v>123</v>
      </c>
      <c r="T68" s="49" t="s">
        <v>123</v>
      </c>
      <c r="U68" s="49" t="s">
        <v>123</v>
      </c>
      <c r="V68" s="112"/>
    </row>
    <row r="69" spans="1:22" ht="54" customHeight="1">
      <c r="A69" s="38" t="s">
        <v>168</v>
      </c>
      <c r="B69" s="39" t="s">
        <v>169</v>
      </c>
      <c r="C69" s="40">
        <f>1760525.6</f>
        <v>1760525.6</v>
      </c>
      <c r="D69" s="41">
        <f>1464674.96</f>
        <v>1464674.96</v>
      </c>
      <c r="E69" s="41">
        <f>1039676</f>
        <v>1039676</v>
      </c>
      <c r="F69" s="42">
        <f>1030177.5</f>
        <v>1030177.5</v>
      </c>
      <c r="G69" s="43">
        <f>1179552</f>
        <v>1179552</v>
      </c>
      <c r="H69" s="44">
        <f>305108</f>
        <v>305108</v>
      </c>
      <c r="I69" s="44">
        <f>0</f>
        <v>0</v>
      </c>
      <c r="J69" s="44">
        <f>0</f>
        <v>0</v>
      </c>
      <c r="K69" s="44">
        <f>0</f>
        <v>0</v>
      </c>
      <c r="L69" s="44">
        <f>0</f>
        <v>0</v>
      </c>
      <c r="M69" s="44">
        <f>0</f>
        <v>0</v>
      </c>
      <c r="N69" s="44">
        <f>0</f>
        <v>0</v>
      </c>
      <c r="O69" s="44">
        <f>0</f>
        <v>0</v>
      </c>
      <c r="P69" s="44">
        <f>0</f>
        <v>0</v>
      </c>
      <c r="Q69" s="44">
        <f>0</f>
        <v>0</v>
      </c>
      <c r="R69" s="44">
        <f>0</f>
        <v>0</v>
      </c>
      <c r="S69" s="44">
        <f>0</f>
        <v>0</v>
      </c>
      <c r="T69" s="44">
        <f>0</f>
        <v>0</v>
      </c>
      <c r="U69" s="44">
        <f>0</f>
        <v>0</v>
      </c>
    </row>
    <row r="70" spans="1:22" ht="27.75" customHeight="1">
      <c r="A70" s="38" t="s">
        <v>170</v>
      </c>
      <c r="B70" s="58" t="s">
        <v>171</v>
      </c>
      <c r="C70" s="40">
        <f>1577486.27</f>
        <v>1577486.27</v>
      </c>
      <c r="D70" s="41">
        <f>1385887.31</f>
        <v>1385887.31</v>
      </c>
      <c r="E70" s="41">
        <f>1017461</f>
        <v>1017461</v>
      </c>
      <c r="F70" s="42">
        <f>1007962.48</f>
        <v>1007962.48</v>
      </c>
      <c r="G70" s="43">
        <f>1179552</f>
        <v>1179552</v>
      </c>
      <c r="H70" s="44">
        <f>305108</f>
        <v>305108</v>
      </c>
      <c r="I70" s="44">
        <f>0</f>
        <v>0</v>
      </c>
      <c r="J70" s="44">
        <f>0</f>
        <v>0</v>
      </c>
      <c r="K70" s="44">
        <f>0</f>
        <v>0</v>
      </c>
      <c r="L70" s="44">
        <f>0</f>
        <v>0</v>
      </c>
      <c r="M70" s="44">
        <f>0</f>
        <v>0</v>
      </c>
      <c r="N70" s="44">
        <f>0</f>
        <v>0</v>
      </c>
      <c r="O70" s="44">
        <f>0</f>
        <v>0</v>
      </c>
      <c r="P70" s="44">
        <f>0</f>
        <v>0</v>
      </c>
      <c r="Q70" s="44">
        <f>0</f>
        <v>0</v>
      </c>
      <c r="R70" s="44">
        <f>0</f>
        <v>0</v>
      </c>
      <c r="S70" s="44">
        <f>0</f>
        <v>0</v>
      </c>
      <c r="T70" s="44">
        <f>0</f>
        <v>0</v>
      </c>
      <c r="U70" s="44">
        <f>0</f>
        <v>0</v>
      </c>
    </row>
    <row r="71" spans="1:22" ht="52.5" customHeight="1">
      <c r="A71" s="38" t="s">
        <v>172</v>
      </c>
      <c r="B71" s="58" t="s">
        <v>173</v>
      </c>
      <c r="C71" s="40">
        <f>1577486.27</f>
        <v>1577486.27</v>
      </c>
      <c r="D71" s="41">
        <f>1385887.31</f>
        <v>1385887.31</v>
      </c>
      <c r="E71" s="41">
        <f>1017461</f>
        <v>1017461</v>
      </c>
      <c r="F71" s="42">
        <f>1007962.48</f>
        <v>1007962.48</v>
      </c>
      <c r="G71" s="43">
        <f>1179552</f>
        <v>1179552</v>
      </c>
      <c r="H71" s="44">
        <f>305108</f>
        <v>305108</v>
      </c>
      <c r="I71" s="44">
        <f>0</f>
        <v>0</v>
      </c>
      <c r="J71" s="44">
        <f>0</f>
        <v>0</v>
      </c>
      <c r="K71" s="44">
        <f>0</f>
        <v>0</v>
      </c>
      <c r="L71" s="44">
        <f>0</f>
        <v>0</v>
      </c>
      <c r="M71" s="44">
        <f>0</f>
        <v>0</v>
      </c>
      <c r="N71" s="44">
        <f>0</f>
        <v>0</v>
      </c>
      <c r="O71" s="44">
        <f>0</f>
        <v>0</v>
      </c>
      <c r="P71" s="44">
        <f>0</f>
        <v>0</v>
      </c>
      <c r="Q71" s="44">
        <f>0</f>
        <v>0</v>
      </c>
      <c r="R71" s="44">
        <f>0</f>
        <v>0</v>
      </c>
      <c r="S71" s="44">
        <f>0</f>
        <v>0</v>
      </c>
      <c r="T71" s="44">
        <f>0</f>
        <v>0</v>
      </c>
      <c r="U71" s="44">
        <f>0</f>
        <v>0</v>
      </c>
    </row>
    <row r="72" spans="1:22" ht="53.25" customHeight="1">
      <c r="A72" s="38" t="s">
        <v>174</v>
      </c>
      <c r="B72" s="39" t="s">
        <v>175</v>
      </c>
      <c r="C72" s="40">
        <f>0</f>
        <v>0</v>
      </c>
      <c r="D72" s="41">
        <f>0</f>
        <v>0</v>
      </c>
      <c r="E72" s="41">
        <f>1120</f>
        <v>1120</v>
      </c>
      <c r="F72" s="42">
        <f>0</f>
        <v>0</v>
      </c>
      <c r="G72" s="43">
        <f>940361</f>
        <v>940361</v>
      </c>
      <c r="H72" s="44">
        <f>0</f>
        <v>0</v>
      </c>
      <c r="I72" s="44">
        <f>0</f>
        <v>0</v>
      </c>
      <c r="J72" s="44">
        <f>0</f>
        <v>0</v>
      </c>
      <c r="K72" s="44">
        <f>0</f>
        <v>0</v>
      </c>
      <c r="L72" s="44">
        <f>0</f>
        <v>0</v>
      </c>
      <c r="M72" s="44">
        <f>0</f>
        <v>0</v>
      </c>
      <c r="N72" s="44">
        <f>0</f>
        <v>0</v>
      </c>
      <c r="O72" s="44">
        <f>0</f>
        <v>0</v>
      </c>
      <c r="P72" s="44">
        <f>0</f>
        <v>0</v>
      </c>
      <c r="Q72" s="44">
        <f>0</f>
        <v>0</v>
      </c>
      <c r="R72" s="44">
        <f>0</f>
        <v>0</v>
      </c>
      <c r="S72" s="44">
        <f>0</f>
        <v>0</v>
      </c>
      <c r="T72" s="44">
        <f>0</f>
        <v>0</v>
      </c>
      <c r="U72" s="44">
        <f>0</f>
        <v>0</v>
      </c>
    </row>
    <row r="73" spans="1:22" ht="33.75" customHeight="1">
      <c r="A73" s="38" t="s">
        <v>176</v>
      </c>
      <c r="B73" s="58" t="s">
        <v>171</v>
      </c>
      <c r="C73" s="40">
        <f>0</f>
        <v>0</v>
      </c>
      <c r="D73" s="41">
        <f>0</f>
        <v>0</v>
      </c>
      <c r="E73" s="41">
        <f>1120</f>
        <v>1120</v>
      </c>
      <c r="F73" s="42">
        <f>0</f>
        <v>0</v>
      </c>
      <c r="G73" s="43">
        <f>676681</f>
        <v>676681</v>
      </c>
      <c r="H73" s="44">
        <f>0</f>
        <v>0</v>
      </c>
      <c r="I73" s="44">
        <f>0</f>
        <v>0</v>
      </c>
      <c r="J73" s="44">
        <f>0</f>
        <v>0</v>
      </c>
      <c r="K73" s="44">
        <f>0</f>
        <v>0</v>
      </c>
      <c r="L73" s="44">
        <f>0</f>
        <v>0</v>
      </c>
      <c r="M73" s="44">
        <f>0</f>
        <v>0</v>
      </c>
      <c r="N73" s="44">
        <f>0</f>
        <v>0</v>
      </c>
      <c r="O73" s="44">
        <f>0</f>
        <v>0</v>
      </c>
      <c r="P73" s="44">
        <f>0</f>
        <v>0</v>
      </c>
      <c r="Q73" s="44">
        <f>0</f>
        <v>0</v>
      </c>
      <c r="R73" s="44">
        <f>0</f>
        <v>0</v>
      </c>
      <c r="S73" s="44">
        <f>0</f>
        <v>0</v>
      </c>
      <c r="T73" s="44">
        <f>0</f>
        <v>0</v>
      </c>
      <c r="U73" s="44">
        <f>0</f>
        <v>0</v>
      </c>
    </row>
    <row r="74" spans="1:22" ht="54.75" customHeight="1">
      <c r="A74" s="38" t="s">
        <v>177</v>
      </c>
      <c r="B74" s="58" t="s">
        <v>178</v>
      </c>
      <c r="C74" s="40">
        <f>0</f>
        <v>0</v>
      </c>
      <c r="D74" s="41">
        <f>0</f>
        <v>0</v>
      </c>
      <c r="E74" s="41">
        <f>1120</f>
        <v>1120</v>
      </c>
      <c r="F74" s="42">
        <f>0</f>
        <v>0</v>
      </c>
      <c r="G74" s="43">
        <f>676681</f>
        <v>676681</v>
      </c>
      <c r="H74" s="44">
        <f>0</f>
        <v>0</v>
      </c>
      <c r="I74" s="44">
        <f>0</f>
        <v>0</v>
      </c>
      <c r="J74" s="44">
        <f>0</f>
        <v>0</v>
      </c>
      <c r="K74" s="44">
        <f>0</f>
        <v>0</v>
      </c>
      <c r="L74" s="44">
        <f>0</f>
        <v>0</v>
      </c>
      <c r="M74" s="44">
        <f>0</f>
        <v>0</v>
      </c>
      <c r="N74" s="44">
        <f>0</f>
        <v>0</v>
      </c>
      <c r="O74" s="44">
        <f>0</f>
        <v>0</v>
      </c>
      <c r="P74" s="44">
        <f>0</f>
        <v>0</v>
      </c>
      <c r="Q74" s="44">
        <f>0</f>
        <v>0</v>
      </c>
      <c r="R74" s="44">
        <f>0</f>
        <v>0</v>
      </c>
      <c r="S74" s="44">
        <f>0</f>
        <v>0</v>
      </c>
      <c r="T74" s="44">
        <f>0</f>
        <v>0</v>
      </c>
      <c r="U74" s="44">
        <f>0</f>
        <v>0</v>
      </c>
    </row>
    <row r="75" spans="1:22" ht="54.75" customHeight="1">
      <c r="A75" s="38" t="s">
        <v>179</v>
      </c>
      <c r="B75" s="39" t="s">
        <v>180</v>
      </c>
      <c r="C75" s="40">
        <f>1860497.84</f>
        <v>1860497.84</v>
      </c>
      <c r="D75" s="41">
        <f>1657551.81</f>
        <v>1657551.81</v>
      </c>
      <c r="E75" s="41">
        <f>891576</f>
        <v>891576</v>
      </c>
      <c r="F75" s="42">
        <f>860587.73</f>
        <v>860587.73</v>
      </c>
      <c r="G75" s="43">
        <f>1246781</f>
        <v>1246781</v>
      </c>
      <c r="H75" s="44">
        <f>352169</f>
        <v>352169</v>
      </c>
      <c r="I75" s="44">
        <f>0</f>
        <v>0</v>
      </c>
      <c r="J75" s="44">
        <f>0</f>
        <v>0</v>
      </c>
      <c r="K75" s="44">
        <f>0</f>
        <v>0</v>
      </c>
      <c r="L75" s="44">
        <f>0</f>
        <v>0</v>
      </c>
      <c r="M75" s="44">
        <f>0</f>
        <v>0</v>
      </c>
      <c r="N75" s="44">
        <f>0</f>
        <v>0</v>
      </c>
      <c r="O75" s="44">
        <f>0</f>
        <v>0</v>
      </c>
      <c r="P75" s="44">
        <f>0</f>
        <v>0</v>
      </c>
      <c r="Q75" s="44">
        <f>0</f>
        <v>0</v>
      </c>
      <c r="R75" s="44">
        <f>0</f>
        <v>0</v>
      </c>
      <c r="S75" s="44">
        <f>0</f>
        <v>0</v>
      </c>
      <c r="T75" s="44">
        <f>0</f>
        <v>0</v>
      </c>
      <c r="U75" s="44">
        <f>0</f>
        <v>0</v>
      </c>
    </row>
    <row r="76" spans="1:22" ht="33" customHeight="1">
      <c r="A76" s="38" t="s">
        <v>181</v>
      </c>
      <c r="B76" s="58" t="s">
        <v>182</v>
      </c>
      <c r="C76" s="40">
        <f>1577486.27</f>
        <v>1577486.27</v>
      </c>
      <c r="D76" s="41">
        <f>1511772.32</f>
        <v>1511772.32</v>
      </c>
      <c r="E76" s="41">
        <f>891576</f>
        <v>891576</v>
      </c>
      <c r="F76" s="42">
        <f>860587.73</f>
        <v>860587.73</v>
      </c>
      <c r="G76" s="43">
        <f>1179552</f>
        <v>1179552</v>
      </c>
      <c r="H76" s="44">
        <f>305108</f>
        <v>305108</v>
      </c>
      <c r="I76" s="44">
        <f>0</f>
        <v>0</v>
      </c>
      <c r="J76" s="44">
        <f>0</f>
        <v>0</v>
      </c>
      <c r="K76" s="44">
        <f>0</f>
        <v>0</v>
      </c>
      <c r="L76" s="44">
        <f>0</f>
        <v>0</v>
      </c>
      <c r="M76" s="44">
        <f>0</f>
        <v>0</v>
      </c>
      <c r="N76" s="44">
        <f>0</f>
        <v>0</v>
      </c>
      <c r="O76" s="44">
        <f>0</f>
        <v>0</v>
      </c>
      <c r="P76" s="44">
        <f>0</f>
        <v>0</v>
      </c>
      <c r="Q76" s="44">
        <f>0</f>
        <v>0</v>
      </c>
      <c r="R76" s="44">
        <f>0</f>
        <v>0</v>
      </c>
      <c r="S76" s="44">
        <f>0</f>
        <v>0</v>
      </c>
      <c r="T76" s="44">
        <f>0</f>
        <v>0</v>
      </c>
      <c r="U76" s="44">
        <f>0</f>
        <v>0</v>
      </c>
    </row>
    <row r="77" spans="1:22" ht="72">
      <c r="A77" s="38" t="s">
        <v>183</v>
      </c>
      <c r="B77" s="39" t="s">
        <v>184</v>
      </c>
      <c r="C77" s="40">
        <f>1577486.27</f>
        <v>1577486.27</v>
      </c>
      <c r="D77" s="41">
        <f>1511772.32</f>
        <v>1511772.32</v>
      </c>
      <c r="E77" s="41">
        <f>891576</f>
        <v>891576</v>
      </c>
      <c r="F77" s="42">
        <f>860587.73</f>
        <v>860587.73</v>
      </c>
      <c r="G77" s="43">
        <f>1179552</f>
        <v>1179552</v>
      </c>
      <c r="H77" s="44">
        <f>305108</f>
        <v>305108</v>
      </c>
      <c r="I77" s="44">
        <f>0</f>
        <v>0</v>
      </c>
      <c r="J77" s="44">
        <f>0</f>
        <v>0</v>
      </c>
      <c r="K77" s="44">
        <f>0</f>
        <v>0</v>
      </c>
      <c r="L77" s="44">
        <f>0</f>
        <v>0</v>
      </c>
      <c r="M77" s="44">
        <f>0</f>
        <v>0</v>
      </c>
      <c r="N77" s="44">
        <f>0</f>
        <v>0</v>
      </c>
      <c r="O77" s="44">
        <f>0</f>
        <v>0</v>
      </c>
      <c r="P77" s="44">
        <f>0</f>
        <v>0</v>
      </c>
      <c r="Q77" s="44">
        <f>0</f>
        <v>0</v>
      </c>
      <c r="R77" s="44">
        <f>0</f>
        <v>0</v>
      </c>
      <c r="S77" s="44">
        <f>0</f>
        <v>0</v>
      </c>
      <c r="T77" s="44">
        <f>0</f>
        <v>0</v>
      </c>
      <c r="U77" s="44">
        <f>0</f>
        <v>0</v>
      </c>
    </row>
    <row r="78" spans="1:22" ht="53.25" customHeight="1">
      <c r="A78" s="38" t="s">
        <v>185</v>
      </c>
      <c r="B78" s="39" t="s">
        <v>186</v>
      </c>
      <c r="C78" s="40">
        <f>97351.84</f>
        <v>97351.84</v>
      </c>
      <c r="D78" s="41">
        <f>117799.35</f>
        <v>117799.35</v>
      </c>
      <c r="E78" s="41">
        <f>68621</f>
        <v>68621</v>
      </c>
      <c r="F78" s="42">
        <f>11600</f>
        <v>11600</v>
      </c>
      <c r="G78" s="43">
        <f>1039997</f>
        <v>1039997</v>
      </c>
      <c r="H78" s="44">
        <f>227928</f>
        <v>227928</v>
      </c>
      <c r="I78" s="44">
        <f>1062</f>
        <v>1062</v>
      </c>
      <c r="J78" s="44">
        <f>0</f>
        <v>0</v>
      </c>
      <c r="K78" s="44">
        <f>0</f>
        <v>0</v>
      </c>
      <c r="L78" s="44">
        <f>0</f>
        <v>0</v>
      </c>
      <c r="M78" s="44">
        <f>0</f>
        <v>0</v>
      </c>
      <c r="N78" s="44">
        <f>0</f>
        <v>0</v>
      </c>
      <c r="O78" s="44">
        <f>0</f>
        <v>0</v>
      </c>
      <c r="P78" s="44">
        <f>0</f>
        <v>0</v>
      </c>
      <c r="Q78" s="44">
        <f>0</f>
        <v>0</v>
      </c>
      <c r="R78" s="44">
        <f>0</f>
        <v>0</v>
      </c>
      <c r="S78" s="44">
        <f>0</f>
        <v>0</v>
      </c>
      <c r="T78" s="44">
        <f>0</f>
        <v>0</v>
      </c>
      <c r="U78" s="44">
        <f>0</f>
        <v>0</v>
      </c>
    </row>
    <row r="79" spans="1:22" ht="33.75" customHeight="1">
      <c r="A79" s="38" t="s">
        <v>187</v>
      </c>
      <c r="B79" s="58" t="s">
        <v>188</v>
      </c>
      <c r="C79" s="40">
        <f>0</f>
        <v>0</v>
      </c>
      <c r="D79" s="41">
        <f>0</f>
        <v>0</v>
      </c>
      <c r="E79" s="41">
        <f>1120</f>
        <v>1120</v>
      </c>
      <c r="F79" s="42">
        <f>1120</f>
        <v>1120</v>
      </c>
      <c r="G79" s="43">
        <f>675561</f>
        <v>675561</v>
      </c>
      <c r="H79" s="44">
        <f>0</f>
        <v>0</v>
      </c>
      <c r="I79" s="44">
        <f>0</f>
        <v>0</v>
      </c>
      <c r="J79" s="44">
        <f>0</f>
        <v>0</v>
      </c>
      <c r="K79" s="44">
        <f>0</f>
        <v>0</v>
      </c>
      <c r="L79" s="44">
        <f>0</f>
        <v>0</v>
      </c>
      <c r="M79" s="44">
        <f>0</f>
        <v>0</v>
      </c>
      <c r="N79" s="44">
        <f>0</f>
        <v>0</v>
      </c>
      <c r="O79" s="44">
        <f>0</f>
        <v>0</v>
      </c>
      <c r="P79" s="44">
        <f>0</f>
        <v>0</v>
      </c>
      <c r="Q79" s="44">
        <f>0</f>
        <v>0</v>
      </c>
      <c r="R79" s="44">
        <f>0</f>
        <v>0</v>
      </c>
      <c r="S79" s="44">
        <f>0</f>
        <v>0</v>
      </c>
      <c r="T79" s="44">
        <f>0</f>
        <v>0</v>
      </c>
      <c r="U79" s="44">
        <f>0</f>
        <v>0</v>
      </c>
    </row>
    <row r="80" spans="1:22" ht="75" customHeight="1">
      <c r="A80" s="38" t="s">
        <v>189</v>
      </c>
      <c r="B80" s="39" t="s">
        <v>190</v>
      </c>
      <c r="C80" s="40">
        <f>0</f>
        <v>0</v>
      </c>
      <c r="D80" s="41">
        <f>0</f>
        <v>0</v>
      </c>
      <c r="E80" s="41">
        <f>1120</f>
        <v>1120</v>
      </c>
      <c r="F80" s="42">
        <f>1120</f>
        <v>1120</v>
      </c>
      <c r="G80" s="43">
        <f>675561</f>
        <v>675561</v>
      </c>
      <c r="H80" s="44">
        <f>0</f>
        <v>0</v>
      </c>
      <c r="I80" s="44">
        <f>0</f>
        <v>0</v>
      </c>
      <c r="J80" s="44">
        <f>0</f>
        <v>0</v>
      </c>
      <c r="K80" s="44">
        <f>0</f>
        <v>0</v>
      </c>
      <c r="L80" s="44">
        <f>0</f>
        <v>0</v>
      </c>
      <c r="M80" s="44">
        <f>0</f>
        <v>0</v>
      </c>
      <c r="N80" s="44">
        <f>0</f>
        <v>0</v>
      </c>
      <c r="O80" s="44">
        <f>0</f>
        <v>0</v>
      </c>
      <c r="P80" s="44">
        <f>0</f>
        <v>0</v>
      </c>
      <c r="Q80" s="44">
        <f>0</f>
        <v>0</v>
      </c>
      <c r="R80" s="44">
        <f>0</f>
        <v>0</v>
      </c>
      <c r="S80" s="44">
        <f>0</f>
        <v>0</v>
      </c>
      <c r="T80" s="44">
        <f>0</f>
        <v>0</v>
      </c>
      <c r="U80" s="44">
        <f>0</f>
        <v>0</v>
      </c>
    </row>
    <row r="81" spans="1:22" ht="78.75" customHeight="1">
      <c r="A81" s="38" t="s">
        <v>191</v>
      </c>
      <c r="B81" s="39" t="s">
        <v>192</v>
      </c>
      <c r="C81" s="40">
        <f>380363.41</f>
        <v>380363.41</v>
      </c>
      <c r="D81" s="41">
        <f>263578.84</f>
        <v>263578.84000000003</v>
      </c>
      <c r="E81" s="41">
        <f>67501</f>
        <v>67501</v>
      </c>
      <c r="F81" s="42">
        <f>10480</f>
        <v>10480</v>
      </c>
      <c r="G81" s="43">
        <f>431665</f>
        <v>431665</v>
      </c>
      <c r="H81" s="44">
        <f>274989</f>
        <v>274989</v>
      </c>
      <c r="I81" s="44">
        <f>1062</f>
        <v>1062</v>
      </c>
      <c r="J81" s="44">
        <f>0</f>
        <v>0</v>
      </c>
      <c r="K81" s="44">
        <f>0</f>
        <v>0</v>
      </c>
      <c r="L81" s="44">
        <f>0</f>
        <v>0</v>
      </c>
      <c r="M81" s="44">
        <f>0</f>
        <v>0</v>
      </c>
      <c r="N81" s="44">
        <f>0</f>
        <v>0</v>
      </c>
      <c r="O81" s="44">
        <f>0</f>
        <v>0</v>
      </c>
      <c r="P81" s="44">
        <f>0</f>
        <v>0</v>
      </c>
      <c r="Q81" s="44">
        <f>0</f>
        <v>0</v>
      </c>
      <c r="R81" s="44">
        <f>0</f>
        <v>0</v>
      </c>
      <c r="S81" s="44">
        <f>0</f>
        <v>0</v>
      </c>
      <c r="T81" s="44">
        <f>0</f>
        <v>0</v>
      </c>
      <c r="U81" s="44">
        <f>0</f>
        <v>0</v>
      </c>
    </row>
    <row r="82" spans="1:22" ht="35.25" customHeight="1">
      <c r="A82" s="38" t="s">
        <v>193</v>
      </c>
      <c r="B82" s="39" t="s">
        <v>194</v>
      </c>
      <c r="C82" s="40">
        <f>380363.41</f>
        <v>380363.41</v>
      </c>
      <c r="D82" s="41">
        <f>263578.84</f>
        <v>263578.84000000003</v>
      </c>
      <c r="E82" s="41">
        <f>67501</f>
        <v>67501</v>
      </c>
      <c r="F82" s="42">
        <f>10480</f>
        <v>10480</v>
      </c>
      <c r="G82" s="43">
        <f>431665</f>
        <v>431665</v>
      </c>
      <c r="H82" s="44">
        <f>274989</f>
        <v>274989</v>
      </c>
      <c r="I82" s="44">
        <f>1062</f>
        <v>1062</v>
      </c>
      <c r="J82" s="44">
        <f>0</f>
        <v>0</v>
      </c>
      <c r="K82" s="44">
        <f>0</f>
        <v>0</v>
      </c>
      <c r="L82" s="44">
        <f>0</f>
        <v>0</v>
      </c>
      <c r="M82" s="44">
        <f>0</f>
        <v>0</v>
      </c>
      <c r="N82" s="44">
        <f>0</f>
        <v>0</v>
      </c>
      <c r="O82" s="44">
        <f>0</f>
        <v>0</v>
      </c>
      <c r="P82" s="44">
        <f>0</f>
        <v>0</v>
      </c>
      <c r="Q82" s="44">
        <f>0</f>
        <v>0</v>
      </c>
      <c r="R82" s="44">
        <f>0</f>
        <v>0</v>
      </c>
      <c r="S82" s="44">
        <f>0</f>
        <v>0</v>
      </c>
      <c r="T82" s="44">
        <f>0</f>
        <v>0</v>
      </c>
      <c r="U82" s="44">
        <f>0</f>
        <v>0</v>
      </c>
    </row>
    <row r="83" spans="1:22" ht="78" customHeight="1">
      <c r="A83" s="38" t="s">
        <v>195</v>
      </c>
      <c r="B83" s="39" t="s">
        <v>196</v>
      </c>
      <c r="C83" s="40">
        <f>131162.93</f>
        <v>131162.93</v>
      </c>
      <c r="D83" s="41">
        <f>48172</f>
        <v>48172</v>
      </c>
      <c r="E83" s="41">
        <f>67501</f>
        <v>67501</v>
      </c>
      <c r="F83" s="42">
        <f>10480</f>
        <v>10480</v>
      </c>
      <c r="G83" s="43">
        <f>431665</f>
        <v>431665</v>
      </c>
      <c r="H83" s="44">
        <f>274989</f>
        <v>274989</v>
      </c>
      <c r="I83" s="44">
        <f>1062</f>
        <v>1062</v>
      </c>
      <c r="J83" s="44">
        <f>0</f>
        <v>0</v>
      </c>
      <c r="K83" s="44">
        <f>0</f>
        <v>0</v>
      </c>
      <c r="L83" s="44">
        <f>0</f>
        <v>0</v>
      </c>
      <c r="M83" s="44">
        <f>0</f>
        <v>0</v>
      </c>
      <c r="N83" s="44">
        <f>0</f>
        <v>0</v>
      </c>
      <c r="O83" s="44">
        <f>0</f>
        <v>0</v>
      </c>
      <c r="P83" s="44">
        <f>0</f>
        <v>0</v>
      </c>
      <c r="Q83" s="44">
        <f>0</f>
        <v>0</v>
      </c>
      <c r="R83" s="44">
        <f>0</f>
        <v>0</v>
      </c>
      <c r="S83" s="44">
        <f>0</f>
        <v>0</v>
      </c>
      <c r="T83" s="44">
        <f>0</f>
        <v>0</v>
      </c>
      <c r="U83" s="44">
        <f>0</f>
        <v>0</v>
      </c>
    </row>
    <row r="84" spans="1:22" ht="36">
      <c r="A84" s="38" t="s">
        <v>197</v>
      </c>
      <c r="B84" s="39" t="s">
        <v>194</v>
      </c>
      <c r="C84" s="40">
        <f>131162.93</f>
        <v>131162.93</v>
      </c>
      <c r="D84" s="41">
        <f>48172</f>
        <v>48172</v>
      </c>
      <c r="E84" s="41">
        <f>67501</f>
        <v>67501</v>
      </c>
      <c r="F84" s="42">
        <f>10480</f>
        <v>10480</v>
      </c>
      <c r="G84" s="43">
        <f>431665</f>
        <v>431665</v>
      </c>
      <c r="H84" s="44">
        <f>274989</f>
        <v>274989</v>
      </c>
      <c r="I84" s="44">
        <f>1062</f>
        <v>1062</v>
      </c>
      <c r="J84" s="44">
        <f>0</f>
        <v>0</v>
      </c>
      <c r="K84" s="44">
        <f>0</f>
        <v>0</v>
      </c>
      <c r="L84" s="44">
        <f>0</f>
        <v>0</v>
      </c>
      <c r="M84" s="44">
        <f>0</f>
        <v>0</v>
      </c>
      <c r="N84" s="44">
        <f>0</f>
        <v>0</v>
      </c>
      <c r="O84" s="44">
        <f>0</f>
        <v>0</v>
      </c>
      <c r="P84" s="44">
        <f>0</f>
        <v>0</v>
      </c>
      <c r="Q84" s="44">
        <f>0</f>
        <v>0</v>
      </c>
      <c r="R84" s="44">
        <f>0</f>
        <v>0</v>
      </c>
      <c r="S84" s="44">
        <f>0</f>
        <v>0</v>
      </c>
      <c r="T84" s="44">
        <f>0</f>
        <v>0</v>
      </c>
      <c r="U84" s="44">
        <f>0</f>
        <v>0</v>
      </c>
    </row>
    <row r="85" spans="1:22" ht="103.5" customHeight="1">
      <c r="A85" s="38" t="s">
        <v>198</v>
      </c>
      <c r="B85" s="39" t="s">
        <v>199</v>
      </c>
      <c r="C85" s="40">
        <f>0</f>
        <v>0</v>
      </c>
      <c r="D85" s="41">
        <f>0</f>
        <v>0</v>
      </c>
      <c r="E85" s="41">
        <f>0</f>
        <v>0</v>
      </c>
      <c r="F85" s="42">
        <f>0</f>
        <v>0</v>
      </c>
      <c r="G85" s="43">
        <f>0</f>
        <v>0</v>
      </c>
      <c r="H85" s="44">
        <f>0</f>
        <v>0</v>
      </c>
      <c r="I85" s="44">
        <f>0</f>
        <v>0</v>
      </c>
      <c r="J85" s="44">
        <f>0</f>
        <v>0</v>
      </c>
      <c r="K85" s="44">
        <f>0</f>
        <v>0</v>
      </c>
      <c r="L85" s="44">
        <f>0</f>
        <v>0</v>
      </c>
      <c r="M85" s="44">
        <f>0</f>
        <v>0</v>
      </c>
      <c r="N85" s="44">
        <f>0</f>
        <v>0</v>
      </c>
      <c r="O85" s="44">
        <f>0</f>
        <v>0</v>
      </c>
      <c r="P85" s="44">
        <f>0</f>
        <v>0</v>
      </c>
      <c r="Q85" s="44">
        <f>0</f>
        <v>0</v>
      </c>
      <c r="R85" s="44">
        <f>0</f>
        <v>0</v>
      </c>
      <c r="S85" s="44">
        <f>0</f>
        <v>0</v>
      </c>
      <c r="T85" s="44">
        <f>0</f>
        <v>0</v>
      </c>
      <c r="U85" s="44">
        <f>0</f>
        <v>0</v>
      </c>
    </row>
    <row r="86" spans="1:22" ht="36">
      <c r="A86" s="38" t="s">
        <v>200</v>
      </c>
      <c r="B86" s="39" t="s">
        <v>194</v>
      </c>
      <c r="C86" s="40">
        <f>0</f>
        <v>0</v>
      </c>
      <c r="D86" s="41">
        <f>0</f>
        <v>0</v>
      </c>
      <c r="E86" s="41">
        <f>0</f>
        <v>0</v>
      </c>
      <c r="F86" s="42">
        <f>0</f>
        <v>0</v>
      </c>
      <c r="G86" s="43">
        <f>0</f>
        <v>0</v>
      </c>
      <c r="H86" s="44">
        <f>0</f>
        <v>0</v>
      </c>
      <c r="I86" s="44">
        <f>0</f>
        <v>0</v>
      </c>
      <c r="J86" s="44">
        <f>0</f>
        <v>0</v>
      </c>
      <c r="K86" s="44">
        <f>0</f>
        <v>0</v>
      </c>
      <c r="L86" s="44">
        <f>0</f>
        <v>0</v>
      </c>
      <c r="M86" s="44">
        <f>0</f>
        <v>0</v>
      </c>
      <c r="N86" s="44">
        <f>0</f>
        <v>0</v>
      </c>
      <c r="O86" s="44">
        <f>0</f>
        <v>0</v>
      </c>
      <c r="P86" s="44">
        <f>0</f>
        <v>0</v>
      </c>
      <c r="Q86" s="44">
        <f>0</f>
        <v>0</v>
      </c>
      <c r="R86" s="44">
        <f>0</f>
        <v>0</v>
      </c>
      <c r="S86" s="44">
        <f>0</f>
        <v>0</v>
      </c>
      <c r="T86" s="44">
        <f>0</f>
        <v>0</v>
      </c>
      <c r="U86" s="44">
        <f>0</f>
        <v>0</v>
      </c>
    </row>
    <row r="87" spans="1:22" ht="101.25" customHeight="1">
      <c r="A87" s="38" t="s">
        <v>201</v>
      </c>
      <c r="B87" s="39" t="s">
        <v>202</v>
      </c>
      <c r="C87" s="40">
        <f>0</f>
        <v>0</v>
      </c>
      <c r="D87" s="41">
        <f>0</f>
        <v>0</v>
      </c>
      <c r="E87" s="41">
        <f>0</f>
        <v>0</v>
      </c>
      <c r="F87" s="42">
        <f>0</f>
        <v>0</v>
      </c>
      <c r="G87" s="43">
        <f>0</f>
        <v>0</v>
      </c>
      <c r="H87" s="44">
        <f>0</f>
        <v>0</v>
      </c>
      <c r="I87" s="44">
        <f>0</f>
        <v>0</v>
      </c>
      <c r="J87" s="44">
        <f>0</f>
        <v>0</v>
      </c>
      <c r="K87" s="44">
        <f>0</f>
        <v>0</v>
      </c>
      <c r="L87" s="44">
        <f>0</f>
        <v>0</v>
      </c>
      <c r="M87" s="44">
        <f>0</f>
        <v>0</v>
      </c>
      <c r="N87" s="44">
        <f>0</f>
        <v>0</v>
      </c>
      <c r="O87" s="44">
        <f>0</f>
        <v>0</v>
      </c>
      <c r="P87" s="44">
        <f>0</f>
        <v>0</v>
      </c>
      <c r="Q87" s="44">
        <f>0</f>
        <v>0</v>
      </c>
      <c r="R87" s="44">
        <f>0</f>
        <v>0</v>
      </c>
      <c r="S87" s="44">
        <f>0</f>
        <v>0</v>
      </c>
      <c r="T87" s="44">
        <f>0</f>
        <v>0</v>
      </c>
      <c r="U87" s="44">
        <f>0</f>
        <v>0</v>
      </c>
    </row>
    <row r="88" spans="1:22" ht="36">
      <c r="A88" s="38" t="s">
        <v>203</v>
      </c>
      <c r="B88" s="39" t="s">
        <v>194</v>
      </c>
      <c r="C88" s="40">
        <f>0</f>
        <v>0</v>
      </c>
      <c r="D88" s="41">
        <f>0</f>
        <v>0</v>
      </c>
      <c r="E88" s="41">
        <f>0</f>
        <v>0</v>
      </c>
      <c r="F88" s="42">
        <f>0</f>
        <v>0</v>
      </c>
      <c r="G88" s="43">
        <f>0</f>
        <v>0</v>
      </c>
      <c r="H88" s="44">
        <f>0</f>
        <v>0</v>
      </c>
      <c r="I88" s="44">
        <f>0</f>
        <v>0</v>
      </c>
      <c r="J88" s="44">
        <f>0</f>
        <v>0</v>
      </c>
      <c r="K88" s="44">
        <f>0</f>
        <v>0</v>
      </c>
      <c r="L88" s="44">
        <f>0</f>
        <v>0</v>
      </c>
      <c r="M88" s="44">
        <f>0</f>
        <v>0</v>
      </c>
      <c r="N88" s="44">
        <f>0</f>
        <v>0</v>
      </c>
      <c r="O88" s="44">
        <f>0</f>
        <v>0</v>
      </c>
      <c r="P88" s="44">
        <f>0</f>
        <v>0</v>
      </c>
      <c r="Q88" s="44">
        <f>0</f>
        <v>0</v>
      </c>
      <c r="R88" s="44">
        <f>0</f>
        <v>0</v>
      </c>
      <c r="S88" s="44">
        <f>0</f>
        <v>0</v>
      </c>
      <c r="T88" s="44">
        <f>0</f>
        <v>0</v>
      </c>
      <c r="U88" s="44">
        <f>0</f>
        <v>0</v>
      </c>
    </row>
    <row r="89" spans="1:22" ht="64.5" customHeight="1">
      <c r="A89" s="31">
        <v>13</v>
      </c>
      <c r="B89" s="32" t="s">
        <v>204</v>
      </c>
      <c r="C89" s="45" t="s">
        <v>123</v>
      </c>
      <c r="D89" s="46" t="s">
        <v>123</v>
      </c>
      <c r="E89" s="46" t="s">
        <v>123</v>
      </c>
      <c r="F89" s="47" t="s">
        <v>123</v>
      </c>
      <c r="G89" s="48" t="s">
        <v>123</v>
      </c>
      <c r="H89" s="49" t="s">
        <v>123</v>
      </c>
      <c r="I89" s="49" t="s">
        <v>123</v>
      </c>
      <c r="J89" s="49" t="s">
        <v>123</v>
      </c>
      <c r="K89" s="49" t="s">
        <v>123</v>
      </c>
      <c r="L89" s="49" t="s">
        <v>123</v>
      </c>
      <c r="M89" s="49" t="s">
        <v>123</v>
      </c>
      <c r="N89" s="49" t="s">
        <v>123</v>
      </c>
      <c r="O89" s="49" t="s">
        <v>123</v>
      </c>
      <c r="P89" s="49" t="s">
        <v>123</v>
      </c>
      <c r="Q89" s="49" t="s">
        <v>123</v>
      </c>
      <c r="R89" s="49" t="s">
        <v>123</v>
      </c>
      <c r="S89" s="49" t="s">
        <v>123</v>
      </c>
      <c r="T89" s="49" t="s">
        <v>123</v>
      </c>
      <c r="U89" s="49" t="s">
        <v>123</v>
      </c>
      <c r="V89" s="112"/>
    </row>
    <row r="90" spans="1:22" ht="74.25" customHeight="1">
      <c r="A90" s="38" t="s">
        <v>205</v>
      </c>
      <c r="B90" s="39" t="s">
        <v>206</v>
      </c>
      <c r="C90" s="40">
        <f>6162076.32</f>
        <v>6162076.3200000003</v>
      </c>
      <c r="D90" s="41">
        <f>3928571.45</f>
        <v>3928571.45</v>
      </c>
      <c r="E90" s="41">
        <f>3273810</f>
        <v>3273810</v>
      </c>
      <c r="F90" s="42">
        <f>3273809.57</f>
        <v>3273809.57</v>
      </c>
      <c r="G90" s="43">
        <f>2619048</f>
        <v>2619048</v>
      </c>
      <c r="H90" s="44">
        <f>1964286</f>
        <v>1964286</v>
      </c>
      <c r="I90" s="44">
        <f>1309524</f>
        <v>1309524</v>
      </c>
      <c r="J90" s="44">
        <f>654762</f>
        <v>654762</v>
      </c>
      <c r="K90" s="44">
        <f>0</f>
        <v>0</v>
      </c>
      <c r="L90" s="44">
        <f>0</f>
        <v>0</v>
      </c>
      <c r="M90" s="44">
        <f>0</f>
        <v>0</v>
      </c>
      <c r="N90" s="44">
        <f>0</f>
        <v>0</v>
      </c>
      <c r="O90" s="44">
        <f>0</f>
        <v>0</v>
      </c>
      <c r="P90" s="44">
        <f>0</f>
        <v>0</v>
      </c>
      <c r="Q90" s="44">
        <f>0</f>
        <v>0</v>
      </c>
      <c r="R90" s="44">
        <f>0</f>
        <v>0</v>
      </c>
      <c r="S90" s="44">
        <f>0</f>
        <v>0</v>
      </c>
      <c r="T90" s="44">
        <f>0</f>
        <v>0</v>
      </c>
      <c r="U90" s="44">
        <f>0</f>
        <v>0</v>
      </c>
    </row>
    <row r="91" spans="1:22" ht="72">
      <c r="A91" s="38" t="s">
        <v>207</v>
      </c>
      <c r="B91" s="39" t="s">
        <v>208</v>
      </c>
      <c r="C91" s="40">
        <f>70033.37</f>
        <v>70033.37</v>
      </c>
      <c r="D91" s="41">
        <f>0</f>
        <v>0</v>
      </c>
      <c r="E91" s="41">
        <f>0</f>
        <v>0</v>
      </c>
      <c r="F91" s="42">
        <f>0</f>
        <v>0</v>
      </c>
      <c r="G91" s="43">
        <f>0</f>
        <v>0</v>
      </c>
      <c r="H91" s="44">
        <f>0</f>
        <v>0</v>
      </c>
      <c r="I91" s="44">
        <f>0</f>
        <v>0</v>
      </c>
      <c r="J91" s="44">
        <f>0</f>
        <v>0</v>
      </c>
      <c r="K91" s="44">
        <f>0</f>
        <v>0</v>
      </c>
      <c r="L91" s="44">
        <f>0</f>
        <v>0</v>
      </c>
      <c r="M91" s="44">
        <f>0</f>
        <v>0</v>
      </c>
      <c r="N91" s="44">
        <f>0</f>
        <v>0</v>
      </c>
      <c r="O91" s="44">
        <f>0</f>
        <v>0</v>
      </c>
      <c r="P91" s="44">
        <f>0</f>
        <v>0</v>
      </c>
      <c r="Q91" s="44">
        <f>0</f>
        <v>0</v>
      </c>
      <c r="R91" s="44">
        <f>0</f>
        <v>0</v>
      </c>
      <c r="S91" s="44">
        <f>0</f>
        <v>0</v>
      </c>
      <c r="T91" s="44">
        <f>0</f>
        <v>0</v>
      </c>
      <c r="U91" s="44">
        <f>0</f>
        <v>0</v>
      </c>
    </row>
    <row r="92" spans="1:22" ht="42.75" customHeight="1">
      <c r="A92" s="38" t="s">
        <v>209</v>
      </c>
      <c r="B92" s="39" t="s">
        <v>210</v>
      </c>
      <c r="C92" s="40">
        <f>0</f>
        <v>0</v>
      </c>
      <c r="D92" s="41">
        <f>0</f>
        <v>0</v>
      </c>
      <c r="E92" s="41">
        <f>0</f>
        <v>0</v>
      </c>
      <c r="F92" s="42">
        <f>0</f>
        <v>0</v>
      </c>
      <c r="G92" s="43">
        <f>0</f>
        <v>0</v>
      </c>
      <c r="H92" s="44">
        <f>0</f>
        <v>0</v>
      </c>
      <c r="I92" s="44">
        <f>0</f>
        <v>0</v>
      </c>
      <c r="J92" s="44">
        <f>0</f>
        <v>0</v>
      </c>
      <c r="K92" s="44">
        <f>0</f>
        <v>0</v>
      </c>
      <c r="L92" s="44">
        <f>0</f>
        <v>0</v>
      </c>
      <c r="M92" s="44">
        <f>0</f>
        <v>0</v>
      </c>
      <c r="N92" s="44">
        <f>0</f>
        <v>0</v>
      </c>
      <c r="O92" s="44">
        <f>0</f>
        <v>0</v>
      </c>
      <c r="P92" s="44">
        <f>0</f>
        <v>0</v>
      </c>
      <c r="Q92" s="44">
        <f>0</f>
        <v>0</v>
      </c>
      <c r="R92" s="44">
        <f>0</f>
        <v>0</v>
      </c>
      <c r="S92" s="44">
        <f>0</f>
        <v>0</v>
      </c>
      <c r="T92" s="44">
        <f>0</f>
        <v>0</v>
      </c>
      <c r="U92" s="44">
        <f>0</f>
        <v>0</v>
      </c>
    </row>
    <row r="93" spans="1:22" ht="72">
      <c r="A93" s="38" t="s">
        <v>211</v>
      </c>
      <c r="B93" s="39" t="s">
        <v>212</v>
      </c>
      <c r="C93" s="40">
        <f>1120959.84</f>
        <v>1120959.8400000001</v>
      </c>
      <c r="D93" s="41">
        <f>2233504.87</f>
        <v>2233504.87</v>
      </c>
      <c r="E93" s="41">
        <f>654762</f>
        <v>654762</v>
      </c>
      <c r="F93" s="42">
        <f>654761.88</f>
        <v>654761.88</v>
      </c>
      <c r="G93" s="43">
        <f>654762</f>
        <v>654762</v>
      </c>
      <c r="H93" s="44">
        <f>654762</f>
        <v>654762</v>
      </c>
      <c r="I93" s="44">
        <f>654762</f>
        <v>654762</v>
      </c>
      <c r="J93" s="44">
        <f>654762</f>
        <v>654762</v>
      </c>
      <c r="K93" s="44">
        <f>654762</f>
        <v>654762</v>
      </c>
      <c r="L93" s="44">
        <f>0</f>
        <v>0</v>
      </c>
      <c r="M93" s="44">
        <f>0</f>
        <v>0</v>
      </c>
      <c r="N93" s="44">
        <f>0</f>
        <v>0</v>
      </c>
      <c r="O93" s="44">
        <f>0</f>
        <v>0</v>
      </c>
      <c r="P93" s="44">
        <f>0</f>
        <v>0</v>
      </c>
      <c r="Q93" s="44">
        <f>0</f>
        <v>0</v>
      </c>
      <c r="R93" s="44">
        <f>0</f>
        <v>0</v>
      </c>
      <c r="S93" s="44">
        <f>0</f>
        <v>0</v>
      </c>
      <c r="T93" s="44">
        <f>0</f>
        <v>0</v>
      </c>
      <c r="U93" s="44">
        <f>0</f>
        <v>0</v>
      </c>
    </row>
    <row r="94" spans="1:22" ht="68.25" customHeight="1">
      <c r="A94" s="38" t="s">
        <v>213</v>
      </c>
      <c r="B94" s="39" t="s">
        <v>214</v>
      </c>
      <c r="C94" s="40">
        <f>0</f>
        <v>0</v>
      </c>
      <c r="D94" s="41">
        <f>0</f>
        <v>0</v>
      </c>
      <c r="E94" s="41">
        <f>0</f>
        <v>0</v>
      </c>
      <c r="F94" s="42">
        <f>0</f>
        <v>0</v>
      </c>
      <c r="G94" s="43">
        <f>0</f>
        <v>0</v>
      </c>
      <c r="H94" s="44">
        <f>0</f>
        <v>0</v>
      </c>
      <c r="I94" s="44">
        <f>0</f>
        <v>0</v>
      </c>
      <c r="J94" s="44">
        <f>0</f>
        <v>0</v>
      </c>
      <c r="K94" s="44">
        <f>0</f>
        <v>0</v>
      </c>
      <c r="L94" s="44">
        <f>0</f>
        <v>0</v>
      </c>
      <c r="M94" s="44">
        <f>0</f>
        <v>0</v>
      </c>
      <c r="N94" s="44">
        <f>0</f>
        <v>0</v>
      </c>
      <c r="O94" s="44">
        <f>0</f>
        <v>0</v>
      </c>
      <c r="P94" s="44">
        <f>0</f>
        <v>0</v>
      </c>
      <c r="Q94" s="44">
        <f>0</f>
        <v>0</v>
      </c>
      <c r="R94" s="44">
        <f>0</f>
        <v>0</v>
      </c>
      <c r="S94" s="44">
        <f>0</f>
        <v>0</v>
      </c>
      <c r="T94" s="44">
        <f>0</f>
        <v>0</v>
      </c>
      <c r="U94" s="44">
        <f>0</f>
        <v>0</v>
      </c>
    </row>
    <row r="95" spans="1:22" ht="66.75" customHeight="1">
      <c r="A95" s="38" t="s">
        <v>215</v>
      </c>
      <c r="B95" s="39" t="s">
        <v>216</v>
      </c>
      <c r="C95" s="40">
        <f>0</f>
        <v>0</v>
      </c>
      <c r="D95" s="41">
        <f>0</f>
        <v>0</v>
      </c>
      <c r="E95" s="41">
        <f>0</f>
        <v>0</v>
      </c>
      <c r="F95" s="42">
        <f>0</f>
        <v>0</v>
      </c>
      <c r="G95" s="43">
        <f>0</f>
        <v>0</v>
      </c>
      <c r="H95" s="44">
        <f>0</f>
        <v>0</v>
      </c>
      <c r="I95" s="44">
        <f>0</f>
        <v>0</v>
      </c>
      <c r="J95" s="44">
        <f>0</f>
        <v>0</v>
      </c>
      <c r="K95" s="44">
        <f>0</f>
        <v>0</v>
      </c>
      <c r="L95" s="44">
        <f>0</f>
        <v>0</v>
      </c>
      <c r="M95" s="44">
        <f>0</f>
        <v>0</v>
      </c>
      <c r="N95" s="44">
        <f>0</f>
        <v>0</v>
      </c>
      <c r="O95" s="44">
        <f>0</f>
        <v>0</v>
      </c>
      <c r="P95" s="44">
        <f>0</f>
        <v>0</v>
      </c>
      <c r="Q95" s="44">
        <f>0</f>
        <v>0</v>
      </c>
      <c r="R95" s="44">
        <f>0</f>
        <v>0</v>
      </c>
      <c r="S95" s="44">
        <f>0</f>
        <v>0</v>
      </c>
      <c r="T95" s="44">
        <f>0</f>
        <v>0</v>
      </c>
      <c r="U95" s="44">
        <f>0</f>
        <v>0</v>
      </c>
    </row>
    <row r="96" spans="1:22" ht="43.5" customHeight="1">
      <c r="A96" s="38" t="s">
        <v>217</v>
      </c>
      <c r="B96" s="39" t="s">
        <v>218</v>
      </c>
      <c r="C96" s="40">
        <f>0</f>
        <v>0</v>
      </c>
      <c r="D96" s="41">
        <f>0</f>
        <v>0</v>
      </c>
      <c r="E96" s="41">
        <f>0</f>
        <v>0</v>
      </c>
      <c r="F96" s="42">
        <f>0</f>
        <v>0</v>
      </c>
      <c r="G96" s="43">
        <f>0</f>
        <v>0</v>
      </c>
      <c r="H96" s="44">
        <f>0</f>
        <v>0</v>
      </c>
      <c r="I96" s="44">
        <f>0</f>
        <v>0</v>
      </c>
      <c r="J96" s="44">
        <f>0</f>
        <v>0</v>
      </c>
      <c r="K96" s="44">
        <f>0</f>
        <v>0</v>
      </c>
      <c r="L96" s="44">
        <f>0</f>
        <v>0</v>
      </c>
      <c r="M96" s="44">
        <f>0</f>
        <v>0</v>
      </c>
      <c r="N96" s="44">
        <f>0</f>
        <v>0</v>
      </c>
      <c r="O96" s="44">
        <f>0</f>
        <v>0</v>
      </c>
      <c r="P96" s="44">
        <f>0</f>
        <v>0</v>
      </c>
      <c r="Q96" s="44">
        <f>0</f>
        <v>0</v>
      </c>
      <c r="R96" s="44">
        <f>0</f>
        <v>0</v>
      </c>
      <c r="S96" s="44">
        <f>0</f>
        <v>0</v>
      </c>
      <c r="T96" s="44">
        <f>0</f>
        <v>0</v>
      </c>
      <c r="U96" s="44">
        <f>0</f>
        <v>0</v>
      </c>
    </row>
    <row r="97" spans="1:22" ht="24">
      <c r="A97" s="31">
        <v>14</v>
      </c>
      <c r="B97" s="32" t="s">
        <v>219</v>
      </c>
      <c r="C97" s="45" t="s">
        <v>123</v>
      </c>
      <c r="D97" s="46" t="s">
        <v>123</v>
      </c>
      <c r="E97" s="46" t="s">
        <v>123</v>
      </c>
      <c r="F97" s="47" t="s">
        <v>123</v>
      </c>
      <c r="G97" s="48" t="s">
        <v>123</v>
      </c>
      <c r="H97" s="49" t="s">
        <v>123</v>
      </c>
      <c r="I97" s="49" t="s">
        <v>123</v>
      </c>
      <c r="J97" s="49" t="s">
        <v>123</v>
      </c>
      <c r="K97" s="49" t="s">
        <v>123</v>
      </c>
      <c r="L97" s="49" t="s">
        <v>123</v>
      </c>
      <c r="M97" s="49" t="s">
        <v>123</v>
      </c>
      <c r="N97" s="49" t="s">
        <v>123</v>
      </c>
      <c r="O97" s="49" t="s">
        <v>123</v>
      </c>
      <c r="P97" s="49" t="s">
        <v>123</v>
      </c>
      <c r="Q97" s="49" t="s">
        <v>123</v>
      </c>
      <c r="R97" s="49" t="s">
        <v>123</v>
      </c>
      <c r="S97" s="49" t="s">
        <v>123</v>
      </c>
      <c r="T97" s="49" t="s">
        <v>123</v>
      </c>
      <c r="U97" s="49" t="s">
        <v>123</v>
      </c>
      <c r="V97" s="112"/>
    </row>
    <row r="98" spans="1:22" ht="60">
      <c r="A98" s="38" t="s">
        <v>220</v>
      </c>
      <c r="B98" s="39" t="s">
        <v>221</v>
      </c>
      <c r="C98" s="40">
        <f>7051032</f>
        <v>7051032</v>
      </c>
      <c r="D98" s="41">
        <f>7257180.85</f>
        <v>7257180.8499999996</v>
      </c>
      <c r="E98" s="41">
        <f>7229323</f>
        <v>7229323</v>
      </c>
      <c r="F98" s="42">
        <f>7229323</f>
        <v>7229323</v>
      </c>
      <c r="G98" s="43">
        <f>6677276</f>
        <v>6677276</v>
      </c>
      <c r="H98" s="44">
        <f>6510929</f>
        <v>6510929</v>
      </c>
      <c r="I98" s="44">
        <f>5388276</f>
        <v>5388276</v>
      </c>
      <c r="J98" s="44">
        <f>4414612</f>
        <v>4414612</v>
      </c>
      <c r="K98" s="44">
        <f>3342000</f>
        <v>3342000</v>
      </c>
      <c r="L98" s="44">
        <f>3442000</f>
        <v>3442000</v>
      </c>
      <c r="M98" s="44">
        <f>2692000</f>
        <v>2692000</v>
      </c>
      <c r="N98" s="44">
        <f>2692000</f>
        <v>2692000</v>
      </c>
      <c r="O98" s="44">
        <f>2692000</f>
        <v>2692000</v>
      </c>
      <c r="P98" s="44">
        <f>1900000</f>
        <v>1900000</v>
      </c>
      <c r="Q98" s="44">
        <f>1900000</f>
        <v>1900000</v>
      </c>
      <c r="R98" s="44">
        <f>1900000</f>
        <v>1900000</v>
      </c>
      <c r="S98" s="44">
        <f>400000</f>
        <v>400000</v>
      </c>
      <c r="T98" s="44">
        <f>400000</f>
        <v>400000</v>
      </c>
      <c r="U98" s="44">
        <f>400000</f>
        <v>400000</v>
      </c>
    </row>
    <row r="99" spans="1:22" ht="29.25" customHeight="1">
      <c r="A99" s="38" t="s">
        <v>222</v>
      </c>
      <c r="B99" s="39" t="s">
        <v>223</v>
      </c>
      <c r="C99" s="40">
        <f>6162076.32</f>
        <v>6162076.3200000003</v>
      </c>
      <c r="D99" s="41">
        <f>3928571.45</f>
        <v>3928571.45</v>
      </c>
      <c r="E99" s="41">
        <f>3273810</f>
        <v>3273810</v>
      </c>
      <c r="F99" s="42">
        <f>3273809.57</f>
        <v>3273809.57</v>
      </c>
      <c r="G99" s="43">
        <f>2619048</f>
        <v>2619048</v>
      </c>
      <c r="H99" s="44">
        <f>1964286</f>
        <v>1964286</v>
      </c>
      <c r="I99" s="44">
        <f>1309524</f>
        <v>1309524</v>
      </c>
      <c r="J99" s="44">
        <f>654762</f>
        <v>654762</v>
      </c>
      <c r="K99" s="44">
        <f>0</f>
        <v>0</v>
      </c>
      <c r="L99" s="44">
        <f>0</f>
        <v>0</v>
      </c>
      <c r="M99" s="44">
        <f>0</f>
        <v>0</v>
      </c>
      <c r="N99" s="44">
        <f>0</f>
        <v>0</v>
      </c>
      <c r="O99" s="44">
        <f>0</f>
        <v>0</v>
      </c>
      <c r="P99" s="44">
        <f>0</f>
        <v>0</v>
      </c>
      <c r="Q99" s="44">
        <f>0</f>
        <v>0</v>
      </c>
      <c r="R99" s="44">
        <f>0</f>
        <v>0</v>
      </c>
      <c r="S99" s="44">
        <f>0</f>
        <v>0</v>
      </c>
      <c r="T99" s="44">
        <f>0</f>
        <v>0</v>
      </c>
      <c r="U99" s="44">
        <f>0</f>
        <v>0</v>
      </c>
    </row>
    <row r="100" spans="1:22" ht="17.25" customHeight="1">
      <c r="A100" s="38" t="s">
        <v>224</v>
      </c>
      <c r="B100" s="39" t="s">
        <v>225</v>
      </c>
      <c r="C100" s="40">
        <f>1120959.84</f>
        <v>1120959.8400000001</v>
      </c>
      <c r="D100" s="41">
        <f>2233504.87</f>
        <v>2233504.87</v>
      </c>
      <c r="E100" s="41">
        <f>654762</f>
        <v>654762</v>
      </c>
      <c r="F100" s="42">
        <f>654761.88</f>
        <v>654761.88</v>
      </c>
      <c r="G100" s="43">
        <f>654762</f>
        <v>654762</v>
      </c>
      <c r="H100" s="44">
        <f>654762</f>
        <v>654762</v>
      </c>
      <c r="I100" s="44">
        <f>654762</f>
        <v>654762</v>
      </c>
      <c r="J100" s="44">
        <f>654762</f>
        <v>654762</v>
      </c>
      <c r="K100" s="44">
        <f>654762</f>
        <v>654762</v>
      </c>
      <c r="L100" s="44">
        <f>0</f>
        <v>0</v>
      </c>
      <c r="M100" s="44">
        <f>0</f>
        <v>0</v>
      </c>
      <c r="N100" s="44">
        <f>0</f>
        <v>0</v>
      </c>
      <c r="O100" s="44">
        <f>0</f>
        <v>0</v>
      </c>
      <c r="P100" s="44">
        <f>0</f>
        <v>0</v>
      </c>
      <c r="Q100" s="44">
        <f>0</f>
        <v>0</v>
      </c>
      <c r="R100" s="44">
        <f>0</f>
        <v>0</v>
      </c>
      <c r="S100" s="44">
        <f>0</f>
        <v>0</v>
      </c>
      <c r="T100" s="44">
        <f>0</f>
        <v>0</v>
      </c>
      <c r="U100" s="44">
        <f>0</f>
        <v>0</v>
      </c>
    </row>
    <row r="101" spans="1:22" ht="30" customHeight="1">
      <c r="A101" s="38" t="s">
        <v>226</v>
      </c>
      <c r="B101" s="39" t="s">
        <v>227</v>
      </c>
      <c r="C101" s="40">
        <f>0</f>
        <v>0</v>
      </c>
      <c r="D101" s="41">
        <f>0</f>
        <v>0</v>
      </c>
      <c r="E101" s="41">
        <f>0</f>
        <v>0</v>
      </c>
      <c r="F101" s="42">
        <f>0</f>
        <v>0</v>
      </c>
      <c r="G101" s="43">
        <f>0</f>
        <v>0</v>
      </c>
      <c r="H101" s="44">
        <f>0</f>
        <v>0</v>
      </c>
      <c r="I101" s="44">
        <f>0</f>
        <v>0</v>
      </c>
      <c r="J101" s="44">
        <f>0</f>
        <v>0</v>
      </c>
      <c r="K101" s="44">
        <f>0</f>
        <v>0</v>
      </c>
      <c r="L101" s="44">
        <f>0</f>
        <v>0</v>
      </c>
      <c r="M101" s="44">
        <f>0</f>
        <v>0</v>
      </c>
      <c r="N101" s="44">
        <f>0</f>
        <v>0</v>
      </c>
      <c r="O101" s="44">
        <f>0</f>
        <v>0</v>
      </c>
      <c r="P101" s="44">
        <f>0</f>
        <v>0</v>
      </c>
      <c r="Q101" s="44">
        <f>0</f>
        <v>0</v>
      </c>
      <c r="R101" s="44">
        <f>0</f>
        <v>0</v>
      </c>
      <c r="S101" s="44">
        <f>0</f>
        <v>0</v>
      </c>
      <c r="T101" s="44">
        <f>0</f>
        <v>0</v>
      </c>
      <c r="U101" s="44">
        <f>0</f>
        <v>0</v>
      </c>
    </row>
    <row r="102" spans="1:22" ht="42" customHeight="1">
      <c r="A102" s="38" t="s">
        <v>228</v>
      </c>
      <c r="B102" s="39" t="s">
        <v>229</v>
      </c>
      <c r="C102" s="40">
        <f>1120959.84</f>
        <v>1120959.8400000001</v>
      </c>
      <c r="D102" s="41">
        <f>2233504.87</f>
        <v>2233504.87</v>
      </c>
      <c r="E102" s="41">
        <f>654762</f>
        <v>654762</v>
      </c>
      <c r="F102" s="42">
        <f>654761.88</f>
        <v>654761.88</v>
      </c>
      <c r="G102" s="43">
        <f>654762</f>
        <v>654762</v>
      </c>
      <c r="H102" s="44">
        <f>654762</f>
        <v>654762</v>
      </c>
      <c r="I102" s="44">
        <f>654762</f>
        <v>654762</v>
      </c>
      <c r="J102" s="44">
        <f>654762</f>
        <v>654762</v>
      </c>
      <c r="K102" s="44">
        <f>654762</f>
        <v>654762</v>
      </c>
      <c r="L102" s="44">
        <f>0</f>
        <v>0</v>
      </c>
      <c r="M102" s="44">
        <f>0</f>
        <v>0</v>
      </c>
      <c r="N102" s="44">
        <f>0</f>
        <v>0</v>
      </c>
      <c r="O102" s="44">
        <f>0</f>
        <v>0</v>
      </c>
      <c r="P102" s="44">
        <f>0</f>
        <v>0</v>
      </c>
      <c r="Q102" s="44">
        <f>0</f>
        <v>0</v>
      </c>
      <c r="R102" s="44">
        <f>0</f>
        <v>0</v>
      </c>
      <c r="S102" s="44">
        <f>0</f>
        <v>0</v>
      </c>
      <c r="T102" s="44">
        <f>0</f>
        <v>0</v>
      </c>
      <c r="U102" s="44">
        <f>0</f>
        <v>0</v>
      </c>
    </row>
    <row r="103" spans="1:22" ht="29.25" customHeight="1">
      <c r="A103" s="38" t="s">
        <v>230</v>
      </c>
      <c r="B103" s="39" t="s">
        <v>231</v>
      </c>
      <c r="C103" s="40">
        <f>0</f>
        <v>0</v>
      </c>
      <c r="D103" s="41">
        <f>0</f>
        <v>0</v>
      </c>
      <c r="E103" s="41">
        <f>0</f>
        <v>0</v>
      </c>
      <c r="F103" s="42">
        <f>0</f>
        <v>0</v>
      </c>
      <c r="G103" s="43">
        <f>0</f>
        <v>0</v>
      </c>
      <c r="H103" s="44">
        <f>0</f>
        <v>0</v>
      </c>
      <c r="I103" s="44">
        <f>0</f>
        <v>0</v>
      </c>
      <c r="J103" s="44">
        <f>0</f>
        <v>0</v>
      </c>
      <c r="K103" s="44">
        <f>0</f>
        <v>0</v>
      </c>
      <c r="L103" s="44">
        <f>0</f>
        <v>0</v>
      </c>
      <c r="M103" s="44">
        <f>0</f>
        <v>0</v>
      </c>
      <c r="N103" s="44">
        <f>0</f>
        <v>0</v>
      </c>
      <c r="O103" s="44">
        <f>0</f>
        <v>0</v>
      </c>
      <c r="P103" s="44">
        <f>0</f>
        <v>0</v>
      </c>
      <c r="Q103" s="44">
        <f>0</f>
        <v>0</v>
      </c>
      <c r="R103" s="44">
        <f>0</f>
        <v>0</v>
      </c>
      <c r="S103" s="44">
        <f>0</f>
        <v>0</v>
      </c>
      <c r="T103" s="44">
        <f>0</f>
        <v>0</v>
      </c>
      <c r="U103" s="44">
        <f>0</f>
        <v>0</v>
      </c>
    </row>
    <row r="104" spans="1:22" ht="43.5" customHeight="1">
      <c r="A104" s="59" t="s">
        <v>232</v>
      </c>
      <c r="B104" s="60" t="s">
        <v>233</v>
      </c>
      <c r="C104" s="61">
        <f>-9441.02</f>
        <v>-9441.02</v>
      </c>
      <c r="D104" s="62">
        <f>-71682.92</f>
        <v>-71682.92</v>
      </c>
      <c r="E104" s="62">
        <f>0</f>
        <v>0</v>
      </c>
      <c r="F104" s="63">
        <f>0</f>
        <v>0</v>
      </c>
      <c r="G104" s="64">
        <f>0</f>
        <v>0</v>
      </c>
      <c r="H104" s="65">
        <f>0</f>
        <v>0</v>
      </c>
      <c r="I104" s="65">
        <f>0</f>
        <v>0</v>
      </c>
      <c r="J104" s="65">
        <f>0</f>
        <v>0</v>
      </c>
      <c r="K104" s="65">
        <f>0</f>
        <v>0</v>
      </c>
      <c r="L104" s="65">
        <f>0</f>
        <v>0</v>
      </c>
      <c r="M104" s="65">
        <f>0</f>
        <v>0</v>
      </c>
      <c r="N104" s="65">
        <f>0</f>
        <v>0</v>
      </c>
      <c r="O104" s="65">
        <f>0</f>
        <v>0</v>
      </c>
      <c r="P104" s="65">
        <f>0</f>
        <v>0</v>
      </c>
      <c r="Q104" s="65">
        <f>0</f>
        <v>0</v>
      </c>
      <c r="R104" s="65">
        <f>0</f>
        <v>0</v>
      </c>
      <c r="S104" s="65">
        <f>0</f>
        <v>0</v>
      </c>
      <c r="T104" s="65">
        <f>0</f>
        <v>0</v>
      </c>
      <c r="U104" s="65">
        <f>0</f>
        <v>0</v>
      </c>
    </row>
    <row r="105" spans="1:22" ht="24" hidden="1">
      <c r="A105" s="66">
        <v>15</v>
      </c>
      <c r="B105" s="67" t="s">
        <v>234</v>
      </c>
      <c r="C105" s="68" t="s">
        <v>123</v>
      </c>
      <c r="D105" s="69" t="s">
        <v>123</v>
      </c>
      <c r="E105" s="69" t="s">
        <v>123</v>
      </c>
      <c r="F105" s="70" t="s">
        <v>123</v>
      </c>
      <c r="G105" s="71" t="s">
        <v>123</v>
      </c>
      <c r="H105" s="72" t="s">
        <v>123</v>
      </c>
      <c r="I105" s="72" t="s">
        <v>123</v>
      </c>
      <c r="J105" s="72" t="s">
        <v>123</v>
      </c>
      <c r="K105" s="72" t="s">
        <v>123</v>
      </c>
      <c r="L105" s="72" t="s">
        <v>123</v>
      </c>
      <c r="M105" s="72" t="s">
        <v>123</v>
      </c>
      <c r="N105" s="72" t="s">
        <v>123</v>
      </c>
      <c r="O105" s="72" t="s">
        <v>123</v>
      </c>
      <c r="P105" s="72" t="s">
        <v>123</v>
      </c>
      <c r="Q105" s="72" t="s">
        <v>123</v>
      </c>
      <c r="R105" s="72" t="s">
        <v>123</v>
      </c>
      <c r="S105" s="72" t="s">
        <v>123</v>
      </c>
      <c r="T105" s="72" t="s">
        <v>123</v>
      </c>
      <c r="U105" s="72" t="s">
        <v>123</v>
      </c>
    </row>
    <row r="106" spans="1:22" ht="24" hidden="1">
      <c r="A106" s="73" t="s">
        <v>235</v>
      </c>
      <c r="B106" s="74" t="s">
        <v>236</v>
      </c>
      <c r="C106" s="75">
        <f>0</f>
        <v>0</v>
      </c>
      <c r="D106" s="76">
        <f>0</f>
        <v>0</v>
      </c>
      <c r="E106" s="76">
        <f>0</f>
        <v>0</v>
      </c>
      <c r="F106" s="77">
        <f>0</f>
        <v>0</v>
      </c>
      <c r="G106" s="78">
        <f>0</f>
        <v>0</v>
      </c>
      <c r="H106" s="79">
        <f>0</f>
        <v>0</v>
      </c>
      <c r="I106" s="79">
        <f>0</f>
        <v>0</v>
      </c>
      <c r="J106" s="79">
        <f>0</f>
        <v>0</v>
      </c>
      <c r="K106" s="79">
        <f>0</f>
        <v>0</v>
      </c>
      <c r="L106" s="79">
        <f>0</f>
        <v>0</v>
      </c>
      <c r="M106" s="79">
        <f>0</f>
        <v>0</v>
      </c>
      <c r="N106" s="79">
        <f>0</f>
        <v>0</v>
      </c>
      <c r="O106" s="79">
        <f>0</f>
        <v>0</v>
      </c>
      <c r="P106" s="79">
        <f>0</f>
        <v>0</v>
      </c>
      <c r="Q106" s="79">
        <f>0</f>
        <v>0</v>
      </c>
      <c r="R106" s="79">
        <f>0</f>
        <v>0</v>
      </c>
      <c r="S106" s="79">
        <f>0</f>
        <v>0</v>
      </c>
      <c r="T106" s="79">
        <f>0</f>
        <v>0</v>
      </c>
      <c r="U106" s="79">
        <f>0</f>
        <v>0</v>
      </c>
    </row>
    <row r="107" spans="1:22" ht="24" hidden="1">
      <c r="A107" s="38" t="s">
        <v>237</v>
      </c>
      <c r="B107" s="39" t="s">
        <v>238</v>
      </c>
      <c r="C107" s="40">
        <f>0</f>
        <v>0</v>
      </c>
      <c r="D107" s="41">
        <f>0</f>
        <v>0</v>
      </c>
      <c r="E107" s="41">
        <f>0</f>
        <v>0</v>
      </c>
      <c r="F107" s="42">
        <f>0</f>
        <v>0</v>
      </c>
      <c r="G107" s="43">
        <f>0</f>
        <v>0</v>
      </c>
      <c r="H107" s="44">
        <f>0</f>
        <v>0</v>
      </c>
      <c r="I107" s="44">
        <f>0</f>
        <v>0</v>
      </c>
      <c r="J107" s="44">
        <f>0</f>
        <v>0</v>
      </c>
      <c r="K107" s="44">
        <f>0</f>
        <v>0</v>
      </c>
      <c r="L107" s="44">
        <f>0</f>
        <v>0</v>
      </c>
      <c r="M107" s="44">
        <f>0</f>
        <v>0</v>
      </c>
      <c r="N107" s="44">
        <f>0</f>
        <v>0</v>
      </c>
      <c r="O107" s="44">
        <f>0</f>
        <v>0</v>
      </c>
      <c r="P107" s="44">
        <f>0</f>
        <v>0</v>
      </c>
      <c r="Q107" s="44">
        <f>0</f>
        <v>0</v>
      </c>
      <c r="R107" s="44">
        <f>0</f>
        <v>0</v>
      </c>
      <c r="S107" s="44">
        <f>0</f>
        <v>0</v>
      </c>
      <c r="T107" s="44">
        <f>0</f>
        <v>0</v>
      </c>
      <c r="U107" s="44">
        <f>0</f>
        <v>0</v>
      </c>
    </row>
    <row r="108" spans="1:22" ht="60" hidden="1">
      <c r="A108" s="80" t="s">
        <v>239</v>
      </c>
      <c r="B108" s="81" t="s">
        <v>240</v>
      </c>
      <c r="C108" s="82">
        <f>0</f>
        <v>0</v>
      </c>
      <c r="D108" s="83">
        <f>0</f>
        <v>0</v>
      </c>
      <c r="E108" s="83">
        <f>0</f>
        <v>0</v>
      </c>
      <c r="F108" s="84">
        <f>0</f>
        <v>0</v>
      </c>
      <c r="G108" s="85">
        <f>0</f>
        <v>0</v>
      </c>
      <c r="H108" s="86">
        <f>0</f>
        <v>0</v>
      </c>
      <c r="I108" s="86">
        <f>0</f>
        <v>0</v>
      </c>
      <c r="J108" s="86">
        <f>0</f>
        <v>0</v>
      </c>
      <c r="K108" s="86">
        <f>0</f>
        <v>0</v>
      </c>
      <c r="L108" s="86">
        <f>0</f>
        <v>0</v>
      </c>
      <c r="M108" s="86">
        <f>0</f>
        <v>0</v>
      </c>
      <c r="N108" s="86">
        <f>0</f>
        <v>0</v>
      </c>
      <c r="O108" s="86">
        <f>0</f>
        <v>0</v>
      </c>
      <c r="P108" s="86">
        <f>0</f>
        <v>0</v>
      </c>
      <c r="Q108" s="86">
        <f>0</f>
        <v>0</v>
      </c>
      <c r="R108" s="86">
        <f>0</f>
        <v>0</v>
      </c>
      <c r="S108" s="86">
        <f>0</f>
        <v>0</v>
      </c>
      <c r="T108" s="86">
        <f>0</f>
        <v>0</v>
      </c>
      <c r="U108" s="86">
        <f>0</f>
        <v>0</v>
      </c>
    </row>
    <row r="109" spans="1:22" ht="48" hidden="1">
      <c r="A109" s="87">
        <v>16</v>
      </c>
      <c r="B109" s="88" t="s">
        <v>241</v>
      </c>
      <c r="C109" s="68" t="s">
        <v>123</v>
      </c>
      <c r="D109" s="69" t="s">
        <v>123</v>
      </c>
      <c r="E109" s="69" t="s">
        <v>123</v>
      </c>
      <c r="F109" s="70" t="s">
        <v>123</v>
      </c>
      <c r="G109" s="71" t="s">
        <v>123</v>
      </c>
      <c r="H109" s="71" t="s">
        <v>123</v>
      </c>
      <c r="I109" s="71" t="s">
        <v>123</v>
      </c>
      <c r="J109" s="71" t="s">
        <v>123</v>
      </c>
      <c r="K109" s="71" t="s">
        <v>123</v>
      </c>
      <c r="L109" s="71" t="s">
        <v>123</v>
      </c>
      <c r="M109" s="71" t="s">
        <v>123</v>
      </c>
      <c r="N109" s="71" t="s">
        <v>123</v>
      </c>
      <c r="O109" s="71" t="s">
        <v>123</v>
      </c>
      <c r="P109" s="71" t="s">
        <v>123</v>
      </c>
      <c r="Q109" s="71" t="s">
        <v>123</v>
      </c>
      <c r="R109" s="71" t="s">
        <v>123</v>
      </c>
      <c r="S109" s="71" t="s">
        <v>123</v>
      </c>
      <c r="T109" s="71" t="s">
        <v>123</v>
      </c>
      <c r="U109" s="71" t="s">
        <v>123</v>
      </c>
    </row>
    <row r="110" spans="1:22" ht="36" hidden="1">
      <c r="A110" s="89" t="s">
        <v>242</v>
      </c>
      <c r="B110" s="90" t="s">
        <v>243</v>
      </c>
      <c r="C110" s="91" t="s">
        <v>123</v>
      </c>
      <c r="D110" s="92" t="s">
        <v>123</v>
      </c>
      <c r="E110" s="92" t="s">
        <v>123</v>
      </c>
      <c r="F110" s="93" t="s">
        <v>123</v>
      </c>
      <c r="G110" s="78" t="str">
        <f>+IF(G46&lt;0,G46,"")</f>
        <v/>
      </c>
      <c r="H110" s="78" t="str">
        <f t="shared" ref="H110:U110" si="11">+IF(H46&lt;0,H46,"")</f>
        <v/>
      </c>
      <c r="I110" s="78" t="str">
        <f t="shared" si="11"/>
        <v/>
      </c>
      <c r="J110" s="78" t="str">
        <f t="shared" si="11"/>
        <v/>
      </c>
      <c r="K110" s="78" t="str">
        <f t="shared" si="11"/>
        <v/>
      </c>
      <c r="L110" s="78" t="str">
        <f t="shared" si="11"/>
        <v/>
      </c>
      <c r="M110" s="78" t="str">
        <f t="shared" si="11"/>
        <v/>
      </c>
      <c r="N110" s="78" t="str">
        <f t="shared" si="11"/>
        <v/>
      </c>
      <c r="O110" s="78" t="str">
        <f t="shared" si="11"/>
        <v/>
      </c>
      <c r="P110" s="78" t="str">
        <f t="shared" si="11"/>
        <v/>
      </c>
      <c r="Q110" s="78" t="str">
        <f t="shared" si="11"/>
        <v/>
      </c>
      <c r="R110" s="78" t="str">
        <f t="shared" si="11"/>
        <v/>
      </c>
      <c r="S110" s="78" t="str">
        <f t="shared" si="11"/>
        <v/>
      </c>
      <c r="T110" s="78" t="str">
        <f t="shared" si="11"/>
        <v/>
      </c>
      <c r="U110" s="78" t="str">
        <f t="shared" si="11"/>
        <v/>
      </c>
    </row>
    <row r="111" spans="1:22" ht="36" hidden="1">
      <c r="A111" s="94" t="s">
        <v>244</v>
      </c>
      <c r="B111" s="95" t="s">
        <v>245</v>
      </c>
      <c r="C111" s="96" t="s">
        <v>123</v>
      </c>
      <c r="D111" s="97" t="s">
        <v>123</v>
      </c>
      <c r="E111" s="97" t="s">
        <v>123</v>
      </c>
      <c r="F111" s="98" t="s">
        <v>123</v>
      </c>
      <c r="G111" s="99" t="str">
        <f>IF(G51&lt;=G53,"",G53- G51)</f>
        <v/>
      </c>
      <c r="H111" s="99" t="str">
        <f t="shared" ref="H111:U111" si="12">IF(H51&lt;=H53,"",H53- H51)</f>
        <v/>
      </c>
      <c r="I111" s="99" t="str">
        <f t="shared" si="12"/>
        <v/>
      </c>
      <c r="J111" s="99" t="str">
        <f t="shared" si="12"/>
        <v/>
      </c>
      <c r="K111" s="99" t="str">
        <f t="shared" si="12"/>
        <v/>
      </c>
      <c r="L111" s="99" t="str">
        <f t="shared" si="12"/>
        <v/>
      </c>
      <c r="M111" s="99" t="str">
        <f t="shared" si="12"/>
        <v/>
      </c>
      <c r="N111" s="99" t="str">
        <f t="shared" si="12"/>
        <v/>
      </c>
      <c r="O111" s="99" t="str">
        <f t="shared" si="12"/>
        <v/>
      </c>
      <c r="P111" s="99" t="str">
        <f t="shared" si="12"/>
        <v/>
      </c>
      <c r="Q111" s="99" t="str">
        <f t="shared" si="12"/>
        <v/>
      </c>
      <c r="R111" s="99" t="str">
        <f t="shared" si="12"/>
        <v/>
      </c>
      <c r="S111" s="99" t="str">
        <f t="shared" si="12"/>
        <v/>
      </c>
      <c r="T111" s="99" t="str">
        <f t="shared" si="12"/>
        <v/>
      </c>
      <c r="U111" s="99" t="str">
        <f t="shared" si="12"/>
        <v/>
      </c>
    </row>
    <row r="112" spans="1:22" ht="36" hidden="1">
      <c r="A112" s="100" t="s">
        <v>246</v>
      </c>
      <c r="B112" s="101" t="s">
        <v>247</v>
      </c>
      <c r="C112" s="102" t="s">
        <v>123</v>
      </c>
      <c r="D112" s="103" t="s">
        <v>123</v>
      </c>
      <c r="E112" s="103" t="s">
        <v>123</v>
      </c>
      <c r="F112" s="104" t="s">
        <v>123</v>
      </c>
      <c r="G112" s="105" t="str">
        <f>IF(G51&lt;=G54,"",G54-G51)</f>
        <v/>
      </c>
      <c r="H112" s="105" t="str">
        <f t="shared" ref="H112:U112" si="13">IF(H51&lt;=H54,"",H54-H51)</f>
        <v/>
      </c>
      <c r="I112" s="105" t="str">
        <f t="shared" si="13"/>
        <v/>
      </c>
      <c r="J112" s="105" t="str">
        <f t="shared" si="13"/>
        <v/>
      </c>
      <c r="K112" s="105" t="str">
        <f t="shared" si="13"/>
        <v/>
      </c>
      <c r="L112" s="105" t="str">
        <f t="shared" si="13"/>
        <v/>
      </c>
      <c r="M112" s="105" t="str">
        <f t="shared" si="13"/>
        <v/>
      </c>
      <c r="N112" s="105" t="str">
        <f t="shared" si="13"/>
        <v/>
      </c>
      <c r="O112" s="105" t="str">
        <f t="shared" si="13"/>
        <v/>
      </c>
      <c r="P112" s="105" t="str">
        <f t="shared" si="13"/>
        <v/>
      </c>
      <c r="Q112" s="105" t="str">
        <f t="shared" si="13"/>
        <v/>
      </c>
      <c r="R112" s="105" t="str">
        <f t="shared" si="13"/>
        <v/>
      </c>
      <c r="S112" s="105" t="str">
        <f t="shared" si="13"/>
        <v/>
      </c>
      <c r="T112" s="105" t="str">
        <f t="shared" si="13"/>
        <v/>
      </c>
      <c r="U112" s="105" t="str">
        <f t="shared" si="13"/>
        <v/>
      </c>
    </row>
    <row r="113" spans="1:21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</row>
  </sheetData>
  <sheetProtection algorithmName="SHA-512" hashValue="con8NBlLVKnCC7iRXn+mWxznSY8xYW/yIx5SASftFg9pEWnI/mIb0K5b5ToBzy/G4QKNgrZtLf7dLixoXbguMw==" saltValue="Qj4+PE+wfJEt1+iz9a9UEw==" spinCount="100000" sheet="1" objects="1" scenarios="1" formatColumns="0" formatRows="0"/>
  <mergeCells count="2">
    <mergeCell ref="C2:D2"/>
    <mergeCell ref="A1:U1"/>
  </mergeCells>
  <conditionalFormatting sqref="G55:U56">
    <cfRule type="expression" dxfId="0" priority="12" stopIfTrue="1">
      <formula>LEFT(G55,3)="Nie"</formula>
    </cfRule>
  </conditionalFormatting>
  <pageMargins left="0.15748031496062992" right="0.15748031496062992" top="1.3779527559055118" bottom="1.2204724409448819" header="0.82677165354330717" footer="0.47244094488188981"/>
  <pageSetup paperSize="9" scale="56" orientation="landscape" horizontalDpi="4294967293" verticalDpi="4294967293" r:id="rId1"/>
  <headerFooter differentOddEven="1" differentFirst="1" alignWithMargins="0">
    <oddFooter>&amp;C&amp;P</oddFooter>
    <evenFooter>&amp;C&amp;P</evenFooter>
    <firstHeader>&amp;RZałącznik Nr 1
do uchwały Nr ..................
Rady Powiatu w Otwocku
z dnia ......................</firstHead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120" zoomScaleNormal="120" workbookViewId="0">
      <pane ySplit="4" topLeftCell="A5" activePane="bottomLeft" state="frozen"/>
      <selection pane="bottomLeft" activeCell="Q8" sqref="Q8"/>
    </sheetView>
  </sheetViews>
  <sheetFormatPr defaultRowHeight="12.75"/>
  <cols>
    <col min="1" max="1" width="7.85546875" style="2" customWidth="1"/>
    <col min="2" max="2" width="50.28515625" style="1" customWidth="1"/>
    <col min="3" max="3" width="17.140625" style="2" customWidth="1"/>
    <col min="4" max="5" width="6.5703125" style="2" customWidth="1"/>
    <col min="6" max="6" width="13.28515625" style="1" customWidth="1"/>
    <col min="7" max="11" width="12.140625" style="1" customWidth="1"/>
    <col min="12" max="12" width="13" style="1" customWidth="1"/>
    <col min="13" max="241" width="9.140625" style="1"/>
    <col min="242" max="242" width="1" style="1" customWidth="1"/>
    <col min="243" max="243" width="39.140625" style="1" customWidth="1"/>
    <col min="244" max="244" width="21.42578125" style="1" customWidth="1"/>
    <col min="245" max="245" width="11.28515625" style="1" customWidth="1"/>
    <col min="246" max="246" width="9.5703125" style="1" customWidth="1"/>
    <col min="247" max="247" width="13.5703125" style="1" customWidth="1"/>
    <col min="248" max="257" width="12.140625" style="1" customWidth="1"/>
    <col min="258" max="267" width="0" style="1" hidden="1" customWidth="1"/>
    <col min="268" max="268" width="14.140625" style="1" customWidth="1"/>
    <col min="269" max="497" width="9.140625" style="1"/>
    <col min="498" max="498" width="1" style="1" customWidth="1"/>
    <col min="499" max="499" width="39.140625" style="1" customWidth="1"/>
    <col min="500" max="500" width="21.42578125" style="1" customWidth="1"/>
    <col min="501" max="501" width="11.28515625" style="1" customWidth="1"/>
    <col min="502" max="502" width="9.5703125" style="1" customWidth="1"/>
    <col min="503" max="503" width="13.5703125" style="1" customWidth="1"/>
    <col min="504" max="513" width="12.140625" style="1" customWidth="1"/>
    <col min="514" max="523" width="0" style="1" hidden="1" customWidth="1"/>
    <col min="524" max="524" width="14.140625" style="1" customWidth="1"/>
    <col min="525" max="753" width="9.140625" style="1"/>
    <col min="754" max="754" width="1" style="1" customWidth="1"/>
    <col min="755" max="755" width="39.140625" style="1" customWidth="1"/>
    <col min="756" max="756" width="21.42578125" style="1" customWidth="1"/>
    <col min="757" max="757" width="11.28515625" style="1" customWidth="1"/>
    <col min="758" max="758" width="9.5703125" style="1" customWidth="1"/>
    <col min="759" max="759" width="13.5703125" style="1" customWidth="1"/>
    <col min="760" max="769" width="12.140625" style="1" customWidth="1"/>
    <col min="770" max="779" width="0" style="1" hidden="1" customWidth="1"/>
    <col min="780" max="780" width="14.140625" style="1" customWidth="1"/>
    <col min="781" max="1009" width="9.140625" style="1"/>
    <col min="1010" max="1010" width="1" style="1" customWidth="1"/>
    <col min="1011" max="1011" width="39.140625" style="1" customWidth="1"/>
    <col min="1012" max="1012" width="21.42578125" style="1" customWidth="1"/>
    <col min="1013" max="1013" width="11.28515625" style="1" customWidth="1"/>
    <col min="1014" max="1014" width="9.5703125" style="1" customWidth="1"/>
    <col min="1015" max="1015" width="13.5703125" style="1" customWidth="1"/>
    <col min="1016" max="1025" width="12.140625" style="1" customWidth="1"/>
    <col min="1026" max="1035" width="0" style="1" hidden="1" customWidth="1"/>
    <col min="1036" max="1036" width="14.140625" style="1" customWidth="1"/>
    <col min="1037" max="1265" width="9.140625" style="1"/>
    <col min="1266" max="1266" width="1" style="1" customWidth="1"/>
    <col min="1267" max="1267" width="39.140625" style="1" customWidth="1"/>
    <col min="1268" max="1268" width="21.42578125" style="1" customWidth="1"/>
    <col min="1269" max="1269" width="11.28515625" style="1" customWidth="1"/>
    <col min="1270" max="1270" width="9.5703125" style="1" customWidth="1"/>
    <col min="1271" max="1271" width="13.5703125" style="1" customWidth="1"/>
    <col min="1272" max="1281" width="12.140625" style="1" customWidth="1"/>
    <col min="1282" max="1291" width="0" style="1" hidden="1" customWidth="1"/>
    <col min="1292" max="1292" width="14.140625" style="1" customWidth="1"/>
    <col min="1293" max="1521" width="9.140625" style="1"/>
    <col min="1522" max="1522" width="1" style="1" customWidth="1"/>
    <col min="1523" max="1523" width="39.140625" style="1" customWidth="1"/>
    <col min="1524" max="1524" width="21.42578125" style="1" customWidth="1"/>
    <col min="1525" max="1525" width="11.28515625" style="1" customWidth="1"/>
    <col min="1526" max="1526" width="9.5703125" style="1" customWidth="1"/>
    <col min="1527" max="1527" width="13.5703125" style="1" customWidth="1"/>
    <col min="1528" max="1537" width="12.140625" style="1" customWidth="1"/>
    <col min="1538" max="1547" width="0" style="1" hidden="1" customWidth="1"/>
    <col min="1548" max="1548" width="14.140625" style="1" customWidth="1"/>
    <col min="1549" max="1777" width="9.140625" style="1"/>
    <col min="1778" max="1778" width="1" style="1" customWidth="1"/>
    <col min="1779" max="1779" width="39.140625" style="1" customWidth="1"/>
    <col min="1780" max="1780" width="21.42578125" style="1" customWidth="1"/>
    <col min="1781" max="1781" width="11.28515625" style="1" customWidth="1"/>
    <col min="1782" max="1782" width="9.5703125" style="1" customWidth="1"/>
    <col min="1783" max="1783" width="13.5703125" style="1" customWidth="1"/>
    <col min="1784" max="1793" width="12.140625" style="1" customWidth="1"/>
    <col min="1794" max="1803" width="0" style="1" hidden="1" customWidth="1"/>
    <col min="1804" max="1804" width="14.140625" style="1" customWidth="1"/>
    <col min="1805" max="2033" width="9.140625" style="1"/>
    <col min="2034" max="2034" width="1" style="1" customWidth="1"/>
    <col min="2035" max="2035" width="39.140625" style="1" customWidth="1"/>
    <col min="2036" max="2036" width="21.42578125" style="1" customWidth="1"/>
    <col min="2037" max="2037" width="11.28515625" style="1" customWidth="1"/>
    <col min="2038" max="2038" width="9.5703125" style="1" customWidth="1"/>
    <col min="2039" max="2039" width="13.5703125" style="1" customWidth="1"/>
    <col min="2040" max="2049" width="12.140625" style="1" customWidth="1"/>
    <col min="2050" max="2059" width="0" style="1" hidden="1" customWidth="1"/>
    <col min="2060" max="2060" width="14.140625" style="1" customWidth="1"/>
    <col min="2061" max="2289" width="9.140625" style="1"/>
    <col min="2290" max="2290" width="1" style="1" customWidth="1"/>
    <col min="2291" max="2291" width="39.140625" style="1" customWidth="1"/>
    <col min="2292" max="2292" width="21.42578125" style="1" customWidth="1"/>
    <col min="2293" max="2293" width="11.28515625" style="1" customWidth="1"/>
    <col min="2294" max="2294" width="9.5703125" style="1" customWidth="1"/>
    <col min="2295" max="2295" width="13.5703125" style="1" customWidth="1"/>
    <col min="2296" max="2305" width="12.140625" style="1" customWidth="1"/>
    <col min="2306" max="2315" width="0" style="1" hidden="1" customWidth="1"/>
    <col min="2316" max="2316" width="14.140625" style="1" customWidth="1"/>
    <col min="2317" max="2545" width="9.140625" style="1"/>
    <col min="2546" max="2546" width="1" style="1" customWidth="1"/>
    <col min="2547" max="2547" width="39.140625" style="1" customWidth="1"/>
    <col min="2548" max="2548" width="21.42578125" style="1" customWidth="1"/>
    <col min="2549" max="2549" width="11.28515625" style="1" customWidth="1"/>
    <col min="2550" max="2550" width="9.5703125" style="1" customWidth="1"/>
    <col min="2551" max="2551" width="13.5703125" style="1" customWidth="1"/>
    <col min="2552" max="2561" width="12.140625" style="1" customWidth="1"/>
    <col min="2562" max="2571" width="0" style="1" hidden="1" customWidth="1"/>
    <col min="2572" max="2572" width="14.140625" style="1" customWidth="1"/>
    <col min="2573" max="2801" width="9.140625" style="1"/>
    <col min="2802" max="2802" width="1" style="1" customWidth="1"/>
    <col min="2803" max="2803" width="39.140625" style="1" customWidth="1"/>
    <col min="2804" max="2804" width="21.42578125" style="1" customWidth="1"/>
    <col min="2805" max="2805" width="11.28515625" style="1" customWidth="1"/>
    <col min="2806" max="2806" width="9.5703125" style="1" customWidth="1"/>
    <col min="2807" max="2807" width="13.5703125" style="1" customWidth="1"/>
    <col min="2808" max="2817" width="12.140625" style="1" customWidth="1"/>
    <col min="2818" max="2827" width="0" style="1" hidden="1" customWidth="1"/>
    <col min="2828" max="2828" width="14.140625" style="1" customWidth="1"/>
    <col min="2829" max="3057" width="9.140625" style="1"/>
    <col min="3058" max="3058" width="1" style="1" customWidth="1"/>
    <col min="3059" max="3059" width="39.140625" style="1" customWidth="1"/>
    <col min="3060" max="3060" width="21.42578125" style="1" customWidth="1"/>
    <col min="3061" max="3061" width="11.28515625" style="1" customWidth="1"/>
    <col min="3062" max="3062" width="9.5703125" style="1" customWidth="1"/>
    <col min="3063" max="3063" width="13.5703125" style="1" customWidth="1"/>
    <col min="3064" max="3073" width="12.140625" style="1" customWidth="1"/>
    <col min="3074" max="3083" width="0" style="1" hidden="1" customWidth="1"/>
    <col min="3084" max="3084" width="14.140625" style="1" customWidth="1"/>
    <col min="3085" max="3313" width="9.140625" style="1"/>
    <col min="3314" max="3314" width="1" style="1" customWidth="1"/>
    <col min="3315" max="3315" width="39.140625" style="1" customWidth="1"/>
    <col min="3316" max="3316" width="21.42578125" style="1" customWidth="1"/>
    <col min="3317" max="3317" width="11.28515625" style="1" customWidth="1"/>
    <col min="3318" max="3318" width="9.5703125" style="1" customWidth="1"/>
    <col min="3319" max="3319" width="13.5703125" style="1" customWidth="1"/>
    <col min="3320" max="3329" width="12.140625" style="1" customWidth="1"/>
    <col min="3330" max="3339" width="0" style="1" hidden="1" customWidth="1"/>
    <col min="3340" max="3340" width="14.140625" style="1" customWidth="1"/>
    <col min="3341" max="3569" width="9.140625" style="1"/>
    <col min="3570" max="3570" width="1" style="1" customWidth="1"/>
    <col min="3571" max="3571" width="39.140625" style="1" customWidth="1"/>
    <col min="3572" max="3572" width="21.42578125" style="1" customWidth="1"/>
    <col min="3573" max="3573" width="11.28515625" style="1" customWidth="1"/>
    <col min="3574" max="3574" width="9.5703125" style="1" customWidth="1"/>
    <col min="3575" max="3575" width="13.5703125" style="1" customWidth="1"/>
    <col min="3576" max="3585" width="12.140625" style="1" customWidth="1"/>
    <col min="3586" max="3595" width="0" style="1" hidden="1" customWidth="1"/>
    <col min="3596" max="3596" width="14.140625" style="1" customWidth="1"/>
    <col min="3597" max="3825" width="9.140625" style="1"/>
    <col min="3826" max="3826" width="1" style="1" customWidth="1"/>
    <col min="3827" max="3827" width="39.140625" style="1" customWidth="1"/>
    <col min="3828" max="3828" width="21.42578125" style="1" customWidth="1"/>
    <col min="3829" max="3829" width="11.28515625" style="1" customWidth="1"/>
    <col min="3830" max="3830" width="9.5703125" style="1" customWidth="1"/>
    <col min="3831" max="3831" width="13.5703125" style="1" customWidth="1"/>
    <col min="3832" max="3841" width="12.140625" style="1" customWidth="1"/>
    <col min="3842" max="3851" width="0" style="1" hidden="1" customWidth="1"/>
    <col min="3852" max="3852" width="14.140625" style="1" customWidth="1"/>
    <col min="3853" max="4081" width="9.140625" style="1"/>
    <col min="4082" max="4082" width="1" style="1" customWidth="1"/>
    <col min="4083" max="4083" width="39.140625" style="1" customWidth="1"/>
    <col min="4084" max="4084" width="21.42578125" style="1" customWidth="1"/>
    <col min="4085" max="4085" width="11.28515625" style="1" customWidth="1"/>
    <col min="4086" max="4086" width="9.5703125" style="1" customWidth="1"/>
    <col min="4087" max="4087" width="13.5703125" style="1" customWidth="1"/>
    <col min="4088" max="4097" width="12.140625" style="1" customWidth="1"/>
    <col min="4098" max="4107" width="0" style="1" hidden="1" customWidth="1"/>
    <col min="4108" max="4108" width="14.140625" style="1" customWidth="1"/>
    <col min="4109" max="4337" width="9.140625" style="1"/>
    <col min="4338" max="4338" width="1" style="1" customWidth="1"/>
    <col min="4339" max="4339" width="39.140625" style="1" customWidth="1"/>
    <col min="4340" max="4340" width="21.42578125" style="1" customWidth="1"/>
    <col min="4341" max="4341" width="11.28515625" style="1" customWidth="1"/>
    <col min="4342" max="4342" width="9.5703125" style="1" customWidth="1"/>
    <col min="4343" max="4343" width="13.5703125" style="1" customWidth="1"/>
    <col min="4344" max="4353" width="12.140625" style="1" customWidth="1"/>
    <col min="4354" max="4363" width="0" style="1" hidden="1" customWidth="1"/>
    <col min="4364" max="4364" width="14.140625" style="1" customWidth="1"/>
    <col min="4365" max="4593" width="9.140625" style="1"/>
    <col min="4594" max="4594" width="1" style="1" customWidth="1"/>
    <col min="4595" max="4595" width="39.140625" style="1" customWidth="1"/>
    <col min="4596" max="4596" width="21.42578125" style="1" customWidth="1"/>
    <col min="4597" max="4597" width="11.28515625" style="1" customWidth="1"/>
    <col min="4598" max="4598" width="9.5703125" style="1" customWidth="1"/>
    <col min="4599" max="4599" width="13.5703125" style="1" customWidth="1"/>
    <col min="4600" max="4609" width="12.140625" style="1" customWidth="1"/>
    <col min="4610" max="4619" width="0" style="1" hidden="1" customWidth="1"/>
    <col min="4620" max="4620" width="14.140625" style="1" customWidth="1"/>
    <col min="4621" max="4849" width="9.140625" style="1"/>
    <col min="4850" max="4850" width="1" style="1" customWidth="1"/>
    <col min="4851" max="4851" width="39.140625" style="1" customWidth="1"/>
    <col min="4852" max="4852" width="21.42578125" style="1" customWidth="1"/>
    <col min="4853" max="4853" width="11.28515625" style="1" customWidth="1"/>
    <col min="4854" max="4854" width="9.5703125" style="1" customWidth="1"/>
    <col min="4855" max="4855" width="13.5703125" style="1" customWidth="1"/>
    <col min="4856" max="4865" width="12.140625" style="1" customWidth="1"/>
    <col min="4866" max="4875" width="0" style="1" hidden="1" customWidth="1"/>
    <col min="4876" max="4876" width="14.140625" style="1" customWidth="1"/>
    <col min="4877" max="5105" width="9.140625" style="1"/>
    <col min="5106" max="5106" width="1" style="1" customWidth="1"/>
    <col min="5107" max="5107" width="39.140625" style="1" customWidth="1"/>
    <col min="5108" max="5108" width="21.42578125" style="1" customWidth="1"/>
    <col min="5109" max="5109" width="11.28515625" style="1" customWidth="1"/>
    <col min="5110" max="5110" width="9.5703125" style="1" customWidth="1"/>
    <col min="5111" max="5111" width="13.5703125" style="1" customWidth="1"/>
    <col min="5112" max="5121" width="12.140625" style="1" customWidth="1"/>
    <col min="5122" max="5131" width="0" style="1" hidden="1" customWidth="1"/>
    <col min="5132" max="5132" width="14.140625" style="1" customWidth="1"/>
    <col min="5133" max="5361" width="9.140625" style="1"/>
    <col min="5362" max="5362" width="1" style="1" customWidth="1"/>
    <col min="5363" max="5363" width="39.140625" style="1" customWidth="1"/>
    <col min="5364" max="5364" width="21.42578125" style="1" customWidth="1"/>
    <col min="5365" max="5365" width="11.28515625" style="1" customWidth="1"/>
    <col min="5366" max="5366" width="9.5703125" style="1" customWidth="1"/>
    <col min="5367" max="5367" width="13.5703125" style="1" customWidth="1"/>
    <col min="5368" max="5377" width="12.140625" style="1" customWidth="1"/>
    <col min="5378" max="5387" width="0" style="1" hidden="1" customWidth="1"/>
    <col min="5388" max="5388" width="14.140625" style="1" customWidth="1"/>
    <col min="5389" max="5617" width="9.140625" style="1"/>
    <col min="5618" max="5618" width="1" style="1" customWidth="1"/>
    <col min="5619" max="5619" width="39.140625" style="1" customWidth="1"/>
    <col min="5620" max="5620" width="21.42578125" style="1" customWidth="1"/>
    <col min="5621" max="5621" width="11.28515625" style="1" customWidth="1"/>
    <col min="5622" max="5622" width="9.5703125" style="1" customWidth="1"/>
    <col min="5623" max="5623" width="13.5703125" style="1" customWidth="1"/>
    <col min="5624" max="5633" width="12.140625" style="1" customWidth="1"/>
    <col min="5634" max="5643" width="0" style="1" hidden="1" customWidth="1"/>
    <col min="5644" max="5644" width="14.140625" style="1" customWidth="1"/>
    <col min="5645" max="5873" width="9.140625" style="1"/>
    <col min="5874" max="5874" width="1" style="1" customWidth="1"/>
    <col min="5875" max="5875" width="39.140625" style="1" customWidth="1"/>
    <col min="5876" max="5876" width="21.42578125" style="1" customWidth="1"/>
    <col min="5877" max="5877" width="11.28515625" style="1" customWidth="1"/>
    <col min="5878" max="5878" width="9.5703125" style="1" customWidth="1"/>
    <col min="5879" max="5879" width="13.5703125" style="1" customWidth="1"/>
    <col min="5880" max="5889" width="12.140625" style="1" customWidth="1"/>
    <col min="5890" max="5899" width="0" style="1" hidden="1" customWidth="1"/>
    <col min="5900" max="5900" width="14.140625" style="1" customWidth="1"/>
    <col min="5901" max="6129" width="9.140625" style="1"/>
    <col min="6130" max="6130" width="1" style="1" customWidth="1"/>
    <col min="6131" max="6131" width="39.140625" style="1" customWidth="1"/>
    <col min="6132" max="6132" width="21.42578125" style="1" customWidth="1"/>
    <col min="6133" max="6133" width="11.28515625" style="1" customWidth="1"/>
    <col min="6134" max="6134" width="9.5703125" style="1" customWidth="1"/>
    <col min="6135" max="6135" width="13.5703125" style="1" customWidth="1"/>
    <col min="6136" max="6145" width="12.140625" style="1" customWidth="1"/>
    <col min="6146" max="6155" width="0" style="1" hidden="1" customWidth="1"/>
    <col min="6156" max="6156" width="14.140625" style="1" customWidth="1"/>
    <col min="6157" max="6385" width="9.140625" style="1"/>
    <col min="6386" max="6386" width="1" style="1" customWidth="1"/>
    <col min="6387" max="6387" width="39.140625" style="1" customWidth="1"/>
    <col min="6388" max="6388" width="21.42578125" style="1" customWidth="1"/>
    <col min="6389" max="6389" width="11.28515625" style="1" customWidth="1"/>
    <col min="6390" max="6390" width="9.5703125" style="1" customWidth="1"/>
    <col min="6391" max="6391" width="13.5703125" style="1" customWidth="1"/>
    <col min="6392" max="6401" width="12.140625" style="1" customWidth="1"/>
    <col min="6402" max="6411" width="0" style="1" hidden="1" customWidth="1"/>
    <col min="6412" max="6412" width="14.140625" style="1" customWidth="1"/>
    <col min="6413" max="6641" width="9.140625" style="1"/>
    <col min="6642" max="6642" width="1" style="1" customWidth="1"/>
    <col min="6643" max="6643" width="39.140625" style="1" customWidth="1"/>
    <col min="6644" max="6644" width="21.42578125" style="1" customWidth="1"/>
    <col min="6645" max="6645" width="11.28515625" style="1" customWidth="1"/>
    <col min="6646" max="6646" width="9.5703125" style="1" customWidth="1"/>
    <col min="6647" max="6647" width="13.5703125" style="1" customWidth="1"/>
    <col min="6648" max="6657" width="12.140625" style="1" customWidth="1"/>
    <col min="6658" max="6667" width="0" style="1" hidden="1" customWidth="1"/>
    <col min="6668" max="6668" width="14.140625" style="1" customWidth="1"/>
    <col min="6669" max="6897" width="9.140625" style="1"/>
    <col min="6898" max="6898" width="1" style="1" customWidth="1"/>
    <col min="6899" max="6899" width="39.140625" style="1" customWidth="1"/>
    <col min="6900" max="6900" width="21.42578125" style="1" customWidth="1"/>
    <col min="6901" max="6901" width="11.28515625" style="1" customWidth="1"/>
    <col min="6902" max="6902" width="9.5703125" style="1" customWidth="1"/>
    <col min="6903" max="6903" width="13.5703125" style="1" customWidth="1"/>
    <col min="6904" max="6913" width="12.140625" style="1" customWidth="1"/>
    <col min="6914" max="6923" width="0" style="1" hidden="1" customWidth="1"/>
    <col min="6924" max="6924" width="14.140625" style="1" customWidth="1"/>
    <col min="6925" max="7153" width="9.140625" style="1"/>
    <col min="7154" max="7154" width="1" style="1" customWidth="1"/>
    <col min="7155" max="7155" width="39.140625" style="1" customWidth="1"/>
    <col min="7156" max="7156" width="21.42578125" style="1" customWidth="1"/>
    <col min="7157" max="7157" width="11.28515625" style="1" customWidth="1"/>
    <col min="7158" max="7158" width="9.5703125" style="1" customWidth="1"/>
    <col min="7159" max="7159" width="13.5703125" style="1" customWidth="1"/>
    <col min="7160" max="7169" width="12.140625" style="1" customWidth="1"/>
    <col min="7170" max="7179" width="0" style="1" hidden="1" customWidth="1"/>
    <col min="7180" max="7180" width="14.140625" style="1" customWidth="1"/>
    <col min="7181" max="7409" width="9.140625" style="1"/>
    <col min="7410" max="7410" width="1" style="1" customWidth="1"/>
    <col min="7411" max="7411" width="39.140625" style="1" customWidth="1"/>
    <col min="7412" max="7412" width="21.42578125" style="1" customWidth="1"/>
    <col min="7413" max="7413" width="11.28515625" style="1" customWidth="1"/>
    <col min="7414" max="7414" width="9.5703125" style="1" customWidth="1"/>
    <col min="7415" max="7415" width="13.5703125" style="1" customWidth="1"/>
    <col min="7416" max="7425" width="12.140625" style="1" customWidth="1"/>
    <col min="7426" max="7435" width="0" style="1" hidden="1" customWidth="1"/>
    <col min="7436" max="7436" width="14.140625" style="1" customWidth="1"/>
    <col min="7437" max="7665" width="9.140625" style="1"/>
    <col min="7666" max="7666" width="1" style="1" customWidth="1"/>
    <col min="7667" max="7667" width="39.140625" style="1" customWidth="1"/>
    <col min="7668" max="7668" width="21.42578125" style="1" customWidth="1"/>
    <col min="7669" max="7669" width="11.28515625" style="1" customWidth="1"/>
    <col min="7670" max="7670" width="9.5703125" style="1" customWidth="1"/>
    <col min="7671" max="7671" width="13.5703125" style="1" customWidth="1"/>
    <col min="7672" max="7681" width="12.140625" style="1" customWidth="1"/>
    <col min="7682" max="7691" width="0" style="1" hidden="1" customWidth="1"/>
    <col min="7692" max="7692" width="14.140625" style="1" customWidth="1"/>
    <col min="7693" max="7921" width="9.140625" style="1"/>
    <col min="7922" max="7922" width="1" style="1" customWidth="1"/>
    <col min="7923" max="7923" width="39.140625" style="1" customWidth="1"/>
    <col min="7924" max="7924" width="21.42578125" style="1" customWidth="1"/>
    <col min="7925" max="7925" width="11.28515625" style="1" customWidth="1"/>
    <col min="7926" max="7926" width="9.5703125" style="1" customWidth="1"/>
    <col min="7927" max="7927" width="13.5703125" style="1" customWidth="1"/>
    <col min="7928" max="7937" width="12.140625" style="1" customWidth="1"/>
    <col min="7938" max="7947" width="0" style="1" hidden="1" customWidth="1"/>
    <col min="7948" max="7948" width="14.140625" style="1" customWidth="1"/>
    <col min="7949" max="8177" width="9.140625" style="1"/>
    <col min="8178" max="8178" width="1" style="1" customWidth="1"/>
    <col min="8179" max="8179" width="39.140625" style="1" customWidth="1"/>
    <col min="8180" max="8180" width="21.42578125" style="1" customWidth="1"/>
    <col min="8181" max="8181" width="11.28515625" style="1" customWidth="1"/>
    <col min="8182" max="8182" width="9.5703125" style="1" customWidth="1"/>
    <col min="8183" max="8183" width="13.5703125" style="1" customWidth="1"/>
    <col min="8184" max="8193" width="12.140625" style="1" customWidth="1"/>
    <col min="8194" max="8203" width="0" style="1" hidden="1" customWidth="1"/>
    <col min="8204" max="8204" width="14.140625" style="1" customWidth="1"/>
    <col min="8205" max="8433" width="9.140625" style="1"/>
    <col min="8434" max="8434" width="1" style="1" customWidth="1"/>
    <col min="8435" max="8435" width="39.140625" style="1" customWidth="1"/>
    <col min="8436" max="8436" width="21.42578125" style="1" customWidth="1"/>
    <col min="8437" max="8437" width="11.28515625" style="1" customWidth="1"/>
    <col min="8438" max="8438" width="9.5703125" style="1" customWidth="1"/>
    <col min="8439" max="8439" width="13.5703125" style="1" customWidth="1"/>
    <col min="8440" max="8449" width="12.140625" style="1" customWidth="1"/>
    <col min="8450" max="8459" width="0" style="1" hidden="1" customWidth="1"/>
    <col min="8460" max="8460" width="14.140625" style="1" customWidth="1"/>
    <col min="8461" max="8689" width="9.140625" style="1"/>
    <col min="8690" max="8690" width="1" style="1" customWidth="1"/>
    <col min="8691" max="8691" width="39.140625" style="1" customWidth="1"/>
    <col min="8692" max="8692" width="21.42578125" style="1" customWidth="1"/>
    <col min="8693" max="8693" width="11.28515625" style="1" customWidth="1"/>
    <col min="8694" max="8694" width="9.5703125" style="1" customWidth="1"/>
    <col min="8695" max="8695" width="13.5703125" style="1" customWidth="1"/>
    <col min="8696" max="8705" width="12.140625" style="1" customWidth="1"/>
    <col min="8706" max="8715" width="0" style="1" hidden="1" customWidth="1"/>
    <col min="8716" max="8716" width="14.140625" style="1" customWidth="1"/>
    <col min="8717" max="8945" width="9.140625" style="1"/>
    <col min="8946" max="8946" width="1" style="1" customWidth="1"/>
    <col min="8947" max="8947" width="39.140625" style="1" customWidth="1"/>
    <col min="8948" max="8948" width="21.42578125" style="1" customWidth="1"/>
    <col min="8949" max="8949" width="11.28515625" style="1" customWidth="1"/>
    <col min="8950" max="8950" width="9.5703125" style="1" customWidth="1"/>
    <col min="8951" max="8951" width="13.5703125" style="1" customWidth="1"/>
    <col min="8952" max="8961" width="12.140625" style="1" customWidth="1"/>
    <col min="8962" max="8971" width="0" style="1" hidden="1" customWidth="1"/>
    <col min="8972" max="8972" width="14.140625" style="1" customWidth="1"/>
    <col min="8973" max="9201" width="9.140625" style="1"/>
    <col min="9202" max="9202" width="1" style="1" customWidth="1"/>
    <col min="9203" max="9203" width="39.140625" style="1" customWidth="1"/>
    <col min="9204" max="9204" width="21.42578125" style="1" customWidth="1"/>
    <col min="9205" max="9205" width="11.28515625" style="1" customWidth="1"/>
    <col min="9206" max="9206" width="9.5703125" style="1" customWidth="1"/>
    <col min="9207" max="9207" width="13.5703125" style="1" customWidth="1"/>
    <col min="9208" max="9217" width="12.140625" style="1" customWidth="1"/>
    <col min="9218" max="9227" width="0" style="1" hidden="1" customWidth="1"/>
    <col min="9228" max="9228" width="14.140625" style="1" customWidth="1"/>
    <col min="9229" max="9457" width="9.140625" style="1"/>
    <col min="9458" max="9458" width="1" style="1" customWidth="1"/>
    <col min="9459" max="9459" width="39.140625" style="1" customWidth="1"/>
    <col min="9460" max="9460" width="21.42578125" style="1" customWidth="1"/>
    <col min="9461" max="9461" width="11.28515625" style="1" customWidth="1"/>
    <col min="9462" max="9462" width="9.5703125" style="1" customWidth="1"/>
    <col min="9463" max="9463" width="13.5703125" style="1" customWidth="1"/>
    <col min="9464" max="9473" width="12.140625" style="1" customWidth="1"/>
    <col min="9474" max="9483" width="0" style="1" hidden="1" customWidth="1"/>
    <col min="9484" max="9484" width="14.140625" style="1" customWidth="1"/>
    <col min="9485" max="9713" width="9.140625" style="1"/>
    <col min="9714" max="9714" width="1" style="1" customWidth="1"/>
    <col min="9715" max="9715" width="39.140625" style="1" customWidth="1"/>
    <col min="9716" max="9716" width="21.42578125" style="1" customWidth="1"/>
    <col min="9717" max="9717" width="11.28515625" style="1" customWidth="1"/>
    <col min="9718" max="9718" width="9.5703125" style="1" customWidth="1"/>
    <col min="9719" max="9719" width="13.5703125" style="1" customWidth="1"/>
    <col min="9720" max="9729" width="12.140625" style="1" customWidth="1"/>
    <col min="9730" max="9739" width="0" style="1" hidden="1" customWidth="1"/>
    <col min="9740" max="9740" width="14.140625" style="1" customWidth="1"/>
    <col min="9741" max="9969" width="9.140625" style="1"/>
    <col min="9970" max="9970" width="1" style="1" customWidth="1"/>
    <col min="9971" max="9971" width="39.140625" style="1" customWidth="1"/>
    <col min="9972" max="9972" width="21.42578125" style="1" customWidth="1"/>
    <col min="9973" max="9973" width="11.28515625" style="1" customWidth="1"/>
    <col min="9974" max="9974" width="9.5703125" style="1" customWidth="1"/>
    <col min="9975" max="9975" width="13.5703125" style="1" customWidth="1"/>
    <col min="9976" max="9985" width="12.140625" style="1" customWidth="1"/>
    <col min="9986" max="9995" width="0" style="1" hidden="1" customWidth="1"/>
    <col min="9996" max="9996" width="14.140625" style="1" customWidth="1"/>
    <col min="9997" max="10225" width="9.140625" style="1"/>
    <col min="10226" max="10226" width="1" style="1" customWidth="1"/>
    <col min="10227" max="10227" width="39.140625" style="1" customWidth="1"/>
    <col min="10228" max="10228" width="21.42578125" style="1" customWidth="1"/>
    <col min="10229" max="10229" width="11.28515625" style="1" customWidth="1"/>
    <col min="10230" max="10230" width="9.5703125" style="1" customWidth="1"/>
    <col min="10231" max="10231" width="13.5703125" style="1" customWidth="1"/>
    <col min="10232" max="10241" width="12.140625" style="1" customWidth="1"/>
    <col min="10242" max="10251" width="0" style="1" hidden="1" customWidth="1"/>
    <col min="10252" max="10252" width="14.140625" style="1" customWidth="1"/>
    <col min="10253" max="10481" width="9.140625" style="1"/>
    <col min="10482" max="10482" width="1" style="1" customWidth="1"/>
    <col min="10483" max="10483" width="39.140625" style="1" customWidth="1"/>
    <col min="10484" max="10484" width="21.42578125" style="1" customWidth="1"/>
    <col min="10485" max="10485" width="11.28515625" style="1" customWidth="1"/>
    <col min="10486" max="10486" width="9.5703125" style="1" customWidth="1"/>
    <col min="10487" max="10487" width="13.5703125" style="1" customWidth="1"/>
    <col min="10488" max="10497" width="12.140625" style="1" customWidth="1"/>
    <col min="10498" max="10507" width="0" style="1" hidden="1" customWidth="1"/>
    <col min="10508" max="10508" width="14.140625" style="1" customWidth="1"/>
    <col min="10509" max="10737" width="9.140625" style="1"/>
    <col min="10738" max="10738" width="1" style="1" customWidth="1"/>
    <col min="10739" max="10739" width="39.140625" style="1" customWidth="1"/>
    <col min="10740" max="10740" width="21.42578125" style="1" customWidth="1"/>
    <col min="10741" max="10741" width="11.28515625" style="1" customWidth="1"/>
    <col min="10742" max="10742" width="9.5703125" style="1" customWidth="1"/>
    <col min="10743" max="10743" width="13.5703125" style="1" customWidth="1"/>
    <col min="10744" max="10753" width="12.140625" style="1" customWidth="1"/>
    <col min="10754" max="10763" width="0" style="1" hidden="1" customWidth="1"/>
    <col min="10764" max="10764" width="14.140625" style="1" customWidth="1"/>
    <col min="10765" max="10993" width="9.140625" style="1"/>
    <col min="10994" max="10994" width="1" style="1" customWidth="1"/>
    <col min="10995" max="10995" width="39.140625" style="1" customWidth="1"/>
    <col min="10996" max="10996" width="21.42578125" style="1" customWidth="1"/>
    <col min="10997" max="10997" width="11.28515625" style="1" customWidth="1"/>
    <col min="10998" max="10998" width="9.5703125" style="1" customWidth="1"/>
    <col min="10999" max="10999" width="13.5703125" style="1" customWidth="1"/>
    <col min="11000" max="11009" width="12.140625" style="1" customWidth="1"/>
    <col min="11010" max="11019" width="0" style="1" hidden="1" customWidth="1"/>
    <col min="11020" max="11020" width="14.140625" style="1" customWidth="1"/>
    <col min="11021" max="11249" width="9.140625" style="1"/>
    <col min="11250" max="11250" width="1" style="1" customWidth="1"/>
    <col min="11251" max="11251" width="39.140625" style="1" customWidth="1"/>
    <col min="11252" max="11252" width="21.42578125" style="1" customWidth="1"/>
    <col min="11253" max="11253" width="11.28515625" style="1" customWidth="1"/>
    <col min="11254" max="11254" width="9.5703125" style="1" customWidth="1"/>
    <col min="11255" max="11255" width="13.5703125" style="1" customWidth="1"/>
    <col min="11256" max="11265" width="12.140625" style="1" customWidth="1"/>
    <col min="11266" max="11275" width="0" style="1" hidden="1" customWidth="1"/>
    <col min="11276" max="11276" width="14.140625" style="1" customWidth="1"/>
    <col min="11277" max="11505" width="9.140625" style="1"/>
    <col min="11506" max="11506" width="1" style="1" customWidth="1"/>
    <col min="11507" max="11507" width="39.140625" style="1" customWidth="1"/>
    <col min="11508" max="11508" width="21.42578125" style="1" customWidth="1"/>
    <col min="11509" max="11509" width="11.28515625" style="1" customWidth="1"/>
    <col min="11510" max="11510" width="9.5703125" style="1" customWidth="1"/>
    <col min="11511" max="11511" width="13.5703125" style="1" customWidth="1"/>
    <col min="11512" max="11521" width="12.140625" style="1" customWidth="1"/>
    <col min="11522" max="11531" width="0" style="1" hidden="1" customWidth="1"/>
    <col min="11532" max="11532" width="14.140625" style="1" customWidth="1"/>
    <col min="11533" max="11761" width="9.140625" style="1"/>
    <col min="11762" max="11762" width="1" style="1" customWidth="1"/>
    <col min="11763" max="11763" width="39.140625" style="1" customWidth="1"/>
    <col min="11764" max="11764" width="21.42578125" style="1" customWidth="1"/>
    <col min="11765" max="11765" width="11.28515625" style="1" customWidth="1"/>
    <col min="11766" max="11766" width="9.5703125" style="1" customWidth="1"/>
    <col min="11767" max="11767" width="13.5703125" style="1" customWidth="1"/>
    <col min="11768" max="11777" width="12.140625" style="1" customWidth="1"/>
    <col min="11778" max="11787" width="0" style="1" hidden="1" customWidth="1"/>
    <col min="11788" max="11788" width="14.140625" style="1" customWidth="1"/>
    <col min="11789" max="12017" width="9.140625" style="1"/>
    <col min="12018" max="12018" width="1" style="1" customWidth="1"/>
    <col min="12019" max="12019" width="39.140625" style="1" customWidth="1"/>
    <col min="12020" max="12020" width="21.42578125" style="1" customWidth="1"/>
    <col min="12021" max="12021" width="11.28515625" style="1" customWidth="1"/>
    <col min="12022" max="12022" width="9.5703125" style="1" customWidth="1"/>
    <col min="12023" max="12023" width="13.5703125" style="1" customWidth="1"/>
    <col min="12024" max="12033" width="12.140625" style="1" customWidth="1"/>
    <col min="12034" max="12043" width="0" style="1" hidden="1" customWidth="1"/>
    <col min="12044" max="12044" width="14.140625" style="1" customWidth="1"/>
    <col min="12045" max="12273" width="9.140625" style="1"/>
    <col min="12274" max="12274" width="1" style="1" customWidth="1"/>
    <col min="12275" max="12275" width="39.140625" style="1" customWidth="1"/>
    <col min="12276" max="12276" width="21.42578125" style="1" customWidth="1"/>
    <col min="12277" max="12277" width="11.28515625" style="1" customWidth="1"/>
    <col min="12278" max="12278" width="9.5703125" style="1" customWidth="1"/>
    <col min="12279" max="12279" width="13.5703125" style="1" customWidth="1"/>
    <col min="12280" max="12289" width="12.140625" style="1" customWidth="1"/>
    <col min="12290" max="12299" width="0" style="1" hidden="1" customWidth="1"/>
    <col min="12300" max="12300" width="14.140625" style="1" customWidth="1"/>
    <col min="12301" max="12529" width="9.140625" style="1"/>
    <col min="12530" max="12530" width="1" style="1" customWidth="1"/>
    <col min="12531" max="12531" width="39.140625" style="1" customWidth="1"/>
    <col min="12532" max="12532" width="21.42578125" style="1" customWidth="1"/>
    <col min="12533" max="12533" width="11.28515625" style="1" customWidth="1"/>
    <col min="12534" max="12534" width="9.5703125" style="1" customWidth="1"/>
    <col min="12535" max="12535" width="13.5703125" style="1" customWidth="1"/>
    <col min="12536" max="12545" width="12.140625" style="1" customWidth="1"/>
    <col min="12546" max="12555" width="0" style="1" hidden="1" customWidth="1"/>
    <col min="12556" max="12556" width="14.140625" style="1" customWidth="1"/>
    <col min="12557" max="12785" width="9.140625" style="1"/>
    <col min="12786" max="12786" width="1" style="1" customWidth="1"/>
    <col min="12787" max="12787" width="39.140625" style="1" customWidth="1"/>
    <col min="12788" max="12788" width="21.42578125" style="1" customWidth="1"/>
    <col min="12789" max="12789" width="11.28515625" style="1" customWidth="1"/>
    <col min="12790" max="12790" width="9.5703125" style="1" customWidth="1"/>
    <col min="12791" max="12791" width="13.5703125" style="1" customWidth="1"/>
    <col min="12792" max="12801" width="12.140625" style="1" customWidth="1"/>
    <col min="12802" max="12811" width="0" style="1" hidden="1" customWidth="1"/>
    <col min="12812" max="12812" width="14.140625" style="1" customWidth="1"/>
    <col min="12813" max="13041" width="9.140625" style="1"/>
    <col min="13042" max="13042" width="1" style="1" customWidth="1"/>
    <col min="13043" max="13043" width="39.140625" style="1" customWidth="1"/>
    <col min="13044" max="13044" width="21.42578125" style="1" customWidth="1"/>
    <col min="13045" max="13045" width="11.28515625" style="1" customWidth="1"/>
    <col min="13046" max="13046" width="9.5703125" style="1" customWidth="1"/>
    <col min="13047" max="13047" width="13.5703125" style="1" customWidth="1"/>
    <col min="13048" max="13057" width="12.140625" style="1" customWidth="1"/>
    <col min="13058" max="13067" width="0" style="1" hidden="1" customWidth="1"/>
    <col min="13068" max="13068" width="14.140625" style="1" customWidth="1"/>
    <col min="13069" max="13297" width="9.140625" style="1"/>
    <col min="13298" max="13298" width="1" style="1" customWidth="1"/>
    <col min="13299" max="13299" width="39.140625" style="1" customWidth="1"/>
    <col min="13300" max="13300" width="21.42578125" style="1" customWidth="1"/>
    <col min="13301" max="13301" width="11.28515625" style="1" customWidth="1"/>
    <col min="13302" max="13302" width="9.5703125" style="1" customWidth="1"/>
    <col min="13303" max="13303" width="13.5703125" style="1" customWidth="1"/>
    <col min="13304" max="13313" width="12.140625" style="1" customWidth="1"/>
    <col min="13314" max="13323" width="0" style="1" hidden="1" customWidth="1"/>
    <col min="13324" max="13324" width="14.140625" style="1" customWidth="1"/>
    <col min="13325" max="13553" width="9.140625" style="1"/>
    <col min="13554" max="13554" width="1" style="1" customWidth="1"/>
    <col min="13555" max="13555" width="39.140625" style="1" customWidth="1"/>
    <col min="13556" max="13556" width="21.42578125" style="1" customWidth="1"/>
    <col min="13557" max="13557" width="11.28515625" style="1" customWidth="1"/>
    <col min="13558" max="13558" width="9.5703125" style="1" customWidth="1"/>
    <col min="13559" max="13559" width="13.5703125" style="1" customWidth="1"/>
    <col min="13560" max="13569" width="12.140625" style="1" customWidth="1"/>
    <col min="13570" max="13579" width="0" style="1" hidden="1" customWidth="1"/>
    <col min="13580" max="13580" width="14.140625" style="1" customWidth="1"/>
    <col min="13581" max="13809" width="9.140625" style="1"/>
    <col min="13810" max="13810" width="1" style="1" customWidth="1"/>
    <col min="13811" max="13811" width="39.140625" style="1" customWidth="1"/>
    <col min="13812" max="13812" width="21.42578125" style="1" customWidth="1"/>
    <col min="13813" max="13813" width="11.28515625" style="1" customWidth="1"/>
    <col min="13814" max="13814" width="9.5703125" style="1" customWidth="1"/>
    <col min="13815" max="13815" width="13.5703125" style="1" customWidth="1"/>
    <col min="13816" max="13825" width="12.140625" style="1" customWidth="1"/>
    <col min="13826" max="13835" width="0" style="1" hidden="1" customWidth="1"/>
    <col min="13836" max="13836" width="14.140625" style="1" customWidth="1"/>
    <col min="13837" max="14065" width="9.140625" style="1"/>
    <col min="14066" max="14066" width="1" style="1" customWidth="1"/>
    <col min="14067" max="14067" width="39.140625" style="1" customWidth="1"/>
    <col min="14068" max="14068" width="21.42578125" style="1" customWidth="1"/>
    <col min="14069" max="14069" width="11.28515625" style="1" customWidth="1"/>
    <col min="14070" max="14070" width="9.5703125" style="1" customWidth="1"/>
    <col min="14071" max="14071" width="13.5703125" style="1" customWidth="1"/>
    <col min="14072" max="14081" width="12.140625" style="1" customWidth="1"/>
    <col min="14082" max="14091" width="0" style="1" hidden="1" customWidth="1"/>
    <col min="14092" max="14092" width="14.140625" style="1" customWidth="1"/>
    <col min="14093" max="14321" width="9.140625" style="1"/>
    <col min="14322" max="14322" width="1" style="1" customWidth="1"/>
    <col min="14323" max="14323" width="39.140625" style="1" customWidth="1"/>
    <col min="14324" max="14324" width="21.42578125" style="1" customWidth="1"/>
    <col min="14325" max="14325" width="11.28515625" style="1" customWidth="1"/>
    <col min="14326" max="14326" width="9.5703125" style="1" customWidth="1"/>
    <col min="14327" max="14327" width="13.5703125" style="1" customWidth="1"/>
    <col min="14328" max="14337" width="12.140625" style="1" customWidth="1"/>
    <col min="14338" max="14347" width="0" style="1" hidden="1" customWidth="1"/>
    <col min="14348" max="14348" width="14.140625" style="1" customWidth="1"/>
    <col min="14349" max="14577" width="9.140625" style="1"/>
    <col min="14578" max="14578" width="1" style="1" customWidth="1"/>
    <col min="14579" max="14579" width="39.140625" style="1" customWidth="1"/>
    <col min="14580" max="14580" width="21.42578125" style="1" customWidth="1"/>
    <col min="14581" max="14581" width="11.28515625" style="1" customWidth="1"/>
    <col min="14582" max="14582" width="9.5703125" style="1" customWidth="1"/>
    <col min="14583" max="14583" width="13.5703125" style="1" customWidth="1"/>
    <col min="14584" max="14593" width="12.140625" style="1" customWidth="1"/>
    <col min="14594" max="14603" width="0" style="1" hidden="1" customWidth="1"/>
    <col min="14604" max="14604" width="14.140625" style="1" customWidth="1"/>
    <col min="14605" max="14833" width="9.140625" style="1"/>
    <col min="14834" max="14834" width="1" style="1" customWidth="1"/>
    <col min="14835" max="14835" width="39.140625" style="1" customWidth="1"/>
    <col min="14836" max="14836" width="21.42578125" style="1" customWidth="1"/>
    <col min="14837" max="14837" width="11.28515625" style="1" customWidth="1"/>
    <col min="14838" max="14838" width="9.5703125" style="1" customWidth="1"/>
    <col min="14839" max="14839" width="13.5703125" style="1" customWidth="1"/>
    <col min="14840" max="14849" width="12.140625" style="1" customWidth="1"/>
    <col min="14850" max="14859" width="0" style="1" hidden="1" customWidth="1"/>
    <col min="14860" max="14860" width="14.140625" style="1" customWidth="1"/>
    <col min="14861" max="15089" width="9.140625" style="1"/>
    <col min="15090" max="15090" width="1" style="1" customWidth="1"/>
    <col min="15091" max="15091" width="39.140625" style="1" customWidth="1"/>
    <col min="15092" max="15092" width="21.42578125" style="1" customWidth="1"/>
    <col min="15093" max="15093" width="11.28515625" style="1" customWidth="1"/>
    <col min="15094" max="15094" width="9.5703125" style="1" customWidth="1"/>
    <col min="15095" max="15095" width="13.5703125" style="1" customWidth="1"/>
    <col min="15096" max="15105" width="12.140625" style="1" customWidth="1"/>
    <col min="15106" max="15115" width="0" style="1" hidden="1" customWidth="1"/>
    <col min="15116" max="15116" width="14.140625" style="1" customWidth="1"/>
    <col min="15117" max="15345" width="9.140625" style="1"/>
    <col min="15346" max="15346" width="1" style="1" customWidth="1"/>
    <col min="15347" max="15347" width="39.140625" style="1" customWidth="1"/>
    <col min="15348" max="15348" width="21.42578125" style="1" customWidth="1"/>
    <col min="15349" max="15349" width="11.28515625" style="1" customWidth="1"/>
    <col min="15350" max="15350" width="9.5703125" style="1" customWidth="1"/>
    <col min="15351" max="15351" width="13.5703125" style="1" customWidth="1"/>
    <col min="15352" max="15361" width="12.140625" style="1" customWidth="1"/>
    <col min="15362" max="15371" width="0" style="1" hidden="1" customWidth="1"/>
    <col min="15372" max="15372" width="14.140625" style="1" customWidth="1"/>
    <col min="15373" max="15601" width="9.140625" style="1"/>
    <col min="15602" max="15602" width="1" style="1" customWidth="1"/>
    <col min="15603" max="15603" width="39.140625" style="1" customWidth="1"/>
    <col min="15604" max="15604" width="21.42578125" style="1" customWidth="1"/>
    <col min="15605" max="15605" width="11.28515625" style="1" customWidth="1"/>
    <col min="15606" max="15606" width="9.5703125" style="1" customWidth="1"/>
    <col min="15607" max="15607" width="13.5703125" style="1" customWidth="1"/>
    <col min="15608" max="15617" width="12.140625" style="1" customWidth="1"/>
    <col min="15618" max="15627" width="0" style="1" hidden="1" customWidth="1"/>
    <col min="15628" max="15628" width="14.140625" style="1" customWidth="1"/>
    <col min="15629" max="15857" width="9.140625" style="1"/>
    <col min="15858" max="15858" width="1" style="1" customWidth="1"/>
    <col min="15859" max="15859" width="39.140625" style="1" customWidth="1"/>
    <col min="15860" max="15860" width="21.42578125" style="1" customWidth="1"/>
    <col min="15861" max="15861" width="11.28515625" style="1" customWidth="1"/>
    <col min="15862" max="15862" width="9.5703125" style="1" customWidth="1"/>
    <col min="15863" max="15863" width="13.5703125" style="1" customWidth="1"/>
    <col min="15864" max="15873" width="12.140625" style="1" customWidth="1"/>
    <col min="15874" max="15883" width="0" style="1" hidden="1" customWidth="1"/>
    <col min="15884" max="15884" width="14.140625" style="1" customWidth="1"/>
    <col min="15885" max="16113" width="9.140625" style="1"/>
    <col min="16114" max="16114" width="1" style="1" customWidth="1"/>
    <col min="16115" max="16115" width="39.140625" style="1" customWidth="1"/>
    <col min="16116" max="16116" width="21.42578125" style="1" customWidth="1"/>
    <col min="16117" max="16117" width="11.28515625" style="1" customWidth="1"/>
    <col min="16118" max="16118" width="9.5703125" style="1" customWidth="1"/>
    <col min="16119" max="16119" width="13.5703125" style="1" customWidth="1"/>
    <col min="16120" max="16129" width="12.140625" style="1" customWidth="1"/>
    <col min="16130" max="16139" width="0" style="1" hidden="1" customWidth="1"/>
    <col min="16140" max="16140" width="14.140625" style="1" customWidth="1"/>
    <col min="16141" max="16384" width="9.140625" style="1"/>
  </cols>
  <sheetData>
    <row r="1" spans="1:14" s="17" customFormat="1" ht="22.5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4" ht="12.75" customHeight="1"/>
    <row r="3" spans="1:14" ht="31.5" customHeight="1">
      <c r="A3" s="125" t="s">
        <v>1</v>
      </c>
      <c r="B3" s="125" t="s">
        <v>2</v>
      </c>
      <c r="C3" s="125" t="s">
        <v>3</v>
      </c>
      <c r="D3" s="125" t="s">
        <v>4</v>
      </c>
      <c r="E3" s="125"/>
      <c r="F3" s="125" t="s">
        <v>5</v>
      </c>
      <c r="G3" s="126" t="s">
        <v>33</v>
      </c>
      <c r="H3" s="127"/>
      <c r="I3" s="127"/>
      <c r="J3" s="127"/>
      <c r="K3" s="127"/>
      <c r="L3" s="125" t="s">
        <v>6</v>
      </c>
    </row>
    <row r="4" spans="1:14" s="2" customFormat="1" ht="23.25" customHeight="1">
      <c r="A4" s="125"/>
      <c r="B4" s="125"/>
      <c r="C4" s="125"/>
      <c r="D4" s="3" t="s">
        <v>7</v>
      </c>
      <c r="E4" s="3" t="s">
        <v>8</v>
      </c>
      <c r="F4" s="125"/>
      <c r="G4" s="4">
        <v>2017</v>
      </c>
      <c r="H4" s="4">
        <v>2018</v>
      </c>
      <c r="I4" s="4">
        <v>2019</v>
      </c>
      <c r="J4" s="4">
        <v>2020</v>
      </c>
      <c r="K4" s="109">
        <v>2021</v>
      </c>
      <c r="L4" s="125"/>
    </row>
    <row r="5" spans="1:14" s="19" customFormat="1" ht="15" customHeight="1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8">
        <v>6</v>
      </c>
      <c r="G5" s="18">
        <v>7</v>
      </c>
      <c r="H5" s="18">
        <v>8</v>
      </c>
      <c r="I5" s="18">
        <v>9</v>
      </c>
      <c r="J5" s="18">
        <v>10</v>
      </c>
      <c r="K5" s="18">
        <v>11</v>
      </c>
      <c r="L5" s="18">
        <v>12</v>
      </c>
    </row>
    <row r="6" spans="1:14" s="7" customFormat="1" ht="18.75" customHeight="1">
      <c r="A6" s="5" t="s">
        <v>9</v>
      </c>
      <c r="B6" s="123" t="s">
        <v>10</v>
      </c>
      <c r="C6" s="123"/>
      <c r="D6" s="123"/>
      <c r="E6" s="123"/>
      <c r="F6" s="6">
        <f t="shared" ref="F6:L7" si="0">SUM(F9,F18,F21)</f>
        <v>51550964</v>
      </c>
      <c r="G6" s="6">
        <f t="shared" si="0"/>
        <v>12736778</v>
      </c>
      <c r="H6" s="6">
        <f t="shared" si="0"/>
        <v>16430097</v>
      </c>
      <c r="I6" s="6">
        <f t="shared" si="0"/>
        <v>12981062</v>
      </c>
      <c r="J6" s="6">
        <f t="shared" si="0"/>
        <v>1700000</v>
      </c>
      <c r="K6" s="6">
        <f t="shared" si="0"/>
        <v>200000</v>
      </c>
      <c r="L6" s="6">
        <f t="shared" si="0"/>
        <v>44047937</v>
      </c>
    </row>
    <row r="7" spans="1:14" s="7" customFormat="1" ht="18.75" customHeight="1">
      <c r="A7" s="5" t="s">
        <v>11</v>
      </c>
      <c r="B7" s="123" t="s">
        <v>12</v>
      </c>
      <c r="C7" s="123"/>
      <c r="D7" s="123"/>
      <c r="E7" s="123"/>
      <c r="F7" s="6">
        <f t="shared" si="0"/>
        <v>2464794</v>
      </c>
      <c r="G7" s="6">
        <f t="shared" si="0"/>
        <v>1326781</v>
      </c>
      <c r="H7" s="6">
        <f t="shared" si="0"/>
        <v>432169</v>
      </c>
      <c r="I7" s="6">
        <f t="shared" si="0"/>
        <v>80000</v>
      </c>
      <c r="J7" s="6">
        <f t="shared" si="0"/>
        <v>0</v>
      </c>
      <c r="K7" s="6">
        <f t="shared" si="0"/>
        <v>0</v>
      </c>
      <c r="L7" s="6">
        <f t="shared" si="0"/>
        <v>1838950</v>
      </c>
    </row>
    <row r="8" spans="1:14" s="7" customFormat="1" ht="18.75" customHeight="1">
      <c r="A8" s="5" t="s">
        <v>13</v>
      </c>
      <c r="B8" s="123" t="s">
        <v>14</v>
      </c>
      <c r="C8" s="123"/>
      <c r="D8" s="123"/>
      <c r="E8" s="123"/>
      <c r="F8" s="6">
        <f t="shared" ref="F8:L8" si="1">SUM(F15,F20,F24)</f>
        <v>49086170</v>
      </c>
      <c r="G8" s="6">
        <f t="shared" si="1"/>
        <v>11409997</v>
      </c>
      <c r="H8" s="6">
        <f t="shared" si="1"/>
        <v>15997928</v>
      </c>
      <c r="I8" s="6">
        <f t="shared" si="1"/>
        <v>12901062</v>
      </c>
      <c r="J8" s="6">
        <f t="shared" si="1"/>
        <v>1700000</v>
      </c>
      <c r="K8" s="6">
        <f t="shared" si="1"/>
        <v>200000</v>
      </c>
      <c r="L8" s="6">
        <f t="shared" si="1"/>
        <v>42208987</v>
      </c>
    </row>
    <row r="9" spans="1:14" s="9" customFormat="1" ht="48.75" customHeight="1">
      <c r="A9" s="5" t="s">
        <v>15</v>
      </c>
      <c r="B9" s="123" t="s">
        <v>271</v>
      </c>
      <c r="C9" s="123"/>
      <c r="D9" s="123"/>
      <c r="E9" s="123"/>
      <c r="F9" s="8">
        <f t="shared" ref="F9:L9" si="2">SUM(F10,F15)</f>
        <v>3505381</v>
      </c>
      <c r="G9" s="8">
        <f t="shared" si="2"/>
        <v>2286778</v>
      </c>
      <c r="H9" s="8">
        <f t="shared" si="2"/>
        <v>580097</v>
      </c>
      <c r="I9" s="8">
        <f t="shared" si="2"/>
        <v>1062</v>
      </c>
      <c r="J9" s="8">
        <f t="shared" si="2"/>
        <v>0</v>
      </c>
      <c r="K9" s="8">
        <f t="shared" si="2"/>
        <v>0</v>
      </c>
      <c r="L9" s="8">
        <f t="shared" si="2"/>
        <v>2867937</v>
      </c>
    </row>
    <row r="10" spans="1:14" s="7" customFormat="1" ht="18.75" customHeight="1">
      <c r="A10" s="5" t="s">
        <v>16</v>
      </c>
      <c r="B10" s="123" t="s">
        <v>12</v>
      </c>
      <c r="C10" s="123"/>
      <c r="D10" s="123"/>
      <c r="E10" s="123"/>
      <c r="F10" s="6">
        <f>SUM(F11:F14)</f>
        <v>2224794</v>
      </c>
      <c r="G10" s="6">
        <f t="shared" ref="G10:L10" si="3">SUM(G11:G14)</f>
        <v>1246781</v>
      </c>
      <c r="H10" s="6">
        <f t="shared" si="3"/>
        <v>352169</v>
      </c>
      <c r="I10" s="6">
        <f t="shared" si="3"/>
        <v>0</v>
      </c>
      <c r="J10" s="6">
        <f t="shared" si="3"/>
        <v>0</v>
      </c>
      <c r="K10" s="6">
        <f t="shared" si="3"/>
        <v>0</v>
      </c>
      <c r="L10" s="6">
        <f t="shared" si="3"/>
        <v>1598950</v>
      </c>
    </row>
    <row r="11" spans="1:14" s="15" customFormat="1" ht="43.5" customHeight="1">
      <c r="A11" s="10" t="s">
        <v>38</v>
      </c>
      <c r="B11" s="11" t="s">
        <v>249</v>
      </c>
      <c r="C11" s="12" t="s">
        <v>18</v>
      </c>
      <c r="D11" s="13">
        <v>2016</v>
      </c>
      <c r="E11" s="13">
        <v>2017</v>
      </c>
      <c r="F11" s="14">
        <v>782308</v>
      </c>
      <c r="G11" s="14">
        <v>156464</v>
      </c>
      <c r="H11" s="14"/>
      <c r="I11" s="14"/>
      <c r="J11" s="14"/>
      <c r="K11" s="14"/>
      <c r="L11" s="14">
        <f>SUM(G11:K11)</f>
        <v>156464</v>
      </c>
    </row>
    <row r="12" spans="1:14" s="15" customFormat="1" ht="43.5" customHeight="1">
      <c r="A12" s="10" t="s">
        <v>258</v>
      </c>
      <c r="B12" s="11" t="s">
        <v>259</v>
      </c>
      <c r="C12" s="12" t="s">
        <v>260</v>
      </c>
      <c r="D12" s="13">
        <v>2017</v>
      </c>
      <c r="E12" s="13">
        <v>2018</v>
      </c>
      <c r="F12" s="14">
        <v>571446</v>
      </c>
      <c r="G12" s="14">
        <v>393486</v>
      </c>
      <c r="H12" s="14">
        <v>177960</v>
      </c>
      <c r="I12" s="14"/>
      <c r="J12" s="14"/>
      <c r="K12" s="14"/>
      <c r="L12" s="14">
        <f>SUM(G12:K12)</f>
        <v>571446</v>
      </c>
    </row>
    <row r="13" spans="1:14" s="15" customFormat="1" ht="43.5" customHeight="1">
      <c r="A13" s="10" t="s">
        <v>267</v>
      </c>
      <c r="B13" s="11" t="s">
        <v>268</v>
      </c>
      <c r="C13" s="12" t="s">
        <v>18</v>
      </c>
      <c r="D13" s="13">
        <v>2017</v>
      </c>
      <c r="E13" s="13">
        <v>2018</v>
      </c>
      <c r="F13" s="14">
        <v>837938</v>
      </c>
      <c r="G13" s="14">
        <v>670350</v>
      </c>
      <c r="H13" s="14">
        <v>167588</v>
      </c>
      <c r="I13" s="14"/>
      <c r="J13" s="14"/>
      <c r="K13" s="14"/>
      <c r="L13" s="14">
        <f>SUM(G13:K13)</f>
        <v>837938</v>
      </c>
    </row>
    <row r="14" spans="1:14" s="15" customFormat="1" ht="18.75" customHeight="1">
      <c r="A14" s="10" t="s">
        <v>272</v>
      </c>
      <c r="B14" s="11" t="s">
        <v>273</v>
      </c>
      <c r="C14" s="12" t="s">
        <v>274</v>
      </c>
      <c r="D14" s="13">
        <v>2017</v>
      </c>
      <c r="E14" s="13">
        <v>2018</v>
      </c>
      <c r="F14" s="14">
        <v>33102</v>
      </c>
      <c r="G14" s="14">
        <v>26481</v>
      </c>
      <c r="H14" s="14">
        <v>6621</v>
      </c>
      <c r="I14" s="14"/>
      <c r="J14" s="14"/>
      <c r="K14" s="14"/>
      <c r="L14" s="14">
        <f>SUM(G14:K14)</f>
        <v>33102</v>
      </c>
    </row>
    <row r="15" spans="1:14" s="7" customFormat="1" ht="18.75" customHeight="1">
      <c r="A15" s="5" t="s">
        <v>19</v>
      </c>
      <c r="B15" s="123" t="s">
        <v>14</v>
      </c>
      <c r="C15" s="123"/>
      <c r="D15" s="123"/>
      <c r="E15" s="123"/>
      <c r="F15" s="6">
        <f>SUM(F16:F17)</f>
        <v>1280587</v>
      </c>
      <c r="G15" s="6">
        <f t="shared" ref="G15:L15" si="4">SUM(G16:G17)</f>
        <v>1039997</v>
      </c>
      <c r="H15" s="6">
        <f t="shared" si="4"/>
        <v>227928</v>
      </c>
      <c r="I15" s="6">
        <f t="shared" si="4"/>
        <v>1062</v>
      </c>
      <c r="J15" s="6">
        <f t="shared" si="4"/>
        <v>0</v>
      </c>
      <c r="K15" s="6">
        <f t="shared" si="4"/>
        <v>0</v>
      </c>
      <c r="L15" s="6">
        <f t="shared" si="4"/>
        <v>1268987</v>
      </c>
      <c r="M15" s="16"/>
      <c r="N15" s="16"/>
    </row>
    <row r="16" spans="1:14" s="119" customFormat="1" ht="48.75" customHeight="1">
      <c r="A16" s="113" t="s">
        <v>39</v>
      </c>
      <c r="B16" s="114" t="s">
        <v>20</v>
      </c>
      <c r="C16" s="115" t="s">
        <v>17</v>
      </c>
      <c r="D16" s="116">
        <v>2016</v>
      </c>
      <c r="E16" s="116">
        <v>2019</v>
      </c>
      <c r="F16" s="117">
        <v>290226</v>
      </c>
      <c r="G16" s="117">
        <v>61236</v>
      </c>
      <c r="H16" s="117">
        <v>227928</v>
      </c>
      <c r="I16" s="117">
        <v>1062</v>
      </c>
      <c r="J16" s="117"/>
      <c r="K16" s="117"/>
      <c r="L16" s="117">
        <f>SUM(G16:K16)</f>
        <v>290226</v>
      </c>
    </row>
    <row r="17" spans="1:12" s="15" customFormat="1" ht="50.25" customHeight="1">
      <c r="A17" s="10" t="s">
        <v>250</v>
      </c>
      <c r="B17" s="11" t="s">
        <v>251</v>
      </c>
      <c r="C17" s="12" t="s">
        <v>17</v>
      </c>
      <c r="D17" s="13">
        <v>2016</v>
      </c>
      <c r="E17" s="13">
        <v>2017</v>
      </c>
      <c r="F17" s="14">
        <v>990361</v>
      </c>
      <c r="G17" s="14">
        <v>978761</v>
      </c>
      <c r="H17" s="14"/>
      <c r="I17" s="14"/>
      <c r="J17" s="14"/>
      <c r="K17" s="14"/>
      <c r="L17" s="14">
        <f>SUM(G17:K17)</f>
        <v>978761</v>
      </c>
    </row>
    <row r="18" spans="1:12" s="9" customFormat="1" ht="34.5" customHeight="1">
      <c r="A18" s="5" t="s">
        <v>21</v>
      </c>
      <c r="B18" s="123" t="s">
        <v>22</v>
      </c>
      <c r="C18" s="123"/>
      <c r="D18" s="123"/>
      <c r="E18" s="123"/>
      <c r="F18" s="8">
        <f t="shared" ref="F18:K18" si="5">SUM(F19:F20)</f>
        <v>0</v>
      </c>
      <c r="G18" s="8">
        <f t="shared" si="5"/>
        <v>0</v>
      </c>
      <c r="H18" s="8">
        <f t="shared" si="5"/>
        <v>0</v>
      </c>
      <c r="I18" s="8">
        <f t="shared" si="5"/>
        <v>0</v>
      </c>
      <c r="J18" s="8">
        <f t="shared" si="5"/>
        <v>0</v>
      </c>
      <c r="K18" s="8">
        <f t="shared" si="5"/>
        <v>0</v>
      </c>
      <c r="L18" s="8">
        <f>SUM(G18:K18)</f>
        <v>0</v>
      </c>
    </row>
    <row r="19" spans="1:12" s="9" customFormat="1" ht="18.75" customHeight="1">
      <c r="A19" s="5" t="s">
        <v>261</v>
      </c>
      <c r="B19" s="123" t="s">
        <v>12</v>
      </c>
      <c r="C19" s="123"/>
      <c r="D19" s="123"/>
      <c r="E19" s="123"/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f>SUM(G19:K19)</f>
        <v>0</v>
      </c>
    </row>
    <row r="20" spans="1:12" s="9" customFormat="1" ht="18.75" customHeight="1">
      <c r="A20" s="5" t="s">
        <v>262</v>
      </c>
      <c r="B20" s="123" t="s">
        <v>14</v>
      </c>
      <c r="C20" s="123"/>
      <c r="D20" s="123"/>
      <c r="E20" s="123"/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f>SUM(G20:K20)</f>
        <v>0</v>
      </c>
    </row>
    <row r="21" spans="1:12" s="9" customFormat="1" ht="18.75" customHeight="1">
      <c r="A21" s="5" t="s">
        <v>25</v>
      </c>
      <c r="B21" s="123" t="s">
        <v>26</v>
      </c>
      <c r="C21" s="123"/>
      <c r="D21" s="123"/>
      <c r="E21" s="123"/>
      <c r="F21" s="8">
        <f>SUM(F22,F24)</f>
        <v>48045583</v>
      </c>
      <c r="G21" s="8">
        <f t="shared" ref="G21:L21" si="6">SUM(G22,G24)</f>
        <v>10450000</v>
      </c>
      <c r="H21" s="8">
        <f t="shared" si="6"/>
        <v>15850000</v>
      </c>
      <c r="I21" s="8">
        <f t="shared" si="6"/>
        <v>12980000</v>
      </c>
      <c r="J21" s="8">
        <f t="shared" si="6"/>
        <v>1700000</v>
      </c>
      <c r="K21" s="8">
        <f t="shared" si="6"/>
        <v>200000</v>
      </c>
      <c r="L21" s="8">
        <f t="shared" si="6"/>
        <v>41180000</v>
      </c>
    </row>
    <row r="22" spans="1:12" s="9" customFormat="1" ht="18.75" customHeight="1">
      <c r="A22" s="5" t="s">
        <v>27</v>
      </c>
      <c r="B22" s="123" t="s">
        <v>12</v>
      </c>
      <c r="C22" s="123"/>
      <c r="D22" s="123"/>
      <c r="E22" s="123"/>
      <c r="F22" s="8">
        <f>SUM(F23)</f>
        <v>240000</v>
      </c>
      <c r="G22" s="8">
        <f t="shared" ref="G22:L22" si="7">SUM(G23)</f>
        <v>80000</v>
      </c>
      <c r="H22" s="8">
        <f t="shared" si="7"/>
        <v>80000</v>
      </c>
      <c r="I22" s="8">
        <f t="shared" si="7"/>
        <v>80000</v>
      </c>
      <c r="J22" s="8">
        <f t="shared" si="7"/>
        <v>0</v>
      </c>
      <c r="K22" s="8">
        <f t="shared" si="7"/>
        <v>0</v>
      </c>
      <c r="L22" s="8">
        <f t="shared" si="7"/>
        <v>240000</v>
      </c>
    </row>
    <row r="23" spans="1:12" s="15" customFormat="1" ht="35.25" customHeight="1">
      <c r="A23" s="10" t="s">
        <v>270</v>
      </c>
      <c r="B23" s="11" t="s">
        <v>269</v>
      </c>
      <c r="C23" s="12" t="s">
        <v>17</v>
      </c>
      <c r="D23" s="13">
        <v>2017</v>
      </c>
      <c r="E23" s="13">
        <v>2019</v>
      </c>
      <c r="F23" s="14">
        <v>240000</v>
      </c>
      <c r="G23" s="14">
        <v>80000</v>
      </c>
      <c r="H23" s="14">
        <v>80000</v>
      </c>
      <c r="I23" s="14">
        <v>80000</v>
      </c>
      <c r="J23" s="14"/>
      <c r="K23" s="14"/>
      <c r="L23" s="14">
        <f>SUM(G23:K23)</f>
        <v>240000</v>
      </c>
    </row>
    <row r="24" spans="1:12" s="9" customFormat="1" ht="18.75" customHeight="1">
      <c r="A24" s="5" t="s">
        <v>28</v>
      </c>
      <c r="B24" s="123" t="s">
        <v>14</v>
      </c>
      <c r="C24" s="123"/>
      <c r="D24" s="123"/>
      <c r="E24" s="123"/>
      <c r="F24" s="8">
        <f t="shared" ref="F24:L24" si="8">SUM(F25:F38)</f>
        <v>47805583</v>
      </c>
      <c r="G24" s="8">
        <f t="shared" si="8"/>
        <v>10370000</v>
      </c>
      <c r="H24" s="8">
        <f t="shared" si="8"/>
        <v>15770000</v>
      </c>
      <c r="I24" s="8">
        <f t="shared" si="8"/>
        <v>12900000</v>
      </c>
      <c r="J24" s="8">
        <f t="shared" si="8"/>
        <v>1700000</v>
      </c>
      <c r="K24" s="8">
        <f t="shared" si="8"/>
        <v>200000</v>
      </c>
      <c r="L24" s="8">
        <f t="shared" si="8"/>
        <v>40940000</v>
      </c>
    </row>
    <row r="25" spans="1:12" s="15" customFormat="1" ht="35.25" customHeight="1">
      <c r="A25" s="10" t="s">
        <v>29</v>
      </c>
      <c r="B25" s="11" t="s">
        <v>30</v>
      </c>
      <c r="C25" s="12" t="s">
        <v>31</v>
      </c>
      <c r="D25" s="13">
        <v>2014</v>
      </c>
      <c r="E25" s="13">
        <v>2018</v>
      </c>
      <c r="F25" s="14">
        <v>744637</v>
      </c>
      <c r="G25" s="14">
        <v>150000</v>
      </c>
      <c r="H25" s="14">
        <v>150000</v>
      </c>
      <c r="I25" s="14"/>
      <c r="J25" s="14"/>
      <c r="K25" s="14"/>
      <c r="L25" s="14">
        <f>SUM(G25:K25)</f>
        <v>300000</v>
      </c>
    </row>
    <row r="26" spans="1:12" s="15" customFormat="1" ht="36.75" customHeight="1">
      <c r="A26" s="10" t="s">
        <v>40</v>
      </c>
      <c r="B26" s="11" t="s">
        <v>36</v>
      </c>
      <c r="C26" s="12" t="s">
        <v>31</v>
      </c>
      <c r="D26" s="13">
        <v>2016</v>
      </c>
      <c r="E26" s="13">
        <v>2020</v>
      </c>
      <c r="F26" s="14">
        <v>4582700</v>
      </c>
      <c r="G26" s="14">
        <v>0</v>
      </c>
      <c r="H26" s="14">
        <v>1500000</v>
      </c>
      <c r="I26" s="14">
        <v>1500000</v>
      </c>
      <c r="J26" s="14">
        <v>1500000</v>
      </c>
      <c r="K26" s="14"/>
      <c r="L26" s="14">
        <f t="shared" ref="L26:L37" si="9">SUM(G26:K26)</f>
        <v>4500000</v>
      </c>
    </row>
    <row r="27" spans="1:12" s="15" customFormat="1" ht="49.5" customHeight="1">
      <c r="A27" s="10" t="s">
        <v>41</v>
      </c>
      <c r="B27" s="11" t="s">
        <v>266</v>
      </c>
      <c r="C27" s="12" t="s">
        <v>31</v>
      </c>
      <c r="D27" s="13">
        <v>2016</v>
      </c>
      <c r="E27" s="13">
        <v>2018</v>
      </c>
      <c r="F27" s="14">
        <v>649815</v>
      </c>
      <c r="G27" s="14">
        <v>300000</v>
      </c>
      <c r="H27" s="14">
        <v>300000</v>
      </c>
      <c r="I27" s="14"/>
      <c r="J27" s="14"/>
      <c r="K27" s="14"/>
      <c r="L27" s="14">
        <f t="shared" si="9"/>
        <v>600000</v>
      </c>
    </row>
    <row r="28" spans="1:12" s="15" customFormat="1" ht="35.25" customHeight="1">
      <c r="A28" s="10" t="s">
        <v>42</v>
      </c>
      <c r="B28" s="11" t="s">
        <v>37</v>
      </c>
      <c r="C28" s="12" t="s">
        <v>31</v>
      </c>
      <c r="D28" s="13">
        <v>2015</v>
      </c>
      <c r="E28" s="13">
        <v>2018</v>
      </c>
      <c r="F28" s="14">
        <v>750000</v>
      </c>
      <c r="G28" s="14">
        <v>200000</v>
      </c>
      <c r="H28" s="14">
        <v>150000</v>
      </c>
      <c r="I28" s="14"/>
      <c r="J28" s="14"/>
      <c r="K28" s="14"/>
      <c r="L28" s="14">
        <f t="shared" si="9"/>
        <v>350000</v>
      </c>
    </row>
    <row r="29" spans="1:12" s="15" customFormat="1" ht="51" customHeight="1">
      <c r="A29" s="10" t="s">
        <v>43</v>
      </c>
      <c r="B29" s="11" t="s">
        <v>32</v>
      </c>
      <c r="C29" s="12" t="s">
        <v>17</v>
      </c>
      <c r="D29" s="13">
        <v>2011</v>
      </c>
      <c r="E29" s="13">
        <v>2018</v>
      </c>
      <c r="F29" s="14">
        <v>1081066</v>
      </c>
      <c r="G29" s="14">
        <v>300000</v>
      </c>
      <c r="H29" s="14">
        <v>500000</v>
      </c>
      <c r="I29" s="14"/>
      <c r="J29" s="14"/>
      <c r="K29" s="14"/>
      <c r="L29" s="14">
        <f t="shared" si="9"/>
        <v>800000</v>
      </c>
    </row>
    <row r="30" spans="1:12" s="15" customFormat="1" ht="37.5" customHeight="1">
      <c r="A30" s="10" t="s">
        <v>44</v>
      </c>
      <c r="B30" s="11" t="s">
        <v>34</v>
      </c>
      <c r="C30" s="12" t="s">
        <v>31</v>
      </c>
      <c r="D30" s="13">
        <v>2014</v>
      </c>
      <c r="E30" s="13">
        <v>2017</v>
      </c>
      <c r="F30" s="14">
        <v>6412828</v>
      </c>
      <c r="G30" s="14">
        <v>2000000</v>
      </c>
      <c r="H30" s="14"/>
      <c r="I30" s="14"/>
      <c r="J30" s="14"/>
      <c r="K30" s="14"/>
      <c r="L30" s="14">
        <f t="shared" si="9"/>
        <v>2000000</v>
      </c>
    </row>
    <row r="31" spans="1:12" s="15" customFormat="1" ht="34.5" customHeight="1">
      <c r="A31" s="10" t="s">
        <v>45</v>
      </c>
      <c r="B31" s="11" t="s">
        <v>263</v>
      </c>
      <c r="C31" s="12" t="s">
        <v>31</v>
      </c>
      <c r="D31" s="13">
        <v>2016</v>
      </c>
      <c r="E31" s="13">
        <v>2017</v>
      </c>
      <c r="F31" s="14">
        <v>249815</v>
      </c>
      <c r="G31" s="14">
        <v>200000</v>
      </c>
      <c r="H31" s="14"/>
      <c r="I31" s="14"/>
      <c r="J31" s="14"/>
      <c r="K31" s="14"/>
      <c r="L31" s="14">
        <f t="shared" si="9"/>
        <v>200000</v>
      </c>
    </row>
    <row r="32" spans="1:12" s="15" customFormat="1" ht="74.25" customHeight="1">
      <c r="A32" s="10" t="s">
        <v>46</v>
      </c>
      <c r="B32" s="11" t="s">
        <v>35</v>
      </c>
      <c r="C32" s="12" t="s">
        <v>31</v>
      </c>
      <c r="D32" s="13">
        <v>2011</v>
      </c>
      <c r="E32" s="13">
        <v>2019</v>
      </c>
      <c r="F32" s="14">
        <v>30364722</v>
      </c>
      <c r="G32" s="14">
        <v>6300000</v>
      </c>
      <c r="H32" s="14">
        <v>12000000</v>
      </c>
      <c r="I32" s="14">
        <v>11000000</v>
      </c>
      <c r="J32" s="14"/>
      <c r="K32" s="14"/>
      <c r="L32" s="14">
        <f t="shared" si="9"/>
        <v>29300000</v>
      </c>
    </row>
    <row r="33" spans="1:12" s="118" customFormat="1" ht="31.5" customHeight="1">
      <c r="A33" s="113" t="s">
        <v>47</v>
      </c>
      <c r="B33" s="114" t="s">
        <v>253</v>
      </c>
      <c r="C33" s="115" t="s">
        <v>31</v>
      </c>
      <c r="D33" s="116">
        <v>2016</v>
      </c>
      <c r="E33" s="116">
        <v>2018</v>
      </c>
      <c r="F33" s="117">
        <v>320000</v>
      </c>
      <c r="G33" s="117">
        <v>160000</v>
      </c>
      <c r="H33" s="117">
        <v>80000</v>
      </c>
      <c r="I33" s="117"/>
      <c r="J33" s="117"/>
      <c r="K33" s="117"/>
      <c r="L33" s="117">
        <f t="shared" si="9"/>
        <v>240000</v>
      </c>
    </row>
    <row r="34" spans="1:12" ht="46.5" customHeight="1">
      <c r="A34" s="10" t="s">
        <v>48</v>
      </c>
      <c r="B34" s="11" t="s">
        <v>254</v>
      </c>
      <c r="C34" s="12" t="s">
        <v>31</v>
      </c>
      <c r="D34" s="13">
        <v>2017</v>
      </c>
      <c r="E34" s="13">
        <v>2018</v>
      </c>
      <c r="F34" s="14">
        <v>200000</v>
      </c>
      <c r="G34" s="14">
        <v>40000</v>
      </c>
      <c r="H34" s="14">
        <v>160000</v>
      </c>
      <c r="I34" s="14"/>
      <c r="J34" s="14"/>
      <c r="K34" s="14"/>
      <c r="L34" s="14">
        <f t="shared" si="9"/>
        <v>200000</v>
      </c>
    </row>
    <row r="35" spans="1:12" ht="48.75" customHeight="1">
      <c r="A35" s="10" t="s">
        <v>49</v>
      </c>
      <c r="B35" s="11" t="s">
        <v>255</v>
      </c>
      <c r="C35" s="12" t="s">
        <v>31</v>
      </c>
      <c r="D35" s="13">
        <v>2017</v>
      </c>
      <c r="E35" s="13">
        <v>2018</v>
      </c>
      <c r="F35" s="14">
        <v>600000</v>
      </c>
      <c r="G35" s="14">
        <v>70000</v>
      </c>
      <c r="H35" s="14">
        <v>530000</v>
      </c>
      <c r="I35" s="14"/>
      <c r="J35" s="14"/>
      <c r="K35" s="14"/>
      <c r="L35" s="14">
        <f t="shared" si="9"/>
        <v>600000</v>
      </c>
    </row>
    <row r="36" spans="1:12" ht="33.75" customHeight="1">
      <c r="A36" s="10" t="s">
        <v>50</v>
      </c>
      <c r="B36" s="11" t="s">
        <v>256</v>
      </c>
      <c r="C36" s="12" t="s">
        <v>31</v>
      </c>
      <c r="D36" s="13">
        <v>2017</v>
      </c>
      <c r="E36" s="13">
        <v>2019</v>
      </c>
      <c r="F36" s="14">
        <v>300000</v>
      </c>
      <c r="G36" s="14">
        <v>100000</v>
      </c>
      <c r="H36" s="14">
        <v>100000</v>
      </c>
      <c r="I36" s="14">
        <v>100000</v>
      </c>
      <c r="J36" s="14"/>
      <c r="K36" s="14"/>
      <c r="L36" s="14">
        <f t="shared" si="9"/>
        <v>300000</v>
      </c>
    </row>
    <row r="37" spans="1:12" ht="34.5" customHeight="1">
      <c r="A37" s="10" t="s">
        <v>252</v>
      </c>
      <c r="B37" s="11" t="s">
        <v>257</v>
      </c>
      <c r="C37" s="12" t="s">
        <v>31</v>
      </c>
      <c r="D37" s="13">
        <v>2017</v>
      </c>
      <c r="E37" s="13">
        <v>2021</v>
      </c>
      <c r="F37" s="14">
        <v>1250000</v>
      </c>
      <c r="G37" s="14">
        <v>450000</v>
      </c>
      <c r="H37" s="14">
        <v>200000</v>
      </c>
      <c r="I37" s="14">
        <v>200000</v>
      </c>
      <c r="J37" s="14">
        <v>200000</v>
      </c>
      <c r="K37" s="14">
        <v>200000</v>
      </c>
      <c r="L37" s="14">
        <f t="shared" si="9"/>
        <v>1250000</v>
      </c>
    </row>
    <row r="38" spans="1:12" ht="36.75" customHeight="1">
      <c r="A38" s="10" t="s">
        <v>264</v>
      </c>
      <c r="B38" s="11" t="s">
        <v>265</v>
      </c>
      <c r="C38" s="12" t="s">
        <v>31</v>
      </c>
      <c r="D38" s="13">
        <v>2017</v>
      </c>
      <c r="E38" s="13">
        <v>2019</v>
      </c>
      <c r="F38" s="14">
        <v>300000</v>
      </c>
      <c r="G38" s="14">
        <v>100000</v>
      </c>
      <c r="H38" s="14">
        <v>100000</v>
      </c>
      <c r="I38" s="14">
        <v>100000</v>
      </c>
      <c r="J38" s="14"/>
      <c r="K38" s="14"/>
      <c r="L38" s="14">
        <f t="shared" ref="L38" si="10">SUM(G38:K38)</f>
        <v>300000</v>
      </c>
    </row>
  </sheetData>
  <sheetProtection algorithmName="SHA-512" hashValue="37NBIZxduoMT+pV+rA1JETGoLoGjMb8un9WLW87Tqxojs6b9Ta7+sIblUUprBg7Wj3m+Zi9uK/u49v0A/1JIOQ==" saltValue="cql7C1fjSUxvi/KcoTdeLQ==" spinCount="100000" sheet="1" objects="1" scenarios="1" formatColumns="0" formatRows="0"/>
  <mergeCells count="20">
    <mergeCell ref="B24:E24"/>
    <mergeCell ref="B15:E15"/>
    <mergeCell ref="B18:E18"/>
    <mergeCell ref="B19:E19"/>
    <mergeCell ref="B20:E20"/>
    <mergeCell ref="B21:E21"/>
    <mergeCell ref="B22:E22"/>
    <mergeCell ref="B10:E10"/>
    <mergeCell ref="A1:L1"/>
    <mergeCell ref="A3:A4"/>
    <mergeCell ref="B3:B4"/>
    <mergeCell ref="C3:C4"/>
    <mergeCell ref="D3:E3"/>
    <mergeCell ref="F3:F4"/>
    <mergeCell ref="L3:L4"/>
    <mergeCell ref="B6:E6"/>
    <mergeCell ref="B7:E7"/>
    <mergeCell ref="B8:E8"/>
    <mergeCell ref="B9:E9"/>
    <mergeCell ref="G3:K3"/>
  </mergeCells>
  <pageMargins left="0.35" right="0.15748031496062992" top="1.2598425196850394" bottom="0.94" header="0.59055118110236227" footer="0.39370078740157483"/>
  <pageSetup paperSize="9" scale="80" fitToWidth="0" fitToHeight="0" orientation="landscape" horizontalDpi="4294967294" r:id="rId1"/>
  <headerFooter differentOddEven="1" differentFirst="1" alignWithMargins="0">
    <oddFooter>&amp;C&amp;"Times New Roman,Normalny"&amp;P</oddFooter>
    <evenHeader>&amp;C&amp;"Times New Roman,Normalny"&amp;P</evenHeader>
    <firstHeader>&amp;RZałącznik Nr 2
do uchwały Nr ..................
Rady Powiatu w Otwocku
z dnia.........................</firstHeader>
    <firstFooter>&amp;C&amp;"Times New Roman,Normalny"&amp;P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Zał.1</vt:lpstr>
      <vt:lpstr>Zał.2 </vt:lpstr>
      <vt:lpstr>Zał.1!Obszar_wydruku</vt:lpstr>
      <vt:lpstr>'Zał.2 '!Obszar_wydruku</vt:lpstr>
      <vt:lpstr>Zał.1!Tytuły_wydruku</vt:lpstr>
      <vt:lpstr>'Zał.2 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Renis Iwona</dc:creator>
  <cp:lastModifiedBy>Renis Iwona</cp:lastModifiedBy>
  <cp:lastPrinted>2017-03-21T13:20:46Z</cp:lastPrinted>
  <dcterms:created xsi:type="dcterms:W3CDTF">2015-10-13T07:48:25Z</dcterms:created>
  <dcterms:modified xsi:type="dcterms:W3CDTF">2017-03-21T13:21:39Z</dcterms:modified>
</cp:coreProperties>
</file>