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WPF 2017-2031\"/>
    </mc:Choice>
  </mc:AlternateContent>
  <bookViews>
    <workbookView xWindow="0" yWindow="0" windowWidth="19200" windowHeight="10185"/>
  </bookViews>
  <sheets>
    <sheet name="Zal.1" sheetId="15" r:id="rId1"/>
    <sheet name="Zał.2 " sheetId="1" r:id="rId2"/>
  </sheets>
  <externalReferences>
    <externalReference r:id="rId3"/>
  </externalReferences>
  <definedNames>
    <definedName name="_xlnm.Print_Area" localSheetId="0">Zal.1!$A$1:$U$104</definedName>
    <definedName name="_xlnm.Print_Area" localSheetId="1">'Zał.2 '!$A$1:$L$37</definedName>
    <definedName name="_xlnm.Print_Titles" localSheetId="0">Zal.1!$A:$B,Zal.1!$2:$3</definedName>
    <definedName name="_xlnm.Print_Titles" localSheetId="1">'Zał.2 '!$3:$4</definedName>
    <definedName name="Z_9360F695_77C0_4418_82C5_829A762C44E9_.wvu.Cols" localSheetId="0" hidden="1">Zal.1!#REF!,Zal.1!#REF!</definedName>
    <definedName name="Z_9360F695_77C0_4418_82C5_829A762C44E9_.wvu.FilterData" localSheetId="0" hidden="1">Zal.1!#REF!</definedName>
    <definedName name="Z_9360F695_77C0_4418_82C5_829A762C44E9_.wvu.PrintArea" localSheetId="0" hidden="1">Zal.1!$A$2:$U$104</definedName>
    <definedName name="Z_9360F695_77C0_4418_82C5_829A762C44E9_.wvu.PrintTitles" localSheetId="0" hidden="1">Zal.1!$A:$B,Zal.1!$2:$3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15" l="1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U51" i="15"/>
  <c r="T51" i="15"/>
  <c r="T55" i="15" s="1"/>
  <c r="S51" i="15"/>
  <c r="R51" i="15"/>
  <c r="R56" i="15" s="1"/>
  <c r="Q51" i="15"/>
  <c r="P51" i="15"/>
  <c r="P55" i="15" s="1"/>
  <c r="O51" i="15"/>
  <c r="N51" i="15"/>
  <c r="N56" i="15" s="1"/>
  <c r="M51" i="15"/>
  <c r="L51" i="15"/>
  <c r="L55" i="15" s="1"/>
  <c r="K51" i="15"/>
  <c r="J51" i="15"/>
  <c r="J56" i="15" s="1"/>
  <c r="I51" i="15"/>
  <c r="H51" i="15"/>
  <c r="H55" i="15" s="1"/>
  <c r="G51" i="15"/>
  <c r="F51" i="15"/>
  <c r="E51" i="15"/>
  <c r="D51" i="15"/>
  <c r="C51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U46" i="15"/>
  <c r="U110" i="15" s="1"/>
  <c r="T46" i="15"/>
  <c r="T110" i="15" s="1"/>
  <c r="S46" i="15"/>
  <c r="S110" i="15" s="1"/>
  <c r="R46" i="15"/>
  <c r="R110" i="15" s="1"/>
  <c r="Q46" i="15"/>
  <c r="Q110" i="15" s="1"/>
  <c r="P46" i="15"/>
  <c r="P110" i="15" s="1"/>
  <c r="O46" i="15"/>
  <c r="O110" i="15" s="1"/>
  <c r="N46" i="15"/>
  <c r="N110" i="15" s="1"/>
  <c r="M46" i="15"/>
  <c r="M110" i="15" s="1"/>
  <c r="L46" i="15"/>
  <c r="L110" i="15" s="1"/>
  <c r="K46" i="15"/>
  <c r="K110" i="15" s="1"/>
  <c r="J46" i="15"/>
  <c r="J110" i="15" s="1"/>
  <c r="I46" i="15"/>
  <c r="I110" i="15" s="1"/>
  <c r="H46" i="15"/>
  <c r="H110" i="15" s="1"/>
  <c r="G46" i="15"/>
  <c r="G110" i="15" s="1"/>
  <c r="F46" i="15"/>
  <c r="E46" i="15"/>
  <c r="D46" i="15"/>
  <c r="C46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G3" i="15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G2" i="15"/>
  <c r="F3" i="15" l="1"/>
  <c r="E3" i="15" s="1"/>
  <c r="D3" i="15" s="1"/>
  <c r="C3" i="15" s="1"/>
  <c r="I55" i="15"/>
  <c r="M55" i="15"/>
  <c r="Q55" i="15"/>
  <c r="U55" i="15"/>
  <c r="G56" i="15"/>
  <c r="O56" i="15"/>
  <c r="K56" i="15"/>
  <c r="S56" i="15"/>
  <c r="H112" i="15"/>
  <c r="H111" i="15"/>
  <c r="H56" i="15"/>
  <c r="L112" i="15"/>
  <c r="L111" i="15"/>
  <c r="L56" i="15"/>
  <c r="P111" i="15"/>
  <c r="P112" i="15"/>
  <c r="P56" i="15"/>
  <c r="T112" i="15"/>
  <c r="T56" i="15"/>
  <c r="T111" i="15"/>
  <c r="I112" i="15"/>
  <c r="I111" i="15"/>
  <c r="I56" i="15"/>
  <c r="M112" i="15"/>
  <c r="M111" i="15"/>
  <c r="M56" i="15"/>
  <c r="Q112" i="15"/>
  <c r="Q111" i="15"/>
  <c r="Q56" i="15"/>
  <c r="U112" i="15"/>
  <c r="U111" i="15"/>
  <c r="U56" i="15"/>
  <c r="J111" i="15"/>
  <c r="J112" i="15"/>
  <c r="N111" i="15"/>
  <c r="N112" i="15"/>
  <c r="R112" i="15"/>
  <c r="R111" i="15"/>
  <c r="J55" i="15"/>
  <c r="N55" i="15"/>
  <c r="R55" i="15"/>
  <c r="G111" i="15"/>
  <c r="G112" i="15"/>
  <c r="K112" i="15"/>
  <c r="K111" i="15"/>
  <c r="O112" i="15"/>
  <c r="O111" i="15"/>
  <c r="S112" i="15"/>
  <c r="S111" i="15"/>
  <c r="G55" i="15"/>
  <c r="K55" i="15"/>
  <c r="O55" i="15"/>
  <c r="S55" i="15"/>
  <c r="G20" i="1"/>
  <c r="H20" i="1"/>
  <c r="J20" i="1"/>
  <c r="K20" i="1"/>
  <c r="G21" i="1"/>
  <c r="H21" i="1"/>
  <c r="I21" i="1"/>
  <c r="I20" i="1" s="1"/>
  <c r="J21" i="1"/>
  <c r="K21" i="1"/>
  <c r="F21" i="1"/>
  <c r="L22" i="1"/>
  <c r="L21" i="1" s="1"/>
  <c r="L20" i="1" s="1"/>
  <c r="G10" i="1" l="1"/>
  <c r="H10" i="1"/>
  <c r="I10" i="1"/>
  <c r="J10" i="1"/>
  <c r="K10" i="1"/>
  <c r="F10" i="1"/>
  <c r="L13" i="1"/>
  <c r="G23" i="1" l="1"/>
  <c r="H23" i="1"/>
  <c r="I23" i="1"/>
  <c r="J23" i="1"/>
  <c r="K23" i="1"/>
  <c r="F23" i="1"/>
  <c r="L37" i="1"/>
  <c r="G14" i="1" l="1"/>
  <c r="H14" i="1"/>
  <c r="I14" i="1"/>
  <c r="J14" i="1"/>
  <c r="K14" i="1"/>
  <c r="L12" i="1"/>
  <c r="L11" i="1" l="1"/>
  <c r="L10" i="1" s="1"/>
  <c r="L16" i="1"/>
  <c r="L15" i="1"/>
  <c r="L19" i="1"/>
  <c r="L18" i="1"/>
  <c r="K17" i="1"/>
  <c r="L25" i="1"/>
  <c r="L26" i="1"/>
  <c r="L27" i="1"/>
  <c r="L28" i="1"/>
  <c r="L29" i="1"/>
  <c r="L30" i="1"/>
  <c r="L31" i="1"/>
  <c r="L32" i="1"/>
  <c r="L33" i="1"/>
  <c r="L34" i="1"/>
  <c r="L35" i="1"/>
  <c r="L36" i="1"/>
  <c r="L24" i="1"/>
  <c r="L23" i="1" l="1"/>
  <c r="L14" i="1"/>
  <c r="K8" i="1"/>
  <c r="K9" i="1"/>
  <c r="K7" i="1"/>
  <c r="K6" i="1" l="1"/>
  <c r="F14" i="1" l="1"/>
  <c r="J17" i="1" l="1"/>
  <c r="I17" i="1"/>
  <c r="H17" i="1"/>
  <c r="G17" i="1"/>
  <c r="F17" i="1"/>
  <c r="J8" i="1"/>
  <c r="I8" i="1"/>
  <c r="H8" i="1"/>
  <c r="G8" i="1"/>
  <c r="L8" i="1" l="1"/>
  <c r="L17" i="1"/>
  <c r="I7" i="1"/>
  <c r="I9" i="1"/>
  <c r="I6" i="1" s="1"/>
  <c r="G7" i="1"/>
  <c r="G9" i="1"/>
  <c r="H9" i="1"/>
  <c r="H6" i="1" s="1"/>
  <c r="H7" i="1"/>
  <c r="J9" i="1"/>
  <c r="J6" i="1" s="1"/>
  <c r="J7" i="1"/>
  <c r="F20" i="1"/>
  <c r="F9" i="1"/>
  <c r="F8" i="1"/>
  <c r="F7" i="1"/>
  <c r="L7" i="1" l="1"/>
  <c r="G6" i="1"/>
  <c r="L6" i="1" s="1"/>
  <c r="L9" i="1"/>
  <c r="F6" i="1"/>
</calcChain>
</file>

<file path=xl/sharedStrings.xml><?xml version="1.0" encoding="utf-8"?>
<sst xmlns="http://schemas.openxmlformats.org/spreadsheetml/2006/main" count="482" uniqueCount="272">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</sst>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8" fillId="0" borderId="0" xfId="3" applyFont="1" applyAlignment="1" applyProtection="1">
      <alignment vertical="center"/>
    </xf>
    <xf numFmtId="0" fontId="8" fillId="0" borderId="0" xfId="3" applyFont="1" applyProtection="1"/>
    <xf numFmtId="0" fontId="19" fillId="0" borderId="0" xfId="3" applyFont="1" applyProtection="1"/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WPF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16384" width="9.140625" style="20"/>
  </cols>
  <sheetData>
    <row r="1" spans="1:22" s="20" customFormat="1" ht="20.25">
      <c r="A1" s="115" t="s">
        <v>248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0"/>
    </row>
    <row r="2" spans="1:22" s="20" customFormat="1" ht="15.75">
      <c r="A2" s="21"/>
      <c r="B2" s="22"/>
      <c r="C2" s="114" t="s">
        <v>51</v>
      </c>
      <c r="D2" s="114"/>
      <c r="E2" s="113" t="s">
        <v>52</v>
      </c>
      <c r="F2" s="113" t="s">
        <v>51</v>
      </c>
      <c r="G2" s="23" t="str">
        <f>""</f>
        <v/>
      </c>
      <c r="H2" s="24"/>
      <c r="I2" s="24"/>
      <c r="J2" s="24"/>
      <c r="K2" s="24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2" s="20" customFormat="1" ht="31.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1"/>
    </row>
    <row r="4" spans="1:22" s="20" customFormat="1" ht="17.2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119050697</f>
        <v>119050697</v>
      </c>
      <c r="G4" s="36">
        <f>127270512</f>
        <v>127270512</v>
      </c>
      <c r="H4" s="37">
        <f>134885612</f>
        <v>134885612</v>
      </c>
      <c r="I4" s="37">
        <f>135181901</f>
        <v>135181901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12"/>
    </row>
    <row r="5" spans="1:22" s="20" customFormat="1" ht="17.2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111927775</f>
        <v>111927775</v>
      </c>
      <c r="G5" s="43">
        <f>114774193</f>
        <v>114774193</v>
      </c>
      <c r="H5" s="44">
        <f>119135612</f>
        <v>119135612</v>
      </c>
      <c r="I5" s="44">
        <f>123781901</f>
        <v>123781901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s="20" customFormat="1" ht="30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38474381</f>
        <v>38474381</v>
      </c>
      <c r="G6" s="43">
        <f>43075831</f>
        <v>43075831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s="20" customFormat="1" ht="30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900000</f>
        <v>900000</v>
      </c>
      <c r="G7" s="43">
        <f>850000</f>
        <v>850000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s="20" customFormat="1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4604309</f>
        <v>4604309</v>
      </c>
      <c r="G8" s="43">
        <f>4799500</f>
        <v>4799500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s="20" customFormat="1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s="20" customFormat="1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44418790</f>
        <v>44418790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s="20" customFormat="1" ht="33.75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16447192</f>
        <v>16447192</v>
      </c>
      <c r="G11" s="43">
        <f>15219702</f>
        <v>15219702</v>
      </c>
      <c r="H11" s="44">
        <f>15798051</f>
        <v>15798051</v>
      </c>
      <c r="I11" s="44">
        <f>16414175</f>
        <v>16414175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s="20" customFormat="1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7122922</f>
        <v>7122922</v>
      </c>
      <c r="G12" s="43">
        <f>12496319</f>
        <v>12496319</v>
      </c>
      <c r="H12" s="44">
        <f>15750000</f>
        <v>15750000</v>
      </c>
      <c r="I12" s="44">
        <f>11400000</f>
        <v>11400000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s="20" customFormat="1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5272160</f>
        <v>5272160</v>
      </c>
      <c r="G13" s="43">
        <f>6004000</f>
        <v>6004000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s="20" customFormat="1" ht="30.75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1825332</f>
        <v>1825332</v>
      </c>
      <c r="G14" s="43">
        <f>6487319</f>
        <v>6487319</v>
      </c>
      <c r="H14" s="44">
        <f>10750000</f>
        <v>10750000</v>
      </c>
      <c r="I14" s="44">
        <f>9750000</f>
        <v>9750000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s="20" customFormat="1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119408456</f>
        <v>119408456</v>
      </c>
      <c r="G15" s="36">
        <f>127651392</f>
        <v>127651392</v>
      </c>
      <c r="H15" s="37">
        <f>128334683</f>
        <v>128334683</v>
      </c>
      <c r="I15" s="37">
        <f>129633625</f>
        <v>129633625</v>
      </c>
      <c r="J15" s="37">
        <f>124814783</f>
        <v>124814783</v>
      </c>
      <c r="K15" s="37">
        <f>130225943</f>
        <v>130225943</v>
      </c>
      <c r="L15" s="37">
        <f>134747189</f>
        <v>134747189</v>
      </c>
      <c r="M15" s="37">
        <f>139976772</f>
        <v>139976772</v>
      </c>
      <c r="N15" s="37">
        <f>144554093</f>
        <v>144554093</v>
      </c>
      <c r="O15" s="37">
        <f>149320272</f>
        <v>149320272</v>
      </c>
      <c r="P15" s="37">
        <f>154418140</f>
        <v>154418140</v>
      </c>
      <c r="Q15" s="37">
        <f>158954266</f>
        <v>158954266</v>
      </c>
      <c r="R15" s="37">
        <f>163621940</f>
        <v>163621940</v>
      </c>
      <c r="S15" s="37">
        <f>169759354</f>
        <v>169759354</v>
      </c>
      <c r="T15" s="37">
        <f>174756357</f>
        <v>174756357</v>
      </c>
      <c r="U15" s="37">
        <f>179477479</f>
        <v>179477479</v>
      </c>
      <c r="V15" s="112"/>
    </row>
    <row r="16" spans="1:22" s="20" customFormat="1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110174229</f>
        <v>110174229</v>
      </c>
      <c r="G16" s="43">
        <f>106952027</f>
        <v>106952027</v>
      </c>
      <c r="H16" s="44">
        <f>108777803</f>
        <v>108777803</v>
      </c>
      <c r="I16" s="44">
        <f>113338685</f>
        <v>113338685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s="20" customFormat="1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250000</f>
        <v>250000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s="20" customFormat="1" ht="44.2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s="20" customFormat="1" ht="90.7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s="20" customFormat="1" ht="18.75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1250000</f>
        <v>1250000</v>
      </c>
      <c r="G20" s="43">
        <f>1300000</f>
        <v>1300000</v>
      </c>
      <c r="H20" s="44">
        <f>1250000</f>
        <v>1250000</v>
      </c>
      <c r="I20" s="44">
        <f>1100000</f>
        <v>1100000</v>
      </c>
      <c r="J20" s="44">
        <f>950000</f>
        <v>950000</v>
      </c>
      <c r="K20" s="44">
        <f>850000</f>
        <v>850000</v>
      </c>
      <c r="L20" s="44">
        <f>750000</f>
        <v>750000</v>
      </c>
      <c r="M20" s="44">
        <f>650000</f>
        <v>650000</v>
      </c>
      <c r="N20" s="44">
        <f>550000</f>
        <v>550000</v>
      </c>
      <c r="O20" s="44">
        <f>450000</f>
        <v>450000</v>
      </c>
      <c r="P20" s="44">
        <f>350000</f>
        <v>350000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s="20" customFormat="1" ht="30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1250000</f>
        <v>1250000</v>
      </c>
      <c r="G21" s="43">
        <f>1300000</f>
        <v>1300000</v>
      </c>
      <c r="H21" s="44">
        <f>1250000</f>
        <v>1250000</v>
      </c>
      <c r="I21" s="44">
        <f>1100000</f>
        <v>1100000</v>
      </c>
      <c r="J21" s="44">
        <f>950000</f>
        <v>950000</v>
      </c>
      <c r="K21" s="44">
        <f>850000</f>
        <v>850000</v>
      </c>
      <c r="L21" s="44">
        <f>750000</f>
        <v>750000</v>
      </c>
      <c r="M21" s="44">
        <f>650000</f>
        <v>650000</v>
      </c>
      <c r="N21" s="44">
        <f>550000</f>
        <v>550000</v>
      </c>
      <c r="O21" s="44">
        <f>450000</f>
        <v>450000</v>
      </c>
      <c r="P21" s="44">
        <f>350000</f>
        <v>350000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s="20" customFormat="1" ht="99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s="20" customFormat="1" ht="64.5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s="20" customFormat="1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9234227</f>
        <v>9234227</v>
      </c>
      <c r="G24" s="43">
        <f>20699365</f>
        <v>20699365</v>
      </c>
      <c r="H24" s="44">
        <f>19556880</f>
        <v>19556880</v>
      </c>
      <c r="I24" s="44">
        <f>16294940</f>
        <v>16294940</v>
      </c>
      <c r="J24" s="44">
        <f>8960925</f>
        <v>8960925</v>
      </c>
      <c r="K24" s="44">
        <f>11785858</f>
        <v>11785858</v>
      </c>
      <c r="L24" s="44">
        <f>14305983</f>
        <v>14305983</v>
      </c>
      <c r="M24" s="44">
        <f>16758286</f>
        <v>16758286</v>
      </c>
      <c r="N24" s="44">
        <f>20985145</f>
        <v>20985145</v>
      </c>
      <c r="O24" s="44">
        <f>22775850</f>
        <v>22775850</v>
      </c>
      <c r="P24" s="44">
        <f>24821357</f>
        <v>24821357</v>
      </c>
      <c r="Q24" s="44">
        <f>26176313</f>
        <v>26176313</v>
      </c>
      <c r="R24" s="44">
        <f>27632038</f>
        <v>27632038</v>
      </c>
      <c r="S24" s="44">
        <f>30474704</f>
        <v>30474704</v>
      </c>
      <c r="T24" s="44">
        <f>32042091</f>
        <v>32042091</v>
      </c>
      <c r="U24" s="44">
        <f>33226606</f>
        <v>33226606</v>
      </c>
    </row>
    <row r="25" spans="1:22" s="20" customFormat="1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-357759</f>
        <v>-357759</v>
      </c>
      <c r="G25" s="36">
        <f>-380880</f>
        <v>-380880</v>
      </c>
      <c r="H25" s="37">
        <f>6550929</f>
        <v>6550929</v>
      </c>
      <c r="I25" s="37">
        <f>5548276</f>
        <v>5548276</v>
      </c>
      <c r="J25" s="37">
        <f>4814612</f>
        <v>4814612</v>
      </c>
      <c r="K25" s="37">
        <f>3742000</f>
        <v>3742000</v>
      </c>
      <c r="L25" s="37">
        <f>3842000</f>
        <v>3842000</v>
      </c>
      <c r="M25" s="37">
        <f>3092000</f>
        <v>3092000</v>
      </c>
      <c r="N25" s="37">
        <f>3092000</f>
        <v>3092000</v>
      </c>
      <c r="O25" s="37">
        <f>3092000</f>
        <v>3092000</v>
      </c>
      <c r="P25" s="37">
        <f>2300000</f>
        <v>2300000</v>
      </c>
      <c r="Q25" s="37">
        <f>2300000</f>
        <v>2300000</v>
      </c>
      <c r="R25" s="37">
        <f>2300000</f>
        <v>2300000</v>
      </c>
      <c r="S25" s="37">
        <f>800000</f>
        <v>800000</v>
      </c>
      <c r="T25" s="37">
        <f>400000</f>
        <v>400000</v>
      </c>
      <c r="U25" s="37">
        <f>400000</f>
        <v>400000</v>
      </c>
      <c r="V25" s="112"/>
    </row>
    <row r="26" spans="1:22" s="20" customFormat="1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7587082</f>
        <v>7587082</v>
      </c>
      <c r="G26" s="36">
        <f>7558156</f>
        <v>7558156</v>
      </c>
      <c r="H26" s="37">
        <f>0</f>
        <v>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12"/>
    </row>
    <row r="27" spans="1:22" s="20" customFormat="1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s="20" customFormat="1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s="20" customFormat="1" ht="29.25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3387082</f>
        <v>3387082</v>
      </c>
      <c r="G29" s="43">
        <f>2858156</f>
        <v>2858156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s="20" customFormat="1" ht="16.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s="20" customFormat="1" ht="30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4200000</f>
        <v>4200000</v>
      </c>
      <c r="H31" s="44">
        <f>0</f>
        <v>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s="20" customFormat="1" ht="17.2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357759</f>
        <v>357759</v>
      </c>
      <c r="G32" s="43">
        <f>380880</f>
        <v>380880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s="20" customFormat="1" ht="28.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s="20" customFormat="1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s="20" customFormat="1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6550929</f>
        <v>6550929</v>
      </c>
      <c r="I35" s="37">
        <f>5548276</f>
        <v>5548276</v>
      </c>
      <c r="J35" s="37">
        <f>4814612</f>
        <v>4814612</v>
      </c>
      <c r="K35" s="37">
        <f>3742000</f>
        <v>3742000</v>
      </c>
      <c r="L35" s="37">
        <f>3842000</f>
        <v>3842000</v>
      </c>
      <c r="M35" s="37">
        <f t="shared" ref="M35:O36" si="3">3092000</f>
        <v>3092000</v>
      </c>
      <c r="N35" s="37">
        <f t="shared" si="3"/>
        <v>3092000</v>
      </c>
      <c r="O35" s="37">
        <f t="shared" si="3"/>
        <v>3092000</v>
      </c>
      <c r="P35" s="37">
        <f t="shared" ref="P35:R36" si="4">2300000</f>
        <v>2300000</v>
      </c>
      <c r="Q35" s="37">
        <f t="shared" si="4"/>
        <v>2300000</v>
      </c>
      <c r="R35" s="37">
        <f t="shared" si="4"/>
        <v>2300000</v>
      </c>
      <c r="S35" s="37">
        <f>800000</f>
        <v>800000</v>
      </c>
      <c r="T35" s="37">
        <f>400000</f>
        <v>400000</v>
      </c>
      <c r="U35" s="37">
        <f>400000</f>
        <v>400000</v>
      </c>
      <c r="V35" s="112"/>
    </row>
    <row r="36" spans="1:22" s="20" customFormat="1" ht="42.75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6550929</f>
        <v>6550929</v>
      </c>
      <c r="I36" s="44">
        <f>5548276</f>
        <v>5548276</v>
      </c>
      <c r="J36" s="44">
        <f>4814612</f>
        <v>4814612</v>
      </c>
      <c r="K36" s="44">
        <f>3742000</f>
        <v>3742000</v>
      </c>
      <c r="L36" s="44">
        <f>3842000</f>
        <v>3842000</v>
      </c>
      <c r="M36" s="44">
        <f t="shared" si="3"/>
        <v>3092000</v>
      </c>
      <c r="N36" s="44">
        <f t="shared" si="3"/>
        <v>3092000</v>
      </c>
      <c r="O36" s="44">
        <f t="shared" si="3"/>
        <v>3092000</v>
      </c>
      <c r="P36" s="44">
        <f t="shared" si="4"/>
        <v>2300000</v>
      </c>
      <c r="Q36" s="44">
        <f t="shared" si="4"/>
        <v>2300000</v>
      </c>
      <c r="R36" s="44">
        <f t="shared" si="4"/>
        <v>2300000</v>
      </c>
      <c r="S36" s="44">
        <f>800000</f>
        <v>800000</v>
      </c>
      <c r="T36" s="44">
        <f>400000</f>
        <v>400000</v>
      </c>
      <c r="U36" s="44">
        <f>400000</f>
        <v>400000</v>
      </c>
    </row>
    <row r="37" spans="1:22" s="20" customFormat="1" ht="54" customHeight="1">
      <c r="A37" s="38" t="s">
        <v>110</v>
      </c>
      <c r="B37" s="39" t="s">
        <v>111</v>
      </c>
      <c r="C37" s="40">
        <f t="shared" ref="C37:H37" si="5">2000000</f>
        <v>2000000</v>
      </c>
      <c r="D37" s="41">
        <f t="shared" si="5"/>
        <v>2000000</v>
      </c>
      <c r="E37" s="41">
        <f t="shared" si="5"/>
        <v>2000000</v>
      </c>
      <c r="F37" s="42">
        <f t="shared" si="5"/>
        <v>2000000</v>
      </c>
      <c r="G37" s="43">
        <f t="shared" si="5"/>
        <v>2000000</v>
      </c>
      <c r="H37" s="44">
        <f t="shared" si="5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s="20" customFormat="1" ht="42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s="20" customFormat="1" ht="42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s="20" customFormat="1" ht="42" customHeight="1">
      <c r="A40" s="38" t="s">
        <v>116</v>
      </c>
      <c r="B40" s="39" t="s">
        <v>117</v>
      </c>
      <c r="C40" s="40">
        <f t="shared" ref="C40:H40" si="6">2000000</f>
        <v>2000000</v>
      </c>
      <c r="D40" s="41">
        <f t="shared" si="6"/>
        <v>2000000</v>
      </c>
      <c r="E40" s="41">
        <f t="shared" si="6"/>
        <v>2000000</v>
      </c>
      <c r="F40" s="42">
        <f t="shared" si="6"/>
        <v>2000000</v>
      </c>
      <c r="G40" s="43">
        <f t="shared" si="6"/>
        <v>2000000</v>
      </c>
      <c r="H40" s="44">
        <f t="shared" si="6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s="20" customFormat="1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s="20" customFormat="1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48024903</f>
        <v>48024903</v>
      </c>
      <c r="G42" s="36">
        <f>44892865</f>
        <v>44892865</v>
      </c>
      <c r="H42" s="37">
        <f>37687174</f>
        <v>37687174</v>
      </c>
      <c r="I42" s="37">
        <f>31484136</f>
        <v>31484136</v>
      </c>
      <c r="J42" s="37">
        <f>26014762</f>
        <v>26014762</v>
      </c>
      <c r="K42" s="37">
        <f>21618000</f>
        <v>21618000</v>
      </c>
      <c r="L42" s="37">
        <f>17776000</f>
        <v>17776000</v>
      </c>
      <c r="M42" s="37">
        <f>14684000</f>
        <v>14684000</v>
      </c>
      <c r="N42" s="37">
        <f>11592000</f>
        <v>11592000</v>
      </c>
      <c r="O42" s="37">
        <f>8500000</f>
        <v>8500000</v>
      </c>
      <c r="P42" s="37">
        <f>6200000</f>
        <v>6200000</v>
      </c>
      <c r="Q42" s="37">
        <f>3900000</f>
        <v>3900000</v>
      </c>
      <c r="R42" s="37">
        <f>1600000</f>
        <v>1600000</v>
      </c>
      <c r="S42" s="37">
        <f>800000</f>
        <v>800000</v>
      </c>
      <c r="T42" s="37">
        <f>400000</f>
        <v>400000</v>
      </c>
      <c r="U42" s="37">
        <f>0</f>
        <v>0</v>
      </c>
      <c r="V42" s="112"/>
    </row>
    <row r="43" spans="1:22" s="20" customFormat="1" ht="78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3273810</f>
        <v>3273810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12"/>
    </row>
    <row r="44" spans="1:22" s="20" customFormat="1" ht="39.75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12"/>
    </row>
    <row r="45" spans="1:22" s="20" customFormat="1" ht="33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1753546</f>
        <v>1753546</v>
      </c>
      <c r="G45" s="43">
        <f>7822166</f>
        <v>7822166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s="20" customFormat="1" ht="44.2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5140628</f>
        <v>5140628</v>
      </c>
      <c r="G46" s="43">
        <f>10680322</f>
        <v>10680322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s="20" customFormat="1" ht="17.25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12"/>
    </row>
    <row r="48" spans="1:22" s="20" customFormat="1" ht="94.5" customHeight="1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0.0733</f>
        <v>7.3300000000000004E-2</v>
      </c>
      <c r="G48" s="53">
        <f>0.0665</f>
        <v>6.6500000000000004E-2</v>
      </c>
      <c r="H48" s="54">
        <f>0.0614</f>
        <v>6.1400000000000003E-2</v>
      </c>
      <c r="I48" s="54">
        <f>0.0703</f>
        <v>7.0300000000000001E-2</v>
      </c>
      <c r="J48" s="54">
        <f>0.0661</f>
        <v>6.6100000000000006E-2</v>
      </c>
      <c r="K48" s="54">
        <f>0.0544</f>
        <v>5.4399999999999997E-2</v>
      </c>
      <c r="L48" s="54">
        <f>0.0519</f>
        <v>5.1900000000000002E-2</v>
      </c>
      <c r="M48" s="54">
        <f>0.044</f>
        <v>4.3999999999999997E-2</v>
      </c>
      <c r="N48" s="54">
        <f>0.0247</f>
        <v>2.47E-2</v>
      </c>
      <c r="O48" s="54">
        <f>0.0232</f>
        <v>2.3199999999999998E-2</v>
      </c>
      <c r="P48" s="54">
        <f>0.0169</f>
        <v>1.6899999999999998E-2</v>
      </c>
      <c r="Q48" s="54">
        <f>0.0161</f>
        <v>1.61E-2</v>
      </c>
      <c r="R48" s="54">
        <f>0.0151</f>
        <v>1.5100000000000001E-2</v>
      </c>
      <c r="S48" s="54">
        <f>0.0053</f>
        <v>5.3E-3</v>
      </c>
      <c r="T48" s="54">
        <f>0.0026</f>
        <v>2.5999999999999999E-3</v>
      </c>
      <c r="U48" s="54">
        <f>0.0023</f>
        <v>2.3E-3</v>
      </c>
    </row>
    <row r="49" spans="1:22" s="20" customFormat="1" ht="96.75" customHeight="1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0.0565</f>
        <v>5.6500000000000002E-2</v>
      </c>
      <c r="G49" s="53">
        <f>0.0508</f>
        <v>5.0799999999999998E-2</v>
      </c>
      <c r="H49" s="54">
        <f>0.0466</f>
        <v>4.6600000000000003E-2</v>
      </c>
      <c r="I49" s="54">
        <f>0.0703</f>
        <v>7.0300000000000001E-2</v>
      </c>
      <c r="J49" s="54">
        <f>0.0661</f>
        <v>6.6100000000000006E-2</v>
      </c>
      <c r="K49" s="54">
        <f>0.0544</f>
        <v>5.4399999999999997E-2</v>
      </c>
      <c r="L49" s="54">
        <f>0.0519</f>
        <v>5.1900000000000002E-2</v>
      </c>
      <c r="M49" s="54">
        <f>0.044</f>
        <v>4.3999999999999997E-2</v>
      </c>
      <c r="N49" s="54">
        <f>0.0247</f>
        <v>2.47E-2</v>
      </c>
      <c r="O49" s="54">
        <f>0.0232</f>
        <v>2.3199999999999998E-2</v>
      </c>
      <c r="P49" s="54">
        <f>0.0169</f>
        <v>1.6899999999999998E-2</v>
      </c>
      <c r="Q49" s="54">
        <f>0.0161</f>
        <v>1.61E-2</v>
      </c>
      <c r="R49" s="54">
        <f>0.0151</f>
        <v>1.5100000000000001E-2</v>
      </c>
      <c r="S49" s="54">
        <f>0.0053</f>
        <v>5.3E-3</v>
      </c>
      <c r="T49" s="54">
        <f>0.0026</f>
        <v>2.5999999999999999E-3</v>
      </c>
      <c r="U49" s="54">
        <f>0.0023</f>
        <v>2.3E-3</v>
      </c>
    </row>
    <row r="50" spans="1:22" s="20" customFormat="1" ht="82.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s="20" customFormat="1" ht="96.75" customHeight="1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0.0565</f>
        <v>5.6500000000000002E-2</v>
      </c>
      <c r="G51" s="53">
        <f>0.0508</f>
        <v>5.0799999999999998E-2</v>
      </c>
      <c r="H51" s="54">
        <f>0.0466</f>
        <v>4.6600000000000003E-2</v>
      </c>
      <c r="I51" s="54">
        <f>0.0703</f>
        <v>7.0300000000000001E-2</v>
      </c>
      <c r="J51" s="54">
        <f>0.0661</f>
        <v>6.6100000000000006E-2</v>
      </c>
      <c r="K51" s="54">
        <f>0.0544</f>
        <v>5.4399999999999997E-2</v>
      </c>
      <c r="L51" s="54">
        <f>0.0519</f>
        <v>5.1900000000000002E-2</v>
      </c>
      <c r="M51" s="54">
        <f>0.044</f>
        <v>4.3999999999999997E-2</v>
      </c>
      <c r="N51" s="54">
        <f>0.0247</f>
        <v>2.47E-2</v>
      </c>
      <c r="O51" s="54">
        <f>0.0232</f>
        <v>2.3199999999999998E-2</v>
      </c>
      <c r="P51" s="54">
        <f>0.0169</f>
        <v>1.6899999999999998E-2</v>
      </c>
      <c r="Q51" s="54">
        <f>0.0161</f>
        <v>1.61E-2</v>
      </c>
      <c r="R51" s="54">
        <f>0.0151</f>
        <v>1.5100000000000001E-2</v>
      </c>
      <c r="S51" s="54">
        <f>0.0053</f>
        <v>5.3E-3</v>
      </c>
      <c r="T51" s="54">
        <f>0.0026</f>
        <v>2.5999999999999999E-3</v>
      </c>
      <c r="U51" s="54">
        <f>0.0023</f>
        <v>2.3E-3</v>
      </c>
    </row>
    <row r="52" spans="1:22" s="20" customFormat="1" ht="72.75" customHeight="1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0.059</f>
        <v>5.8999999999999997E-2</v>
      </c>
      <c r="G52" s="53">
        <f>0.1086</f>
        <v>0.1086</v>
      </c>
      <c r="H52" s="54">
        <f>0.1139</f>
        <v>0.1139</v>
      </c>
      <c r="I52" s="54">
        <f>0.0895</f>
        <v>8.9499999999999996E-2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s="20" customFormat="1" ht="96" customHeight="1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0.0878</f>
        <v>8.7800000000000003E-2</v>
      </c>
      <c r="I53" s="54">
        <f>0.0983</f>
        <v>9.8299999999999998E-2</v>
      </c>
      <c r="J53" s="54">
        <f>0.104</f>
        <v>0.104</v>
      </c>
      <c r="K53" s="54">
        <f>0.1013</f>
        <v>0.1013</v>
      </c>
      <c r="L53" s="54">
        <f>0.1012</f>
        <v>0.1012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s="20" customFormat="1" ht="95.25" customHeight="1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0.0824</f>
        <v>8.2400000000000001E-2</v>
      </c>
      <c r="H54" s="54">
        <f>0.0833</f>
        <v>8.3299999999999999E-2</v>
      </c>
      <c r="I54" s="54">
        <f>0.0938</f>
        <v>9.3799999999999994E-2</v>
      </c>
      <c r="J54" s="54">
        <f>0.104</f>
        <v>0.104</v>
      </c>
      <c r="K54" s="54">
        <f>0.1013</f>
        <v>0.1013</v>
      </c>
      <c r="L54" s="54">
        <f>0.1012</f>
        <v>0.1012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s="20" customFormat="1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7">IF(H51&lt;=H53,"Spełniona","Nie spełniona")</f>
        <v>Spełniona</v>
      </c>
      <c r="I55" s="57" t="str">
        <f t="shared" si="7"/>
        <v>Spełniona</v>
      </c>
      <c r="J55" s="57" t="str">
        <f t="shared" si="7"/>
        <v>Spełniona</v>
      </c>
      <c r="K55" s="57" t="str">
        <f t="shared" si="7"/>
        <v>Spełniona</v>
      </c>
      <c r="L55" s="57" t="str">
        <f t="shared" si="7"/>
        <v>Spełniona</v>
      </c>
      <c r="M55" s="57" t="str">
        <f t="shared" si="7"/>
        <v>Spełniona</v>
      </c>
      <c r="N55" s="57" t="str">
        <f t="shared" si="7"/>
        <v>Spełniona</v>
      </c>
      <c r="O55" s="57" t="str">
        <f t="shared" si="7"/>
        <v>Spełniona</v>
      </c>
      <c r="P55" s="57" t="str">
        <f t="shared" si="7"/>
        <v>Spełniona</v>
      </c>
      <c r="Q55" s="57" t="str">
        <f t="shared" si="7"/>
        <v>Spełniona</v>
      </c>
      <c r="R55" s="57" t="str">
        <f t="shared" si="7"/>
        <v>Spełniona</v>
      </c>
      <c r="S55" s="57" t="str">
        <f t="shared" si="7"/>
        <v>Spełniona</v>
      </c>
      <c r="T55" s="57" t="str">
        <f t="shared" si="7"/>
        <v>Spełniona</v>
      </c>
      <c r="U55" s="57" t="str">
        <f t="shared" si="7"/>
        <v>Spełniona</v>
      </c>
    </row>
    <row r="56" spans="1:22" s="20" customFormat="1" ht="106.5" customHeight="1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8">IF(H51&lt;=H54,"Spełniona","Nie spełniona")</f>
        <v>Spełniona</v>
      </c>
      <c r="I56" s="57" t="str">
        <f t="shared" si="8"/>
        <v>Spełniona</v>
      </c>
      <c r="J56" s="57" t="str">
        <f t="shared" si="8"/>
        <v>Spełniona</v>
      </c>
      <c r="K56" s="57" t="str">
        <f t="shared" si="8"/>
        <v>Spełniona</v>
      </c>
      <c r="L56" s="57" t="str">
        <f t="shared" si="8"/>
        <v>Spełniona</v>
      </c>
      <c r="M56" s="57" t="str">
        <f t="shared" si="8"/>
        <v>Spełniona</v>
      </c>
      <c r="N56" s="57" t="str">
        <f t="shared" si="8"/>
        <v>Spełniona</v>
      </c>
      <c r="O56" s="57" t="str">
        <f t="shared" si="8"/>
        <v>Spełniona</v>
      </c>
      <c r="P56" s="57" t="str">
        <f t="shared" si="8"/>
        <v>Spełniona</v>
      </c>
      <c r="Q56" s="57" t="str">
        <f t="shared" si="8"/>
        <v>Spełniona</v>
      </c>
      <c r="R56" s="57" t="str">
        <f t="shared" si="8"/>
        <v>Spełniona</v>
      </c>
      <c r="S56" s="57" t="str">
        <f t="shared" si="8"/>
        <v>Spełniona</v>
      </c>
      <c r="T56" s="57" t="str">
        <f t="shared" si="8"/>
        <v>Spełniona</v>
      </c>
      <c r="U56" s="57" t="str">
        <f t="shared" si="8"/>
        <v>Spełniona</v>
      </c>
    </row>
    <row r="57" spans="1:22" s="20" customFormat="1" ht="30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6550929</f>
        <v>6550929</v>
      </c>
      <c r="I57" s="37">
        <f>5548276</f>
        <v>5548276</v>
      </c>
      <c r="J57" s="37">
        <f>4814612</f>
        <v>4814612</v>
      </c>
      <c r="K57" s="37">
        <f>3742000</f>
        <v>3742000</v>
      </c>
      <c r="L57" s="37">
        <f>3842000</f>
        <v>3842000</v>
      </c>
      <c r="M57" s="37">
        <f t="shared" ref="M57:O58" si="9">3092000</f>
        <v>3092000</v>
      </c>
      <c r="N57" s="37">
        <f t="shared" si="9"/>
        <v>3092000</v>
      </c>
      <c r="O57" s="37">
        <f t="shared" si="9"/>
        <v>3092000</v>
      </c>
      <c r="P57" s="37">
        <f t="shared" ref="P57:R58" si="10">2300000</f>
        <v>2300000</v>
      </c>
      <c r="Q57" s="37">
        <f t="shared" si="10"/>
        <v>2300000</v>
      </c>
      <c r="R57" s="37">
        <f t="shared" si="10"/>
        <v>2300000</v>
      </c>
      <c r="S57" s="37">
        <f>800000</f>
        <v>800000</v>
      </c>
      <c r="T57" s="37">
        <f>400000</f>
        <v>400000</v>
      </c>
      <c r="U57" s="37">
        <f>400000</f>
        <v>400000</v>
      </c>
      <c r="V57" s="112"/>
    </row>
    <row r="58" spans="1:22" s="20" customFormat="1" ht="30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6550929</f>
        <v>6550929</v>
      </c>
      <c r="I58" s="44">
        <f>5548276</f>
        <v>5548276</v>
      </c>
      <c r="J58" s="44">
        <f>4814612</f>
        <v>4814612</v>
      </c>
      <c r="K58" s="44">
        <f>3742000</f>
        <v>3742000</v>
      </c>
      <c r="L58" s="44">
        <f>3842000</f>
        <v>3842000</v>
      </c>
      <c r="M58" s="44">
        <f t="shared" si="9"/>
        <v>3092000</v>
      </c>
      <c r="N58" s="44">
        <f t="shared" si="9"/>
        <v>3092000</v>
      </c>
      <c r="O58" s="44">
        <f t="shared" si="9"/>
        <v>3092000</v>
      </c>
      <c r="P58" s="44">
        <f t="shared" si="10"/>
        <v>2300000</v>
      </c>
      <c r="Q58" s="44">
        <f t="shared" si="10"/>
        <v>2300000</v>
      </c>
      <c r="R58" s="44">
        <f t="shared" si="10"/>
        <v>2300000</v>
      </c>
      <c r="S58" s="44">
        <f>800000</f>
        <v>800000</v>
      </c>
      <c r="T58" s="44">
        <f>400000</f>
        <v>400000</v>
      </c>
      <c r="U58" s="44">
        <f>400000</f>
        <v>400000</v>
      </c>
    </row>
    <row r="59" spans="1:22" s="20" customFormat="1" ht="30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12"/>
    </row>
    <row r="60" spans="1:22" s="20" customFormat="1" ht="30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65879657</f>
        <v>65879657</v>
      </c>
      <c r="G60" s="43">
        <f>67062755</f>
        <v>67062755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s="20" customFormat="1" ht="38.25" customHeight="1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11177899</f>
        <v>11177899</v>
      </c>
      <c r="G61" s="43">
        <f>11070437</f>
        <v>11070437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s="20" customFormat="1" ht="33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5255817</f>
        <v>5255817</v>
      </c>
      <c r="G62" s="43">
        <f>12689196</f>
        <v>12689196</v>
      </c>
      <c r="H62" s="44">
        <f>16310884</f>
        <v>16310884</v>
      </c>
      <c r="I62" s="44">
        <f>12980000</f>
        <v>12980000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s="20" customFormat="1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891576</f>
        <v>891576</v>
      </c>
      <c r="G63" s="43">
        <f>1300298</f>
        <v>1300298</v>
      </c>
      <c r="H63" s="44">
        <f>425548</f>
        <v>425548</v>
      </c>
      <c r="I63" s="44">
        <f>80000</f>
        <v>80000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s="20" customFormat="1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4364241</f>
        <v>4364241</v>
      </c>
      <c r="G64" s="43">
        <f>11388898</f>
        <v>11388898</v>
      </c>
      <c r="H64" s="44">
        <f>15885336</f>
        <v>15885336</v>
      </c>
      <c r="I64" s="44">
        <f>12900000</f>
        <v>12900000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s="20" customFormat="1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4112920</f>
        <v>4112920</v>
      </c>
      <c r="G65" s="43">
        <f>10508761</f>
        <v>10508761</v>
      </c>
      <c r="H65" s="44">
        <f>15770000</f>
        <v>15770000</v>
      </c>
      <c r="I65" s="44">
        <f>12900000</f>
        <v>12900000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s="20" customFormat="1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4974792</f>
        <v>4974792</v>
      </c>
      <c r="G66" s="43">
        <f>7755467</f>
        <v>7755467</v>
      </c>
      <c r="H66" s="44">
        <f>3671544</f>
        <v>3671544</v>
      </c>
      <c r="I66" s="44">
        <f>3394940</f>
        <v>3394940</v>
      </c>
      <c r="J66" s="44">
        <f>7260925</f>
        <v>7260925</v>
      </c>
      <c r="K66" s="44">
        <f>11585858</f>
        <v>11585858</v>
      </c>
      <c r="L66" s="44">
        <f>14305983</f>
        <v>14305983</v>
      </c>
      <c r="M66" s="44">
        <f>16758286</f>
        <v>16758286</v>
      </c>
      <c r="N66" s="44">
        <f>20985145</f>
        <v>20985145</v>
      </c>
      <c r="O66" s="44">
        <f>22775850</f>
        <v>22775850</v>
      </c>
      <c r="P66" s="44">
        <f>24821357</f>
        <v>24821357</v>
      </c>
      <c r="Q66" s="44">
        <f>26176313</f>
        <v>26176313</v>
      </c>
      <c r="R66" s="44">
        <f>27632038</f>
        <v>27632038</v>
      </c>
      <c r="S66" s="44">
        <f>30474704</f>
        <v>30474704</v>
      </c>
      <c r="T66" s="44">
        <f>32042091</f>
        <v>32042091</v>
      </c>
      <c r="U66" s="44">
        <f>33226606</f>
        <v>33226606</v>
      </c>
    </row>
    <row r="67" spans="1:22" s="20" customFormat="1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146515</f>
        <v>146515</v>
      </c>
      <c r="G67" s="43">
        <f>435137</f>
        <v>435137</v>
      </c>
      <c r="H67" s="44">
        <f>115336</f>
        <v>115336</v>
      </c>
      <c r="I67" s="44">
        <f>0</f>
        <v>0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s="20" customFormat="1" ht="59.2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12"/>
    </row>
    <row r="69" spans="1:22" s="20" customFormat="1" ht="58.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1039676</f>
        <v>1039676</v>
      </c>
      <c r="G69" s="43">
        <f>1153069</f>
        <v>1153069</v>
      </c>
      <c r="H69" s="44">
        <f>298487</f>
        <v>298487</v>
      </c>
      <c r="I69" s="44">
        <f>0</f>
        <v>0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s="20" customFormat="1" ht="30.75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1017461</f>
        <v>1017461</v>
      </c>
      <c r="G70" s="43">
        <f>1153069</f>
        <v>1153069</v>
      </c>
      <c r="H70" s="44">
        <f>298487</f>
        <v>298487</v>
      </c>
      <c r="I70" s="44">
        <f>0</f>
        <v>0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s="20" customFormat="1" ht="56.2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1017461</f>
        <v>1017461</v>
      </c>
      <c r="G71" s="43">
        <f>826812</f>
        <v>826812</v>
      </c>
      <c r="H71" s="44">
        <f>167588</f>
        <v>167588</v>
      </c>
      <c r="I71" s="44">
        <f>0</f>
        <v>0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s="20" customFormat="1" ht="58.5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1120</f>
        <v>1120</v>
      </c>
      <c r="G72" s="43">
        <f>939241</f>
        <v>939241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s="20" customFormat="1" ht="34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1120</f>
        <v>1120</v>
      </c>
      <c r="G73" s="43">
        <f>675561</f>
        <v>675561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s="20" customFormat="1" ht="56.25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1120</f>
        <v>1120</v>
      </c>
      <c r="G74" s="43">
        <f>675561</f>
        <v>675561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s="20" customFormat="1" ht="59.25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 t="shared" ref="E75:F77" si="11">891576</f>
        <v>891576</v>
      </c>
      <c r="F75" s="42">
        <f t="shared" si="11"/>
        <v>891576</v>
      </c>
      <c r="G75" s="43">
        <f>1220298</f>
        <v>1220298</v>
      </c>
      <c r="H75" s="44">
        <f>345548</f>
        <v>345548</v>
      </c>
      <c r="I75" s="44">
        <f>0</f>
        <v>0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s="20" customFormat="1" ht="33.75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 t="shared" si="11"/>
        <v>891576</v>
      </c>
      <c r="F76" s="42">
        <f t="shared" si="11"/>
        <v>891576</v>
      </c>
      <c r="G76" s="43">
        <f>1153069</f>
        <v>1153069</v>
      </c>
      <c r="H76" s="44">
        <f>298487</f>
        <v>298487</v>
      </c>
      <c r="I76" s="44">
        <f>0</f>
        <v>0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s="20" customFormat="1" ht="70.5" customHeight="1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 t="shared" si="11"/>
        <v>891576</v>
      </c>
      <c r="F77" s="42">
        <f t="shared" si="11"/>
        <v>891576</v>
      </c>
      <c r="G77" s="43">
        <f>826812</f>
        <v>826812</v>
      </c>
      <c r="H77" s="44">
        <f>167588</f>
        <v>167588</v>
      </c>
      <c r="I77" s="44">
        <f>0</f>
        <v>0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s="20" customFormat="1" ht="56.25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68621</f>
        <v>68621</v>
      </c>
      <c r="G78" s="43">
        <f>1098898</f>
        <v>1098898</v>
      </c>
      <c r="H78" s="44">
        <f>115336</f>
        <v>115336</v>
      </c>
      <c r="I78" s="44">
        <f>0</f>
        <v>0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s="20" customFormat="1" ht="33.75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s="20" customFormat="1" ht="79.5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s="20" customFormat="1" ht="85.5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 t="shared" ref="E81:F84" si="12">67501</f>
        <v>67501</v>
      </c>
      <c r="F81" s="42">
        <f t="shared" si="12"/>
        <v>67501</v>
      </c>
      <c r="G81" s="43">
        <f>490566</f>
        <v>490566</v>
      </c>
      <c r="H81" s="44">
        <f>162397</f>
        <v>162397</v>
      </c>
      <c r="I81" s="44">
        <f>0</f>
        <v>0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s="20" customFormat="1" ht="33.75" customHeight="1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 t="shared" si="12"/>
        <v>67501</v>
      </c>
      <c r="F82" s="42">
        <f t="shared" si="12"/>
        <v>67501</v>
      </c>
      <c r="G82" s="43">
        <f>423337</f>
        <v>423337</v>
      </c>
      <c r="H82" s="44">
        <f>115336</f>
        <v>115336</v>
      </c>
      <c r="I82" s="44">
        <f>0</f>
        <v>0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s="20" customFormat="1" ht="83.2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 t="shared" si="12"/>
        <v>67501</v>
      </c>
      <c r="F83" s="42">
        <f t="shared" si="12"/>
        <v>67501</v>
      </c>
      <c r="G83" s="43">
        <f>423337</f>
        <v>423337</v>
      </c>
      <c r="H83" s="44">
        <f>115336</f>
        <v>115336</v>
      </c>
      <c r="I83" s="44">
        <f>0</f>
        <v>0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s="20" customFormat="1" ht="33.75" customHeight="1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 t="shared" si="12"/>
        <v>67501</v>
      </c>
      <c r="F84" s="42">
        <f t="shared" si="12"/>
        <v>67501</v>
      </c>
      <c r="G84" s="43">
        <f>423337</f>
        <v>423337</v>
      </c>
      <c r="H84" s="44">
        <f>115336</f>
        <v>115336</v>
      </c>
      <c r="I84" s="44">
        <f>0</f>
        <v>0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s="20" customFormat="1" ht="102.7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s="20" customFormat="1" ht="33.75" customHeight="1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s="20" customFormat="1" ht="100.5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s="20" customFormat="1" ht="34.5" customHeight="1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s="20" customFormat="1" ht="69.75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12"/>
    </row>
    <row r="90" spans="1:22" s="20" customFormat="1" ht="78.7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3273810</f>
        <v>3273810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s="20" customFormat="1" ht="72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s="20" customFormat="1" ht="46.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s="20" customFormat="1" ht="70.5" customHeight="1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 t="shared" ref="E93:K93" si="13">654762</f>
        <v>654762</v>
      </c>
      <c r="F93" s="42">
        <f t="shared" si="13"/>
        <v>654762</v>
      </c>
      <c r="G93" s="43">
        <f t="shared" si="13"/>
        <v>654762</v>
      </c>
      <c r="H93" s="44">
        <f t="shared" si="13"/>
        <v>654762</v>
      </c>
      <c r="I93" s="44">
        <f t="shared" si="13"/>
        <v>654762</v>
      </c>
      <c r="J93" s="44">
        <f t="shared" si="13"/>
        <v>654762</v>
      </c>
      <c r="K93" s="44">
        <f t="shared" si="13"/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s="20" customFormat="1" ht="68.25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s="20" customFormat="1" ht="68.25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s="20" customFormat="1" ht="45.7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s="20" customFormat="1" ht="26.25" customHeight="1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12"/>
    </row>
    <row r="98" spans="1:22" s="20" customFormat="1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6510929</f>
        <v>6510929</v>
      </c>
      <c r="I98" s="44">
        <f>5388276</f>
        <v>5388276</v>
      </c>
      <c r="J98" s="44">
        <f>4414612</f>
        <v>4414612</v>
      </c>
      <c r="K98" s="44">
        <f>3342000</f>
        <v>3342000</v>
      </c>
      <c r="L98" s="44">
        <f>3442000</f>
        <v>3442000</v>
      </c>
      <c r="M98" s="44">
        <f>2692000</f>
        <v>2692000</v>
      </c>
      <c r="N98" s="44">
        <f>2692000</f>
        <v>2692000</v>
      </c>
      <c r="O98" s="44">
        <f>2692000</f>
        <v>2692000</v>
      </c>
      <c r="P98" s="44">
        <f>1900000</f>
        <v>1900000</v>
      </c>
      <c r="Q98" s="44">
        <f>1900000</f>
        <v>1900000</v>
      </c>
      <c r="R98" s="44">
        <f>1900000</f>
        <v>1900000</v>
      </c>
      <c r="S98" s="44">
        <f>400000</f>
        <v>400000</v>
      </c>
      <c r="T98" s="44">
        <f>400000</f>
        <v>400000</v>
      </c>
      <c r="U98" s="44">
        <f>400000</f>
        <v>400000</v>
      </c>
    </row>
    <row r="99" spans="1:22" s="20" customFormat="1" ht="29.25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3273810</f>
        <v>3273810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s="20" customFormat="1" ht="17.25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654762</f>
        <v>654762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s="20" customFormat="1" ht="30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s="20" customFormat="1" ht="41.2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 t="shared" ref="E102:K102" si="14">654762</f>
        <v>654762</v>
      </c>
      <c r="F102" s="42">
        <f t="shared" si="14"/>
        <v>654762</v>
      </c>
      <c r="G102" s="43">
        <f t="shared" si="14"/>
        <v>654762</v>
      </c>
      <c r="H102" s="44">
        <f t="shared" si="14"/>
        <v>654762</v>
      </c>
      <c r="I102" s="44">
        <f t="shared" si="14"/>
        <v>654762</v>
      </c>
      <c r="J102" s="44">
        <f t="shared" si="14"/>
        <v>654762</v>
      </c>
      <c r="K102" s="44">
        <f t="shared" si="14"/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s="20" customFormat="1" ht="31.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s="20" customFormat="1" ht="41.25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s="20" customFormat="1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s="20" customFormat="1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s="20" customFormat="1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s="20" customFormat="1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s="20" customFormat="1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s="20" customFormat="1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15">+IF(H46&lt;0,H46,"")</f>
        <v/>
      </c>
      <c r="I110" s="78" t="str">
        <f t="shared" si="15"/>
        <v/>
      </c>
      <c r="J110" s="78" t="str">
        <f t="shared" si="15"/>
        <v/>
      </c>
      <c r="K110" s="78" t="str">
        <f t="shared" si="15"/>
        <v/>
      </c>
      <c r="L110" s="78" t="str">
        <f t="shared" si="15"/>
        <v/>
      </c>
      <c r="M110" s="78" t="str">
        <f t="shared" si="15"/>
        <v/>
      </c>
      <c r="N110" s="78" t="str">
        <f t="shared" si="15"/>
        <v/>
      </c>
      <c r="O110" s="78" t="str">
        <f t="shared" si="15"/>
        <v/>
      </c>
      <c r="P110" s="78" t="str">
        <f t="shared" si="15"/>
        <v/>
      </c>
      <c r="Q110" s="78" t="str">
        <f t="shared" si="15"/>
        <v/>
      </c>
      <c r="R110" s="78" t="str">
        <f t="shared" si="15"/>
        <v/>
      </c>
      <c r="S110" s="78" t="str">
        <f t="shared" si="15"/>
        <v/>
      </c>
      <c r="T110" s="78" t="str">
        <f t="shared" si="15"/>
        <v/>
      </c>
      <c r="U110" s="78" t="str">
        <f t="shared" si="15"/>
        <v/>
      </c>
    </row>
    <row r="111" spans="1:22" s="20" customFormat="1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16">IF(H51&lt;=H53,"",H53- H51)</f>
        <v/>
      </c>
      <c r="I111" s="99" t="str">
        <f t="shared" si="16"/>
        <v/>
      </c>
      <c r="J111" s="99" t="str">
        <f t="shared" si="16"/>
        <v/>
      </c>
      <c r="K111" s="99" t="str">
        <f t="shared" si="16"/>
        <v/>
      </c>
      <c r="L111" s="99" t="str">
        <f t="shared" si="16"/>
        <v/>
      </c>
      <c r="M111" s="99" t="str">
        <f t="shared" si="16"/>
        <v/>
      </c>
      <c r="N111" s="99" t="str">
        <f t="shared" si="16"/>
        <v/>
      </c>
      <c r="O111" s="99" t="str">
        <f t="shared" si="16"/>
        <v/>
      </c>
      <c r="P111" s="99" t="str">
        <f t="shared" si="16"/>
        <v/>
      </c>
      <c r="Q111" s="99" t="str">
        <f t="shared" si="16"/>
        <v/>
      </c>
      <c r="R111" s="99" t="str">
        <f t="shared" si="16"/>
        <v/>
      </c>
      <c r="S111" s="99" t="str">
        <f t="shared" si="16"/>
        <v/>
      </c>
      <c r="T111" s="99" t="str">
        <f t="shared" si="16"/>
        <v/>
      </c>
      <c r="U111" s="99" t="str">
        <f t="shared" si="16"/>
        <v/>
      </c>
    </row>
    <row r="112" spans="1:22" s="20" customFormat="1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17">IF(H51&lt;=H54,"",H54-H51)</f>
        <v/>
      </c>
      <c r="I112" s="105" t="str">
        <f t="shared" si="17"/>
        <v/>
      </c>
      <c r="J112" s="105" t="str">
        <f t="shared" si="17"/>
        <v/>
      </c>
      <c r="K112" s="105" t="str">
        <f t="shared" si="17"/>
        <v/>
      </c>
      <c r="L112" s="105" t="str">
        <f t="shared" si="17"/>
        <v/>
      </c>
      <c r="M112" s="105" t="str">
        <f t="shared" si="17"/>
        <v/>
      </c>
      <c r="N112" s="105" t="str">
        <f t="shared" si="17"/>
        <v/>
      </c>
      <c r="O112" s="105" t="str">
        <f t="shared" si="17"/>
        <v/>
      </c>
      <c r="P112" s="105" t="str">
        <f t="shared" si="17"/>
        <v/>
      </c>
      <c r="Q112" s="105" t="str">
        <f t="shared" si="17"/>
        <v/>
      </c>
      <c r="R112" s="105" t="str">
        <f t="shared" si="17"/>
        <v/>
      </c>
      <c r="S112" s="105" t="str">
        <f t="shared" si="17"/>
        <v/>
      </c>
      <c r="T112" s="105" t="str">
        <f t="shared" si="17"/>
        <v/>
      </c>
      <c r="U112" s="105" t="str">
        <f t="shared" si="17"/>
        <v/>
      </c>
    </row>
    <row r="113" spans="1:21" s="20" customForma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pFgCOCuTC5u/59lbQvYuFf9XHN8ihzSBJ4d86Y13Y1PjnrVCH+zwSd8XD75CeGc+8E/EWZlFGpreCb3iyeLiPQ==" saltValue="NSXRg8+KQJIfXI3E+L7N+g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4173228346456694" bottom="1.2204724409448819" header="0.82677165354330717" footer="0.35433070866141736"/>
  <pageSetup paperSize="9" scale="56" orientation="landscape" horizontalDpi="4294967294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20" zoomScaleNormal="120" workbookViewId="0">
      <pane ySplit="4" topLeftCell="A5" activePane="bottomLeft" state="frozen"/>
      <selection pane="bottomLeft" activeCell="Q22" sqref="Q22"/>
    </sheetView>
  </sheetViews>
  <sheetFormatPr defaultRowHeight="12.75"/>
  <cols>
    <col min="1" max="1" width="7.85546875" style="2" customWidth="1"/>
    <col min="2" max="2" width="51.5703125" style="1" customWidth="1"/>
    <col min="3" max="3" width="16.140625" style="2" customWidth="1"/>
    <col min="4" max="5" width="6.570312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4" s="17" customFormat="1" ht="22.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ht="12.75" customHeight="1"/>
    <row r="3" spans="1:14" ht="31.5" customHeight="1">
      <c r="A3" s="118" t="s">
        <v>1</v>
      </c>
      <c r="B3" s="118" t="s">
        <v>2</v>
      </c>
      <c r="C3" s="118" t="s">
        <v>3</v>
      </c>
      <c r="D3" s="118" t="s">
        <v>4</v>
      </c>
      <c r="E3" s="118"/>
      <c r="F3" s="118" t="s">
        <v>5</v>
      </c>
      <c r="G3" s="119" t="s">
        <v>33</v>
      </c>
      <c r="H3" s="120"/>
      <c r="I3" s="120"/>
      <c r="J3" s="120"/>
      <c r="K3" s="121"/>
      <c r="L3" s="118" t="s">
        <v>6</v>
      </c>
    </row>
    <row r="4" spans="1:14" s="2" customFormat="1" ht="23.25" customHeight="1">
      <c r="A4" s="118"/>
      <c r="B4" s="118"/>
      <c r="C4" s="118"/>
      <c r="D4" s="3" t="s">
        <v>7</v>
      </c>
      <c r="E4" s="3" t="s">
        <v>8</v>
      </c>
      <c r="F4" s="118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18"/>
    </row>
    <row r="5" spans="1:14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4" s="7" customFormat="1" ht="18.75" customHeight="1">
      <c r="A6" s="5" t="s">
        <v>9</v>
      </c>
      <c r="B6" s="116" t="s">
        <v>10</v>
      </c>
      <c r="C6" s="116"/>
      <c r="D6" s="116"/>
      <c r="E6" s="116"/>
      <c r="F6" s="6">
        <f t="shared" ref="F6:K7" si="0">SUM(F9,F17,F20)</f>
        <v>51914613</v>
      </c>
      <c r="G6" s="6">
        <f t="shared" si="0"/>
        <v>12689196</v>
      </c>
      <c r="H6" s="6">
        <f t="shared" si="0"/>
        <v>16310884</v>
      </c>
      <c r="I6" s="6">
        <f t="shared" si="0"/>
        <v>12980000</v>
      </c>
      <c r="J6" s="6">
        <f t="shared" si="0"/>
        <v>1700000</v>
      </c>
      <c r="K6" s="6">
        <f t="shared" si="0"/>
        <v>200000</v>
      </c>
      <c r="L6" s="6">
        <f t="shared" ref="L6:L7" si="1">SUM(G6:K6)</f>
        <v>43880080</v>
      </c>
    </row>
    <row r="7" spans="1:14" s="7" customFormat="1" ht="18.75" customHeight="1">
      <c r="A7" s="5" t="s">
        <v>11</v>
      </c>
      <c r="B7" s="116" t="s">
        <v>12</v>
      </c>
      <c r="C7" s="116"/>
      <c r="D7" s="116"/>
      <c r="E7" s="116"/>
      <c r="F7" s="6">
        <f t="shared" si="0"/>
        <v>2431692</v>
      </c>
      <c r="G7" s="6">
        <f t="shared" si="0"/>
        <v>1300298</v>
      </c>
      <c r="H7" s="6">
        <f t="shared" si="0"/>
        <v>425548</v>
      </c>
      <c r="I7" s="6">
        <f t="shared" si="0"/>
        <v>80000</v>
      </c>
      <c r="J7" s="6">
        <f t="shared" si="0"/>
        <v>0</v>
      </c>
      <c r="K7" s="6">
        <f t="shared" si="0"/>
        <v>0</v>
      </c>
      <c r="L7" s="6">
        <f t="shared" si="1"/>
        <v>1805846</v>
      </c>
    </row>
    <row r="8" spans="1:14" s="7" customFormat="1" ht="18.75" customHeight="1">
      <c r="A8" s="5" t="s">
        <v>13</v>
      </c>
      <c r="B8" s="116" t="s">
        <v>14</v>
      </c>
      <c r="C8" s="116"/>
      <c r="D8" s="116"/>
      <c r="E8" s="116"/>
      <c r="F8" s="6">
        <f t="shared" ref="F8:K8" si="2">SUM(F14,F19,F23)</f>
        <v>49482921</v>
      </c>
      <c r="G8" s="6">
        <f t="shared" si="2"/>
        <v>11388898</v>
      </c>
      <c r="H8" s="6">
        <f t="shared" si="2"/>
        <v>15885336</v>
      </c>
      <c r="I8" s="6">
        <f t="shared" si="2"/>
        <v>12900000</v>
      </c>
      <c r="J8" s="6">
        <f t="shared" si="2"/>
        <v>1700000</v>
      </c>
      <c r="K8" s="6">
        <f t="shared" si="2"/>
        <v>200000</v>
      </c>
      <c r="L8" s="6">
        <f t="shared" ref="L8:L19" si="3">SUM(G8:K8)</f>
        <v>42074234</v>
      </c>
    </row>
    <row r="9" spans="1:14" s="9" customFormat="1" ht="48.75" customHeight="1">
      <c r="A9" s="5" t="s">
        <v>15</v>
      </c>
      <c r="B9" s="116" t="s">
        <v>271</v>
      </c>
      <c r="C9" s="116"/>
      <c r="D9" s="116"/>
      <c r="E9" s="116"/>
      <c r="F9" s="8">
        <f t="shared" ref="F9:K9" si="4">SUM(F10,F14)</f>
        <v>3474547</v>
      </c>
      <c r="G9" s="8">
        <f t="shared" si="4"/>
        <v>2319196</v>
      </c>
      <c r="H9" s="8">
        <f t="shared" si="4"/>
        <v>460884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3"/>
        <v>2780080</v>
      </c>
    </row>
    <row r="10" spans="1:14" s="7" customFormat="1" ht="18.75" customHeight="1">
      <c r="A10" s="5" t="s">
        <v>16</v>
      </c>
      <c r="B10" s="116" t="s">
        <v>12</v>
      </c>
      <c r="C10" s="116"/>
      <c r="D10" s="116"/>
      <c r="E10" s="116"/>
      <c r="F10" s="6">
        <f>SUM(F11:F13)</f>
        <v>2191692</v>
      </c>
      <c r="G10" s="6">
        <f t="shared" ref="G10:L10" si="5">SUM(G11:G13)</f>
        <v>1220298</v>
      </c>
      <c r="H10" s="6">
        <f t="shared" si="5"/>
        <v>345548</v>
      </c>
      <c r="I10" s="6">
        <f t="shared" si="5"/>
        <v>0</v>
      </c>
      <c r="J10" s="6">
        <f t="shared" si="5"/>
        <v>0</v>
      </c>
      <c r="K10" s="6">
        <f t="shared" si="5"/>
        <v>0</v>
      </c>
      <c r="L10" s="6">
        <f t="shared" si="5"/>
        <v>1565846</v>
      </c>
    </row>
    <row r="11" spans="1:14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156462</v>
      </c>
      <c r="H11" s="14"/>
      <c r="I11" s="14"/>
      <c r="J11" s="14"/>
      <c r="K11" s="14"/>
      <c r="L11" s="14">
        <f t="shared" si="3"/>
        <v>156462</v>
      </c>
    </row>
    <row r="12" spans="1:14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393486</v>
      </c>
      <c r="H12" s="14">
        <v>177960</v>
      </c>
      <c r="I12" s="14"/>
      <c r="J12" s="14"/>
      <c r="K12" s="14"/>
      <c r="L12" s="14">
        <f t="shared" ref="L12" si="6">SUM(G12:K12)</f>
        <v>571446</v>
      </c>
    </row>
    <row r="13" spans="1:14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837938</v>
      </c>
      <c r="G13" s="14">
        <v>670350</v>
      </c>
      <c r="H13" s="14">
        <v>167588</v>
      </c>
      <c r="I13" s="14"/>
      <c r="J13" s="14"/>
      <c r="K13" s="14"/>
      <c r="L13" s="14">
        <f t="shared" ref="L13" si="7">SUM(G13:K13)</f>
        <v>837938</v>
      </c>
    </row>
    <row r="14" spans="1:14" s="7" customFormat="1" ht="18.75" customHeight="1">
      <c r="A14" s="5" t="s">
        <v>19</v>
      </c>
      <c r="B14" s="116" t="s">
        <v>14</v>
      </c>
      <c r="C14" s="116"/>
      <c r="D14" s="116"/>
      <c r="E14" s="116"/>
      <c r="F14" s="6">
        <f>SUM(F15:F16)</f>
        <v>1282855</v>
      </c>
      <c r="G14" s="6">
        <f t="shared" ref="G14:L14" si="8">SUM(G15:G16)</f>
        <v>1098898</v>
      </c>
      <c r="H14" s="6">
        <f t="shared" si="8"/>
        <v>115336</v>
      </c>
      <c r="I14" s="6">
        <f t="shared" si="8"/>
        <v>0</v>
      </c>
      <c r="J14" s="6">
        <f t="shared" si="8"/>
        <v>0</v>
      </c>
      <c r="K14" s="6">
        <f t="shared" si="8"/>
        <v>0</v>
      </c>
      <c r="L14" s="6">
        <f t="shared" si="8"/>
        <v>1214234</v>
      </c>
      <c r="M14" s="16"/>
      <c r="N14" s="16"/>
    </row>
    <row r="15" spans="1:14" s="15" customFormat="1" ht="48.75" customHeight="1">
      <c r="A15" s="10" t="s">
        <v>39</v>
      </c>
      <c r="B15" s="11" t="s">
        <v>20</v>
      </c>
      <c r="C15" s="12" t="s">
        <v>17</v>
      </c>
      <c r="D15" s="13">
        <v>2016</v>
      </c>
      <c r="E15" s="13">
        <v>2018</v>
      </c>
      <c r="F15" s="14">
        <v>292494</v>
      </c>
      <c r="G15" s="14">
        <v>120137</v>
      </c>
      <c r="H15" s="14">
        <v>115336</v>
      </c>
      <c r="I15" s="14"/>
      <c r="J15" s="14"/>
      <c r="K15" s="14"/>
      <c r="L15" s="14">
        <f t="shared" si="3"/>
        <v>235473</v>
      </c>
    </row>
    <row r="16" spans="1:14" s="15" customFormat="1" ht="50.25" customHeight="1">
      <c r="A16" s="10" t="s">
        <v>250</v>
      </c>
      <c r="B16" s="11" t="s">
        <v>251</v>
      </c>
      <c r="C16" s="12" t="s">
        <v>17</v>
      </c>
      <c r="D16" s="13">
        <v>2016</v>
      </c>
      <c r="E16" s="13">
        <v>2017</v>
      </c>
      <c r="F16" s="14">
        <v>990361</v>
      </c>
      <c r="G16" s="14">
        <v>978761</v>
      </c>
      <c r="H16" s="14"/>
      <c r="I16" s="14"/>
      <c r="J16" s="14"/>
      <c r="K16" s="14"/>
      <c r="L16" s="14">
        <f t="shared" si="3"/>
        <v>978761</v>
      </c>
    </row>
    <row r="17" spans="1:12" s="9" customFormat="1" ht="34.5" customHeight="1">
      <c r="A17" s="5" t="s">
        <v>21</v>
      </c>
      <c r="B17" s="116" t="s">
        <v>22</v>
      </c>
      <c r="C17" s="116"/>
      <c r="D17" s="116"/>
      <c r="E17" s="116"/>
      <c r="F17" s="8">
        <f t="shared" ref="F17:K17" si="9">SUM(F18:F19)</f>
        <v>0</v>
      </c>
      <c r="G17" s="8">
        <f t="shared" si="9"/>
        <v>0</v>
      </c>
      <c r="H17" s="8">
        <f t="shared" si="9"/>
        <v>0</v>
      </c>
      <c r="I17" s="8">
        <f t="shared" si="9"/>
        <v>0</v>
      </c>
      <c r="J17" s="8">
        <f t="shared" si="9"/>
        <v>0</v>
      </c>
      <c r="K17" s="8">
        <f t="shared" si="9"/>
        <v>0</v>
      </c>
      <c r="L17" s="8">
        <f t="shared" si="3"/>
        <v>0</v>
      </c>
    </row>
    <row r="18" spans="1:12" s="9" customFormat="1" ht="18.75" customHeight="1">
      <c r="A18" s="5" t="s">
        <v>261</v>
      </c>
      <c r="B18" s="116" t="s">
        <v>12</v>
      </c>
      <c r="C18" s="116"/>
      <c r="D18" s="116"/>
      <c r="E18" s="116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f t="shared" si="3"/>
        <v>0</v>
      </c>
    </row>
    <row r="19" spans="1:12" s="9" customFormat="1" ht="18.75" customHeight="1">
      <c r="A19" s="5" t="s">
        <v>262</v>
      </c>
      <c r="B19" s="116" t="s">
        <v>14</v>
      </c>
      <c r="C19" s="116"/>
      <c r="D19" s="116"/>
      <c r="E19" s="116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f t="shared" si="3"/>
        <v>0</v>
      </c>
    </row>
    <row r="20" spans="1:12" s="9" customFormat="1" ht="18.75" customHeight="1">
      <c r="A20" s="5" t="s">
        <v>25</v>
      </c>
      <c r="B20" s="116" t="s">
        <v>26</v>
      </c>
      <c r="C20" s="116"/>
      <c r="D20" s="116"/>
      <c r="E20" s="116"/>
      <c r="F20" s="8">
        <f>SUM(F21,F23)</f>
        <v>48440066</v>
      </c>
      <c r="G20" s="8">
        <f t="shared" ref="G20:L20" si="10">SUM(G21,G23)</f>
        <v>10370000</v>
      </c>
      <c r="H20" s="8">
        <f t="shared" si="10"/>
        <v>15850000</v>
      </c>
      <c r="I20" s="8">
        <f t="shared" si="10"/>
        <v>12980000</v>
      </c>
      <c r="J20" s="8">
        <f t="shared" si="10"/>
        <v>1700000</v>
      </c>
      <c r="K20" s="8">
        <f t="shared" si="10"/>
        <v>200000</v>
      </c>
      <c r="L20" s="8">
        <f t="shared" si="10"/>
        <v>41100000</v>
      </c>
    </row>
    <row r="21" spans="1:12" s="9" customFormat="1" ht="18.75" customHeight="1">
      <c r="A21" s="5" t="s">
        <v>27</v>
      </c>
      <c r="B21" s="116" t="s">
        <v>12</v>
      </c>
      <c r="C21" s="116"/>
      <c r="D21" s="116"/>
      <c r="E21" s="116"/>
      <c r="F21" s="8">
        <f>SUM(F22)</f>
        <v>240000</v>
      </c>
      <c r="G21" s="8">
        <f t="shared" ref="G21:L21" si="11">SUM(G22)</f>
        <v>80000</v>
      </c>
      <c r="H21" s="8">
        <f t="shared" si="11"/>
        <v>80000</v>
      </c>
      <c r="I21" s="8">
        <f t="shared" si="11"/>
        <v>80000</v>
      </c>
      <c r="J21" s="8">
        <f t="shared" si="11"/>
        <v>0</v>
      </c>
      <c r="K21" s="8">
        <f t="shared" si="11"/>
        <v>0</v>
      </c>
      <c r="L21" s="8">
        <f t="shared" si="11"/>
        <v>240000</v>
      </c>
    </row>
    <row r="22" spans="1:12" s="15" customFormat="1" ht="35.25" customHeight="1">
      <c r="A22" s="10" t="s">
        <v>270</v>
      </c>
      <c r="B22" s="11" t="s">
        <v>269</v>
      </c>
      <c r="C22" s="12" t="s">
        <v>17</v>
      </c>
      <c r="D22" s="13">
        <v>2017</v>
      </c>
      <c r="E22" s="13">
        <v>2019</v>
      </c>
      <c r="F22" s="14">
        <v>240000</v>
      </c>
      <c r="G22" s="14">
        <v>80000</v>
      </c>
      <c r="H22" s="14">
        <v>80000</v>
      </c>
      <c r="I22" s="14">
        <v>80000</v>
      </c>
      <c r="J22" s="14"/>
      <c r="K22" s="14"/>
      <c r="L22" s="14">
        <f>SUM(G22:K22)</f>
        <v>240000</v>
      </c>
    </row>
    <row r="23" spans="1:12" s="9" customFormat="1" ht="18.75" customHeight="1">
      <c r="A23" s="5" t="s">
        <v>28</v>
      </c>
      <c r="B23" s="116" t="s">
        <v>14</v>
      </c>
      <c r="C23" s="116"/>
      <c r="D23" s="116"/>
      <c r="E23" s="116"/>
      <c r="F23" s="8">
        <f>SUM(F24:F37)</f>
        <v>48200066</v>
      </c>
      <c r="G23" s="8">
        <f t="shared" ref="G23:L23" si="12">SUM(G24:G37)</f>
        <v>10290000</v>
      </c>
      <c r="H23" s="8">
        <f t="shared" si="12"/>
        <v>15770000</v>
      </c>
      <c r="I23" s="8">
        <f t="shared" si="12"/>
        <v>12900000</v>
      </c>
      <c r="J23" s="8">
        <f t="shared" si="12"/>
        <v>1700000</v>
      </c>
      <c r="K23" s="8">
        <f t="shared" si="12"/>
        <v>200000</v>
      </c>
      <c r="L23" s="8">
        <f t="shared" si="12"/>
        <v>40860000</v>
      </c>
    </row>
    <row r="24" spans="1:12" s="15" customFormat="1" ht="35.25" customHeight="1">
      <c r="A24" s="10" t="s">
        <v>29</v>
      </c>
      <c r="B24" s="11" t="s">
        <v>30</v>
      </c>
      <c r="C24" s="12" t="s">
        <v>31</v>
      </c>
      <c r="D24" s="13">
        <v>2014</v>
      </c>
      <c r="E24" s="13">
        <v>2018</v>
      </c>
      <c r="F24" s="14">
        <v>744637</v>
      </c>
      <c r="G24" s="14">
        <v>150000</v>
      </c>
      <c r="H24" s="14">
        <v>150000</v>
      </c>
      <c r="I24" s="14"/>
      <c r="J24" s="14"/>
      <c r="K24" s="14"/>
      <c r="L24" s="14">
        <f>SUM(G24:K24)</f>
        <v>300000</v>
      </c>
    </row>
    <row r="25" spans="1:12" s="15" customFormat="1" ht="36.75" customHeight="1">
      <c r="A25" s="10" t="s">
        <v>40</v>
      </c>
      <c r="B25" s="11" t="s">
        <v>36</v>
      </c>
      <c r="C25" s="12" t="s">
        <v>31</v>
      </c>
      <c r="D25" s="13">
        <v>2016</v>
      </c>
      <c r="E25" s="13">
        <v>2020</v>
      </c>
      <c r="F25" s="14">
        <v>4582700</v>
      </c>
      <c r="G25" s="14">
        <v>0</v>
      </c>
      <c r="H25" s="14">
        <v>1500000</v>
      </c>
      <c r="I25" s="14">
        <v>1500000</v>
      </c>
      <c r="J25" s="14">
        <v>1500000</v>
      </c>
      <c r="K25" s="14"/>
      <c r="L25" s="14">
        <f t="shared" ref="L25:L36" si="13">SUM(G25:K25)</f>
        <v>4500000</v>
      </c>
    </row>
    <row r="26" spans="1:12" s="15" customFormat="1" ht="49.5" customHeight="1">
      <c r="A26" s="10" t="s">
        <v>41</v>
      </c>
      <c r="B26" s="11" t="s">
        <v>266</v>
      </c>
      <c r="C26" s="12" t="s">
        <v>31</v>
      </c>
      <c r="D26" s="13">
        <v>2016</v>
      </c>
      <c r="E26" s="13">
        <v>2018</v>
      </c>
      <c r="F26" s="14">
        <v>650000</v>
      </c>
      <c r="G26" s="14">
        <v>300000</v>
      </c>
      <c r="H26" s="14">
        <v>300000</v>
      </c>
      <c r="I26" s="14"/>
      <c r="J26" s="14"/>
      <c r="K26" s="14"/>
      <c r="L26" s="14">
        <f t="shared" si="13"/>
        <v>600000</v>
      </c>
    </row>
    <row r="27" spans="1:12" s="15" customFormat="1" ht="35.25" customHeight="1">
      <c r="A27" s="10" t="s">
        <v>42</v>
      </c>
      <c r="B27" s="11" t="s">
        <v>37</v>
      </c>
      <c r="C27" s="12" t="s">
        <v>31</v>
      </c>
      <c r="D27" s="13">
        <v>2015</v>
      </c>
      <c r="E27" s="13">
        <v>2018</v>
      </c>
      <c r="F27" s="14">
        <v>750000</v>
      </c>
      <c r="G27" s="14">
        <v>200000</v>
      </c>
      <c r="H27" s="14">
        <v>150000</v>
      </c>
      <c r="I27" s="14"/>
      <c r="J27" s="14"/>
      <c r="K27" s="14"/>
      <c r="L27" s="14">
        <f t="shared" si="13"/>
        <v>350000</v>
      </c>
    </row>
    <row r="28" spans="1:12" s="15" customFormat="1" ht="51" customHeight="1">
      <c r="A28" s="10" t="s">
        <v>43</v>
      </c>
      <c r="B28" s="11" t="s">
        <v>32</v>
      </c>
      <c r="C28" s="12" t="s">
        <v>17</v>
      </c>
      <c r="D28" s="13">
        <v>2011</v>
      </c>
      <c r="E28" s="13">
        <v>2018</v>
      </c>
      <c r="F28" s="14">
        <v>1100269</v>
      </c>
      <c r="G28" s="14">
        <v>300000</v>
      </c>
      <c r="H28" s="14">
        <v>500000</v>
      </c>
      <c r="I28" s="14"/>
      <c r="J28" s="14"/>
      <c r="K28" s="14"/>
      <c r="L28" s="14">
        <f t="shared" si="13"/>
        <v>800000</v>
      </c>
    </row>
    <row r="29" spans="1:12" s="15" customFormat="1" ht="37.5" customHeight="1">
      <c r="A29" s="10" t="s">
        <v>44</v>
      </c>
      <c r="B29" s="11" t="s">
        <v>34</v>
      </c>
      <c r="C29" s="12" t="s">
        <v>31</v>
      </c>
      <c r="D29" s="13">
        <v>2014</v>
      </c>
      <c r="E29" s="13">
        <v>2017</v>
      </c>
      <c r="F29" s="14">
        <v>6412828</v>
      </c>
      <c r="G29" s="14">
        <v>2000000</v>
      </c>
      <c r="H29" s="14"/>
      <c r="I29" s="14"/>
      <c r="J29" s="14"/>
      <c r="K29" s="14"/>
      <c r="L29" s="14">
        <f t="shared" si="13"/>
        <v>2000000</v>
      </c>
    </row>
    <row r="30" spans="1:12" s="15" customFormat="1" ht="34.5" customHeight="1">
      <c r="A30" s="10" t="s">
        <v>45</v>
      </c>
      <c r="B30" s="11" t="s">
        <v>263</v>
      </c>
      <c r="C30" s="12" t="s">
        <v>31</v>
      </c>
      <c r="D30" s="13">
        <v>2016</v>
      </c>
      <c r="E30" s="13">
        <v>2017</v>
      </c>
      <c r="F30" s="14">
        <v>250000</v>
      </c>
      <c r="G30" s="14">
        <v>200000</v>
      </c>
      <c r="H30" s="14"/>
      <c r="I30" s="14"/>
      <c r="J30" s="14"/>
      <c r="K30" s="14"/>
      <c r="L30" s="14">
        <f t="shared" si="13"/>
        <v>200000</v>
      </c>
    </row>
    <row r="31" spans="1:12" s="15" customFormat="1" ht="68.25" customHeight="1">
      <c r="A31" s="10" t="s">
        <v>46</v>
      </c>
      <c r="B31" s="11" t="s">
        <v>35</v>
      </c>
      <c r="C31" s="12" t="s">
        <v>31</v>
      </c>
      <c r="D31" s="13">
        <v>2011</v>
      </c>
      <c r="E31" s="13">
        <v>2019</v>
      </c>
      <c r="F31" s="14">
        <v>30819632</v>
      </c>
      <c r="G31" s="14">
        <v>6300000</v>
      </c>
      <c r="H31" s="14">
        <v>12000000</v>
      </c>
      <c r="I31" s="14">
        <v>11000000</v>
      </c>
      <c r="J31" s="14"/>
      <c r="K31" s="14"/>
      <c r="L31" s="14">
        <f t="shared" si="13"/>
        <v>29300000</v>
      </c>
    </row>
    <row r="32" spans="1:12" ht="31.5" customHeight="1">
      <c r="A32" s="10" t="s">
        <v>47</v>
      </c>
      <c r="B32" s="11" t="s">
        <v>253</v>
      </c>
      <c r="C32" s="12" t="s">
        <v>31</v>
      </c>
      <c r="D32" s="13">
        <v>2016</v>
      </c>
      <c r="E32" s="13">
        <v>2018</v>
      </c>
      <c r="F32" s="14">
        <v>240000</v>
      </c>
      <c r="G32" s="14">
        <v>80000</v>
      </c>
      <c r="H32" s="14">
        <v>80000</v>
      </c>
      <c r="I32" s="14"/>
      <c r="J32" s="14"/>
      <c r="K32" s="14"/>
      <c r="L32" s="14">
        <f t="shared" si="13"/>
        <v>160000</v>
      </c>
    </row>
    <row r="33" spans="1:12" ht="46.5" customHeight="1">
      <c r="A33" s="10" t="s">
        <v>48</v>
      </c>
      <c r="B33" s="11" t="s">
        <v>254</v>
      </c>
      <c r="C33" s="12" t="s">
        <v>31</v>
      </c>
      <c r="D33" s="13">
        <v>2017</v>
      </c>
      <c r="E33" s="13">
        <v>2018</v>
      </c>
      <c r="F33" s="14">
        <v>200000</v>
      </c>
      <c r="G33" s="14">
        <v>40000</v>
      </c>
      <c r="H33" s="14">
        <v>160000</v>
      </c>
      <c r="I33" s="14"/>
      <c r="J33" s="14"/>
      <c r="K33" s="14"/>
      <c r="L33" s="14">
        <f t="shared" si="13"/>
        <v>200000</v>
      </c>
    </row>
    <row r="34" spans="1:12" ht="48.75" customHeight="1">
      <c r="A34" s="10" t="s">
        <v>49</v>
      </c>
      <c r="B34" s="11" t="s">
        <v>255</v>
      </c>
      <c r="C34" s="12" t="s">
        <v>31</v>
      </c>
      <c r="D34" s="13">
        <v>2017</v>
      </c>
      <c r="E34" s="13">
        <v>2018</v>
      </c>
      <c r="F34" s="14">
        <v>600000</v>
      </c>
      <c r="G34" s="14">
        <v>70000</v>
      </c>
      <c r="H34" s="14">
        <v>530000</v>
      </c>
      <c r="I34" s="14"/>
      <c r="J34" s="14"/>
      <c r="K34" s="14"/>
      <c r="L34" s="14">
        <f t="shared" si="13"/>
        <v>600000</v>
      </c>
    </row>
    <row r="35" spans="1:12" ht="33.75" customHeight="1">
      <c r="A35" s="10" t="s">
        <v>50</v>
      </c>
      <c r="B35" s="11" t="s">
        <v>256</v>
      </c>
      <c r="C35" s="12" t="s">
        <v>31</v>
      </c>
      <c r="D35" s="13">
        <v>2017</v>
      </c>
      <c r="E35" s="13">
        <v>2019</v>
      </c>
      <c r="F35" s="14">
        <v>300000</v>
      </c>
      <c r="G35" s="14">
        <v>100000</v>
      </c>
      <c r="H35" s="14">
        <v>100000</v>
      </c>
      <c r="I35" s="14">
        <v>100000</v>
      </c>
      <c r="J35" s="14"/>
      <c r="K35" s="14"/>
      <c r="L35" s="14">
        <f t="shared" si="13"/>
        <v>300000</v>
      </c>
    </row>
    <row r="36" spans="1:12" ht="34.5" customHeight="1">
      <c r="A36" s="10" t="s">
        <v>252</v>
      </c>
      <c r="B36" s="11" t="s">
        <v>257</v>
      </c>
      <c r="C36" s="12" t="s">
        <v>31</v>
      </c>
      <c r="D36" s="13">
        <v>2017</v>
      </c>
      <c r="E36" s="13">
        <v>2021</v>
      </c>
      <c r="F36" s="14">
        <v>1250000</v>
      </c>
      <c r="G36" s="14">
        <v>450000</v>
      </c>
      <c r="H36" s="14">
        <v>200000</v>
      </c>
      <c r="I36" s="14">
        <v>200000</v>
      </c>
      <c r="J36" s="14">
        <v>200000</v>
      </c>
      <c r="K36" s="14">
        <v>200000</v>
      </c>
      <c r="L36" s="14">
        <f t="shared" si="13"/>
        <v>1250000</v>
      </c>
    </row>
    <row r="37" spans="1:12" ht="36.75" customHeight="1">
      <c r="A37" s="10" t="s">
        <v>264</v>
      </c>
      <c r="B37" s="11" t="s">
        <v>265</v>
      </c>
      <c r="C37" s="12" t="s">
        <v>31</v>
      </c>
      <c r="D37" s="13">
        <v>2017</v>
      </c>
      <c r="E37" s="13">
        <v>2019</v>
      </c>
      <c r="F37" s="14">
        <v>300000</v>
      </c>
      <c r="G37" s="14">
        <v>100000</v>
      </c>
      <c r="H37" s="14">
        <v>100000</v>
      </c>
      <c r="I37" s="14">
        <v>100000</v>
      </c>
      <c r="J37" s="14"/>
      <c r="K37" s="14"/>
      <c r="L37" s="14">
        <f t="shared" ref="L37" si="14">SUM(G37:K37)</f>
        <v>300000</v>
      </c>
    </row>
  </sheetData>
  <sheetProtection algorithmName="SHA-512" hashValue="PVfJ0NMmRuZAH/kulZWEitgLmpJmNts9LxRYQGLh1re+hKBTXeQPlHXek/3O+doYaJfQq7Itmmky+GsaJLT0Xw==" saltValue="kM53xPIl7/7WPXFLi9E0Ng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3:E23"/>
    <mergeCell ref="B14:E14"/>
    <mergeCell ref="B17:E17"/>
    <mergeCell ref="B18:E18"/>
    <mergeCell ref="B19:E19"/>
    <mergeCell ref="B20:E20"/>
    <mergeCell ref="B21:E21"/>
  </mergeCells>
  <pageMargins left="0.38" right="0.15748031496062992" top="1.47" bottom="0.83" header="0.8" footer="0.49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Zal.1</vt:lpstr>
      <vt:lpstr>Zał.2 </vt:lpstr>
      <vt:lpstr>Zal.1!Obszar_wydruku</vt:lpstr>
      <vt:lpstr>'Zał.2 '!Obszar_wydruku</vt:lpstr>
      <vt:lpstr>Zal.1!Tytuły_wydruku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2016-12-14T15:40:31Z</cp:lastPrinted>
  <dcterms:created xsi:type="dcterms:W3CDTF">2015-10-13T07:48:25Z</dcterms:created>
  <dcterms:modified xsi:type="dcterms:W3CDTF">2016-12-14T15:40:50Z</dcterms:modified>
</cp:coreProperties>
</file>